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G:\GP Final Archive\EV_Incentive\"/>
    </mc:Choice>
  </mc:AlternateContent>
  <bookViews>
    <workbookView xWindow="0" yWindow="0" windowWidth="24000" windowHeight="13740"/>
  </bookViews>
  <sheets>
    <sheet name="Data &amp; Source" sheetId="1" r:id="rId1"/>
    <sheet name="ICV Car" sheetId="3" r:id="rId2"/>
    <sheet name="ICV LDT" sheetId="4" r:id="rId3"/>
    <sheet name="Hybrid(Non-plugin)" sheetId="6" r:id="rId4"/>
    <sheet name="Hybrid_additional" sheetId="9" r:id="rId5"/>
    <sheet name="Hybrid(plugin)" sheetId="8" r:id="rId6"/>
    <sheet name="Hybrid(plugin)_Additional" sheetId="10" r:id="rId7"/>
    <sheet name="EV(Non-Tesla)" sheetId="5" r:id="rId8"/>
    <sheet name="EV_Additional" sheetId="11" r:id="rId9"/>
    <sheet name="EV(Tesla)" sheetId="7" r:id="rId10"/>
    <sheet name="All EV" sheetId="13" r:id="rId11"/>
  </sheets>
  <externalReferences>
    <externalReference r:id="rId12"/>
  </externalReferences>
  <definedNames>
    <definedName name="_xlnm._FilterDatabase" localSheetId="0" hidden="1">'Data &amp; Source'!$A$2:$L$168</definedName>
    <definedName name="_xlnm._FilterDatabase" localSheetId="3" hidden="1">'Hybrid(Non-plugin)'!$A$2:$K$31</definedName>
    <definedName name="_xlnm._FilterDatabase" localSheetId="6" hidden="1">'Hybrid(plugin)_Additional'!$A$1:$F$22</definedName>
    <definedName name="_xlnm._FilterDatabase" localSheetId="4" hidden="1">Hybrid_additional!$A$1:$F$54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4" l="1"/>
  <c r="N28" i="6"/>
  <c r="Q28" i="6" s="1"/>
  <c r="M28" i="6"/>
  <c r="N27" i="6"/>
  <c r="Q27" i="6" s="1"/>
  <c r="M27" i="6"/>
  <c r="O26" i="6"/>
  <c r="N26" i="6"/>
  <c r="Q26" i="6" s="1"/>
  <c r="M26" i="6"/>
  <c r="N24" i="6"/>
  <c r="Q24" i="6" s="1"/>
  <c r="M24" i="6"/>
  <c r="Q21" i="6"/>
  <c r="O21" i="6"/>
  <c r="N21" i="6"/>
  <c r="M21" i="6"/>
  <c r="N20" i="6"/>
  <c r="Q20" i="6" s="1"/>
  <c r="M20" i="6"/>
  <c r="N19" i="6"/>
  <c r="Q19" i="6" s="1"/>
  <c r="M19" i="6"/>
  <c r="N18" i="6"/>
  <c r="Q18" i="6" s="1"/>
  <c r="M18" i="6"/>
  <c r="N17" i="6"/>
  <c r="O17" i="6" s="1"/>
  <c r="M17" i="6"/>
  <c r="N16" i="6"/>
  <c r="Q16" i="6" s="1"/>
  <c r="M16" i="6"/>
  <c r="O15" i="6"/>
  <c r="N15" i="6"/>
  <c r="Q15" i="6" s="1"/>
  <c r="M15" i="6"/>
  <c r="N13" i="6"/>
  <c r="Q13" i="6" s="1"/>
  <c r="M13" i="6"/>
  <c r="Q11" i="6"/>
  <c r="O11" i="6"/>
  <c r="N11" i="6"/>
  <c r="M11" i="6"/>
  <c r="N10" i="6"/>
  <c r="Q10" i="6" s="1"/>
  <c r="M10" i="6"/>
  <c r="N8" i="6"/>
  <c r="Q8" i="6" s="1"/>
  <c r="M8" i="6"/>
  <c r="N5" i="6"/>
  <c r="Q5" i="6" s="1"/>
  <c r="M5" i="6"/>
  <c r="N3" i="6"/>
  <c r="O3" i="6" s="1"/>
  <c r="M3" i="6"/>
  <c r="O8" i="6" l="1"/>
  <c r="O19" i="6"/>
  <c r="O28" i="6"/>
  <c r="Q3" i="6"/>
  <c r="Q17" i="6"/>
  <c r="O5" i="6"/>
  <c r="P3" i="6" s="1"/>
  <c r="O10" i="6"/>
  <c r="O13" i="6"/>
  <c r="O16" i="6"/>
  <c r="O18" i="6"/>
  <c r="O20" i="6"/>
  <c r="O24" i="6"/>
  <c r="O27" i="6"/>
  <c r="R3" i="6" l="1"/>
  <c r="Y5" i="13" l="1"/>
  <c r="M3" i="4" l="1"/>
  <c r="H8" i="8" l="1"/>
  <c r="H9" i="8"/>
  <c r="H10" i="8"/>
  <c r="H11" i="8"/>
  <c r="H12" i="8"/>
  <c r="H13" i="8"/>
  <c r="H14" i="8"/>
  <c r="H15" i="8"/>
  <c r="H16" i="8"/>
  <c r="H17" i="8"/>
  <c r="H18" i="8"/>
  <c r="H19" i="8"/>
  <c r="H7" i="8"/>
  <c r="H4" i="8"/>
  <c r="H5" i="8"/>
  <c r="H3" i="8"/>
  <c r="I3" i="8"/>
  <c r="H6" i="8"/>
  <c r="I5" i="8" l="1"/>
  <c r="U7" i="6" l="1"/>
  <c r="U6" i="6"/>
  <c r="U5" i="6"/>
  <c r="U4" i="6"/>
  <c r="V7" i="6" l="1"/>
  <c r="W7" i="6" s="1"/>
  <c r="V5" i="6"/>
  <c r="W5" i="6" s="1"/>
  <c r="V4" i="6"/>
  <c r="W4" i="6" s="1"/>
  <c r="V6" i="6"/>
  <c r="W6" i="6" s="1"/>
  <c r="V12" i="8"/>
  <c r="Q12" i="8"/>
  <c r="T12" i="8" s="1"/>
  <c r="Q3" i="8"/>
  <c r="T3" i="8" s="1"/>
  <c r="Y11" i="13"/>
  <c r="Y7" i="13"/>
  <c r="Y24" i="13"/>
  <c r="Y13" i="13"/>
  <c r="Y8" i="13"/>
  <c r="Z17" i="8"/>
  <c r="Z26" i="8"/>
  <c r="Z19" i="8"/>
  <c r="Z18" i="8"/>
  <c r="Z14" i="8"/>
  <c r="Z13" i="8"/>
  <c r="X3" i="5"/>
  <c r="X2" i="5"/>
  <c r="H10" i="6"/>
  <c r="H5" i="13"/>
  <c r="I5" i="13"/>
  <c r="H6" i="13"/>
  <c r="H7" i="13"/>
  <c r="H8" i="13"/>
  <c r="H9" i="13"/>
  <c r="H10" i="13"/>
  <c r="H11" i="13"/>
  <c r="H12" i="13"/>
  <c r="H13" i="13"/>
  <c r="H4" i="13"/>
  <c r="H14" i="13"/>
  <c r="H3" i="13"/>
  <c r="H15" i="13"/>
  <c r="I4" i="13"/>
  <c r="I6" i="13"/>
  <c r="I7" i="13"/>
  <c r="I8" i="13"/>
  <c r="I9" i="13"/>
  <c r="I10" i="13"/>
  <c r="I11" i="13"/>
  <c r="I12" i="13"/>
  <c r="I13" i="13"/>
  <c r="I4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R12" i="13"/>
  <c r="U12" i="13"/>
  <c r="S12" i="13"/>
  <c r="Q12" i="13"/>
  <c r="R11" i="13"/>
  <c r="U11" i="13"/>
  <c r="S11" i="13"/>
  <c r="Q11" i="13"/>
  <c r="R10" i="13"/>
  <c r="U10" i="13"/>
  <c r="S10" i="13"/>
  <c r="Q10" i="13"/>
  <c r="R9" i="13"/>
  <c r="U9" i="13"/>
  <c r="S9" i="13"/>
  <c r="Q9" i="13"/>
  <c r="R8" i="13"/>
  <c r="U8" i="13"/>
  <c r="S8" i="13"/>
  <c r="Q8" i="13"/>
  <c r="R7" i="13"/>
  <c r="U7" i="13"/>
  <c r="S7" i="13"/>
  <c r="Q7" i="13"/>
  <c r="R6" i="13"/>
  <c r="U6" i="13"/>
  <c r="S6" i="13"/>
  <c r="Q6" i="13"/>
  <c r="R5" i="13"/>
  <c r="U5" i="13"/>
  <c r="S5" i="13"/>
  <c r="Q5" i="13"/>
  <c r="R4" i="13"/>
  <c r="U4" i="13"/>
  <c r="S4" i="13"/>
  <c r="Q4" i="13"/>
  <c r="R3" i="13"/>
  <c r="U3" i="13"/>
  <c r="V3" i="13"/>
  <c r="S3" i="13"/>
  <c r="T3" i="13"/>
  <c r="Q3" i="13"/>
  <c r="D32" i="9"/>
  <c r="D31" i="9"/>
  <c r="D33" i="9"/>
  <c r="U16" i="1"/>
  <c r="U23" i="1" s="1"/>
  <c r="U15" i="1"/>
  <c r="U18" i="1"/>
  <c r="E50" i="3"/>
  <c r="N3" i="3"/>
  <c r="Q3" i="3"/>
  <c r="N4" i="3"/>
  <c r="Q4" i="3"/>
  <c r="N5" i="3"/>
  <c r="Q5" i="3"/>
  <c r="N6" i="3"/>
  <c r="Q6" i="3"/>
  <c r="N7" i="3"/>
  <c r="Q7" i="3"/>
  <c r="N8" i="3"/>
  <c r="Q8" i="3"/>
  <c r="N9" i="3"/>
  <c r="Q9" i="3"/>
  <c r="N10" i="3"/>
  <c r="Q10" i="3"/>
  <c r="N11" i="3"/>
  <c r="Q11" i="3"/>
  <c r="N12" i="3"/>
  <c r="Q12" i="3"/>
  <c r="N13" i="3"/>
  <c r="Q13" i="3"/>
  <c r="N14" i="3"/>
  <c r="Q14" i="3"/>
  <c r="N15" i="3"/>
  <c r="Q15" i="3"/>
  <c r="N16" i="3"/>
  <c r="Q16" i="3"/>
  <c r="N17" i="3"/>
  <c r="Q17" i="3"/>
  <c r="N18" i="3"/>
  <c r="Q18" i="3"/>
  <c r="N19" i="3"/>
  <c r="Q19" i="3"/>
  <c r="N20" i="3"/>
  <c r="Q20" i="3"/>
  <c r="N21" i="3"/>
  <c r="Q21" i="3"/>
  <c r="N22" i="3"/>
  <c r="Q22" i="3"/>
  <c r="N23" i="3"/>
  <c r="Q23" i="3"/>
  <c r="N24" i="3"/>
  <c r="Q24" i="3"/>
  <c r="N25" i="3"/>
  <c r="Q25" i="3"/>
  <c r="N26" i="3"/>
  <c r="Q26" i="3"/>
  <c r="N27" i="3"/>
  <c r="Q27" i="3"/>
  <c r="N28" i="3"/>
  <c r="Q28" i="3"/>
  <c r="N29" i="3"/>
  <c r="Q29" i="3"/>
  <c r="N30" i="3"/>
  <c r="Q30" i="3"/>
  <c r="N31" i="3"/>
  <c r="Q31" i="3"/>
  <c r="N32" i="3"/>
  <c r="Q32" i="3"/>
  <c r="N33" i="3"/>
  <c r="Q33" i="3"/>
  <c r="N34" i="3"/>
  <c r="Q34" i="3"/>
  <c r="N35" i="3"/>
  <c r="Q35" i="3"/>
  <c r="N36" i="3"/>
  <c r="Q36" i="3"/>
  <c r="N37" i="3"/>
  <c r="Q37" i="3"/>
  <c r="N38" i="3"/>
  <c r="Q38" i="3"/>
  <c r="N39" i="3"/>
  <c r="Q39" i="3"/>
  <c r="N40" i="3"/>
  <c r="Q40" i="3"/>
  <c r="N41" i="3"/>
  <c r="Q41" i="3"/>
  <c r="N42" i="3"/>
  <c r="Q42" i="3"/>
  <c r="N43" i="3"/>
  <c r="Q43" i="3"/>
  <c r="N44" i="3"/>
  <c r="Q44" i="3"/>
  <c r="N45" i="3"/>
  <c r="Q45" i="3"/>
  <c r="N46" i="3"/>
  <c r="Q46" i="3"/>
  <c r="N47" i="3"/>
  <c r="Q47" i="3"/>
  <c r="N48" i="3"/>
  <c r="Q48" i="3"/>
  <c r="N49" i="3"/>
  <c r="Q49" i="3"/>
  <c r="R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P3" i="3"/>
  <c r="D19" i="9"/>
  <c r="D21" i="9"/>
  <c r="D23" i="9"/>
  <c r="D25" i="9"/>
  <c r="Z9" i="8"/>
  <c r="Z3" i="8"/>
  <c r="Z10" i="8"/>
  <c r="D3" i="11"/>
  <c r="D4" i="11"/>
  <c r="D5" i="11"/>
  <c r="D6" i="11"/>
  <c r="D7" i="11"/>
  <c r="D8" i="11"/>
  <c r="D9" i="11"/>
  <c r="D10" i="11"/>
  <c r="D11" i="11"/>
  <c r="D12" i="11"/>
  <c r="D2" i="11"/>
  <c r="I1" i="11"/>
  <c r="Z5" i="8"/>
  <c r="Z4" i="8"/>
  <c r="Z7" i="8"/>
  <c r="Z6" i="8"/>
  <c r="D17" i="10"/>
  <c r="D14" i="10"/>
  <c r="D15" i="10"/>
  <c r="D16" i="10"/>
  <c r="D18" i="10"/>
  <c r="D13" i="10"/>
  <c r="D19" i="10"/>
  <c r="D8" i="10"/>
  <c r="D4" i="10"/>
  <c r="D3" i="10"/>
  <c r="D6" i="10"/>
  <c r="D5" i="10"/>
  <c r="D7" i="10"/>
  <c r="D12" i="10"/>
  <c r="D10" i="10"/>
  <c r="D9" i="10"/>
  <c r="D11" i="10"/>
  <c r="D2" i="10"/>
  <c r="D49" i="9"/>
  <c r="D50" i="9"/>
  <c r="D51" i="9"/>
  <c r="D52" i="9"/>
  <c r="D53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20" i="9"/>
  <c r="D22" i="9"/>
  <c r="D24" i="9"/>
  <c r="D26" i="9"/>
  <c r="D27" i="9"/>
  <c r="D28" i="9"/>
  <c r="D29" i="9"/>
  <c r="D30" i="9"/>
  <c r="D34" i="9"/>
  <c r="D35" i="9"/>
  <c r="D36" i="9"/>
  <c r="D37" i="9"/>
  <c r="D38" i="9"/>
  <c r="D39" i="9"/>
  <c r="D40" i="9"/>
  <c r="D41" i="9"/>
  <c r="Q12" i="5"/>
  <c r="T12" i="5"/>
  <c r="H4" i="5"/>
  <c r="H5" i="5"/>
  <c r="H6" i="5"/>
  <c r="H7" i="5"/>
  <c r="H8" i="5"/>
  <c r="H9" i="5"/>
  <c r="H10" i="5"/>
  <c r="H11" i="5"/>
  <c r="H12" i="5"/>
  <c r="H3" i="5"/>
  <c r="O4" i="7"/>
  <c r="O3" i="7"/>
  <c r="P4" i="5"/>
  <c r="P5" i="5"/>
  <c r="P6" i="5"/>
  <c r="P7" i="5"/>
  <c r="P8" i="5"/>
  <c r="P9" i="5"/>
  <c r="P10" i="5"/>
  <c r="P11" i="5"/>
  <c r="P12" i="5"/>
  <c r="P3" i="5"/>
  <c r="U14" i="1"/>
  <c r="U17" i="1"/>
  <c r="U24" i="1" s="1"/>
  <c r="U19" i="1"/>
  <c r="U13" i="1"/>
  <c r="R12" i="5"/>
  <c r="E81" i="4"/>
  <c r="T3" i="7"/>
  <c r="S4" i="7"/>
  <c r="S3" i="7"/>
  <c r="Q8" i="5"/>
  <c r="T8" i="5"/>
  <c r="Q3" i="5"/>
  <c r="T3" i="5"/>
  <c r="Q4" i="5"/>
  <c r="T4" i="5"/>
  <c r="Q5" i="5"/>
  <c r="T5" i="5"/>
  <c r="Q6" i="5"/>
  <c r="T6" i="5"/>
  <c r="Q7" i="5"/>
  <c r="T7" i="5"/>
  <c r="Q9" i="5"/>
  <c r="T9" i="5"/>
  <c r="Q10" i="5"/>
  <c r="T10" i="5"/>
  <c r="Q11" i="5"/>
  <c r="T11" i="5"/>
  <c r="U3" i="5"/>
  <c r="V3" i="8"/>
  <c r="Q4" i="8"/>
  <c r="V4" i="8" s="1"/>
  <c r="Q5" i="8"/>
  <c r="V5" i="8" s="1"/>
  <c r="Q6" i="8"/>
  <c r="R6" i="8" s="1"/>
  <c r="V6" i="8"/>
  <c r="Q7" i="8"/>
  <c r="T7" i="8" s="1"/>
  <c r="Q8" i="8"/>
  <c r="V8" i="8" s="1"/>
  <c r="Q9" i="8"/>
  <c r="V9" i="8" s="1"/>
  <c r="Q10" i="8"/>
  <c r="T10" i="8" s="1"/>
  <c r="Q11" i="8"/>
  <c r="V11" i="8" s="1"/>
  <c r="T4" i="8"/>
  <c r="T5" i="8"/>
  <c r="T11" i="8"/>
  <c r="R4" i="8"/>
  <c r="R5" i="8"/>
  <c r="R11" i="8"/>
  <c r="R12" i="8"/>
  <c r="R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3" i="4"/>
  <c r="R3" i="7"/>
  <c r="Q3" i="7"/>
  <c r="P3" i="7"/>
  <c r="R3" i="5"/>
  <c r="R4" i="5"/>
  <c r="R5" i="5"/>
  <c r="R6" i="5"/>
  <c r="R7" i="5"/>
  <c r="R8" i="5"/>
  <c r="R9" i="5"/>
  <c r="R10" i="5"/>
  <c r="R11" i="5"/>
  <c r="S3" i="5"/>
  <c r="P4" i="7"/>
  <c r="Q4" i="7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3" i="4"/>
  <c r="O3" i="4"/>
  <c r="C109" i="1"/>
  <c r="C111" i="1"/>
  <c r="C94" i="1"/>
  <c r="C108" i="1"/>
  <c r="C106" i="1"/>
  <c r="C86" i="1"/>
  <c r="C78" i="1"/>
  <c r="C75" i="1"/>
  <c r="C132" i="1"/>
  <c r="C117" i="1"/>
  <c r="C112" i="1"/>
  <c r="C140" i="1"/>
  <c r="C114" i="1"/>
  <c r="C82" i="1"/>
  <c r="C77" i="1"/>
  <c r="C54" i="1"/>
  <c r="C91" i="1"/>
  <c r="C83" i="1"/>
  <c r="C58" i="1"/>
  <c r="C96" i="1"/>
  <c r="C61" i="1"/>
  <c r="C81" i="1"/>
  <c r="C29" i="1"/>
  <c r="C76" i="1"/>
  <c r="C39" i="1"/>
  <c r="C24" i="1"/>
  <c r="C18" i="1"/>
  <c r="C15" i="1"/>
  <c r="C13" i="1"/>
  <c r="C6" i="1"/>
  <c r="C11" i="1"/>
  <c r="B164" i="1"/>
  <c r="C164" i="1"/>
  <c r="B158" i="1"/>
  <c r="C158" i="1"/>
  <c r="B159" i="1"/>
  <c r="B131" i="1"/>
  <c r="C131" i="1"/>
  <c r="C159" i="1"/>
  <c r="C57" i="1"/>
  <c r="C103" i="1"/>
  <c r="C80" i="1"/>
  <c r="C129" i="1"/>
  <c r="C33" i="1"/>
  <c r="C100" i="1"/>
  <c r="C84" i="1"/>
  <c r="C38" i="1"/>
  <c r="C42" i="1"/>
  <c r="C37" i="1"/>
  <c r="C79" i="1"/>
  <c r="C107" i="1"/>
  <c r="C121" i="1"/>
  <c r="C90" i="1"/>
  <c r="C85" i="1"/>
  <c r="C55" i="1"/>
  <c r="C36" i="1"/>
  <c r="C67" i="1"/>
  <c r="C52" i="1"/>
  <c r="C48" i="1"/>
  <c r="C46" i="1"/>
  <c r="C44" i="1"/>
  <c r="C70" i="1"/>
  <c r="C65" i="1"/>
  <c r="C43" i="1"/>
  <c r="C21" i="1"/>
  <c r="C27" i="1"/>
  <c r="C16" i="1"/>
  <c r="C34" i="1"/>
  <c r="C71" i="1"/>
  <c r="C66" i="1"/>
  <c r="C63" i="1"/>
  <c r="C62" i="1"/>
  <c r="C59" i="1"/>
  <c r="C47" i="1"/>
  <c r="C40" i="1"/>
  <c r="C30" i="1"/>
  <c r="C25" i="1"/>
  <c r="C23" i="1"/>
  <c r="C17" i="1"/>
  <c r="C138" i="1"/>
  <c r="C74" i="1"/>
  <c r="C53" i="1"/>
  <c r="C150" i="1"/>
  <c r="C161" i="1"/>
  <c r="C14" i="1"/>
  <c r="C12" i="1"/>
  <c r="C10" i="1"/>
  <c r="C9" i="1"/>
  <c r="C87" i="1"/>
  <c r="C72" i="1"/>
  <c r="C133" i="1"/>
  <c r="C64" i="1"/>
  <c r="C88" i="1"/>
  <c r="C35" i="1"/>
  <c r="C60" i="1"/>
  <c r="C56" i="1"/>
  <c r="C41" i="1"/>
  <c r="C32" i="1"/>
  <c r="C31" i="1"/>
  <c r="C28" i="1"/>
  <c r="C22" i="1"/>
  <c r="C20" i="1"/>
  <c r="C8" i="1"/>
  <c r="C7" i="1"/>
  <c r="C153" i="1"/>
  <c r="C145" i="1"/>
  <c r="C118" i="1"/>
  <c r="B168" i="1"/>
  <c r="B162" i="1"/>
  <c r="B155" i="1"/>
  <c r="B147" i="1"/>
  <c r="B136" i="1"/>
  <c r="B166" i="1"/>
  <c r="B156" i="1"/>
  <c r="C69" i="1"/>
  <c r="M4" i="4" l="1"/>
  <c r="E82" i="4"/>
  <c r="M12" i="4"/>
  <c r="M28" i="4"/>
  <c r="M44" i="4"/>
  <c r="M54" i="4"/>
  <c r="M65" i="4"/>
  <c r="M76" i="4"/>
  <c r="M14" i="4"/>
  <c r="M30" i="4"/>
  <c r="M57" i="4"/>
  <c r="M68" i="4"/>
  <c r="M35" i="4"/>
  <c r="M48" i="4"/>
  <c r="M69" i="4"/>
  <c r="M20" i="4"/>
  <c r="M49" i="4"/>
  <c r="M60" i="4"/>
  <c r="M13" i="4"/>
  <c r="M29" i="4"/>
  <c r="M45" i="4"/>
  <c r="M56" i="4"/>
  <c r="M67" i="4"/>
  <c r="M77" i="4"/>
  <c r="M46" i="4"/>
  <c r="M78" i="4"/>
  <c r="M19" i="4"/>
  <c r="M59" i="4"/>
  <c r="M80" i="4"/>
  <c r="M36" i="4"/>
  <c r="M81" i="4"/>
  <c r="M21" i="4"/>
  <c r="M37" i="4"/>
  <c r="M51" i="4"/>
  <c r="M61" i="4"/>
  <c r="M72" i="4"/>
  <c r="M22" i="4"/>
  <c r="M38" i="4"/>
  <c r="M52" i="4"/>
  <c r="M62" i="4"/>
  <c r="M73" i="4"/>
  <c r="M11" i="4"/>
  <c r="M27" i="4"/>
  <c r="M43" i="4"/>
  <c r="M53" i="4"/>
  <c r="M64" i="4"/>
  <c r="M75" i="4"/>
  <c r="M70" i="4"/>
  <c r="R3" i="8"/>
  <c r="T6" i="8"/>
  <c r="U3" i="8" s="1"/>
  <c r="R10" i="8"/>
  <c r="V10" i="8"/>
  <c r="I10" i="6"/>
  <c r="V18" i="6" s="1"/>
  <c r="M3" i="3"/>
  <c r="M10" i="3"/>
  <c r="M18" i="3"/>
  <c r="M26" i="3"/>
  <c r="M34" i="3"/>
  <c r="M42" i="3"/>
  <c r="M11" i="3"/>
  <c r="M19" i="3"/>
  <c r="M27" i="3"/>
  <c r="M35" i="3"/>
  <c r="M43" i="3"/>
  <c r="E51" i="3"/>
  <c r="M51" i="3" s="1"/>
  <c r="M4" i="3"/>
  <c r="M12" i="3"/>
  <c r="M20" i="3"/>
  <c r="M28" i="3"/>
  <c r="M36" i="3"/>
  <c r="M44" i="3"/>
  <c r="M50" i="3"/>
  <c r="M5" i="3"/>
  <c r="M13" i="3"/>
  <c r="M21" i="3"/>
  <c r="M29" i="3"/>
  <c r="M37" i="3"/>
  <c r="M45" i="3"/>
  <c r="M46" i="3"/>
  <c r="M6" i="3"/>
  <c r="M14" i="3"/>
  <c r="M22" i="3"/>
  <c r="M30" i="3"/>
  <c r="M38" i="3"/>
  <c r="M47" i="3"/>
  <c r="M7" i="3"/>
  <c r="M15" i="3"/>
  <c r="M23" i="3"/>
  <c r="M31" i="3"/>
  <c r="M39" i="3"/>
  <c r="M48" i="3"/>
  <c r="M8" i="3"/>
  <c r="M16" i="3"/>
  <c r="M24" i="3"/>
  <c r="M32" i="3"/>
  <c r="M40" i="3"/>
  <c r="M49" i="3"/>
  <c r="M9" i="3"/>
  <c r="M17" i="3"/>
  <c r="M25" i="3"/>
  <c r="M33" i="3"/>
  <c r="M41" i="3"/>
  <c r="V7" i="8"/>
  <c r="W3" i="8" s="1"/>
  <c r="M82" i="4"/>
  <c r="M74" i="4"/>
  <c r="M66" i="4"/>
  <c r="M58" i="4"/>
  <c r="M50" i="4"/>
  <c r="M42" i="4"/>
  <c r="M34" i="4"/>
  <c r="M26" i="4"/>
  <c r="M18" i="4"/>
  <c r="M10" i="4"/>
  <c r="R9" i="8"/>
  <c r="T9" i="8"/>
  <c r="M41" i="4"/>
  <c r="M33" i="4"/>
  <c r="M25" i="4"/>
  <c r="M17" i="4"/>
  <c r="M9" i="4"/>
  <c r="G11" i="6"/>
  <c r="H11" i="6" s="1"/>
  <c r="I11" i="6" s="1"/>
  <c r="R8" i="8"/>
  <c r="T8" i="8"/>
  <c r="M40" i="4"/>
  <c r="M32" i="4"/>
  <c r="M24" i="4"/>
  <c r="M16" i="4"/>
  <c r="M8" i="4"/>
  <c r="G26" i="6"/>
  <c r="H26" i="6" s="1"/>
  <c r="I26" i="6" s="1"/>
  <c r="R7" i="8"/>
  <c r="M79" i="4"/>
  <c r="M71" i="4"/>
  <c r="M63" i="4"/>
  <c r="M55" i="4"/>
  <c r="M47" i="4"/>
  <c r="M39" i="4"/>
  <c r="M31" i="4"/>
  <c r="M23" i="4"/>
  <c r="M15" i="4"/>
  <c r="M7" i="4"/>
  <c r="M6" i="4"/>
  <c r="G27" i="6"/>
  <c r="H27" i="6" s="1"/>
  <c r="I27" i="6" s="1"/>
  <c r="M5" i="4"/>
  <c r="U18" i="6"/>
  <c r="U9" i="6" l="1"/>
  <c r="S3" i="8"/>
  <c r="H3" i="6" l="1"/>
  <c r="H30" i="6"/>
  <c r="I30" i="6" s="1"/>
  <c r="H21" i="6"/>
  <c r="H24" i="6"/>
  <c r="H18" i="6"/>
  <c r="I18" i="6" s="1"/>
  <c r="H6" i="6"/>
  <c r="I6" i="6" s="1"/>
  <c r="H9" i="6"/>
  <c r="H19" i="6"/>
  <c r="I19" i="6" s="1"/>
  <c r="H22" i="6"/>
  <c r="I22" i="6" s="1"/>
  <c r="H29" i="6"/>
  <c r="I29" i="6" s="1"/>
  <c r="H4" i="6"/>
  <c r="I4" i="6" s="1"/>
  <c r="H28" i="6"/>
  <c r="H16" i="6"/>
  <c r="I16" i="6" s="1"/>
  <c r="H14" i="6"/>
  <c r="I14" i="6" s="1"/>
  <c r="H7" i="6"/>
  <c r="I7" i="6" s="1"/>
  <c r="H20" i="6"/>
  <c r="I20" i="6" s="1"/>
  <c r="H31" i="6"/>
  <c r="I31" i="6" s="1"/>
  <c r="H17" i="6"/>
  <c r="I17" i="6" s="1"/>
  <c r="H15" i="6"/>
  <c r="H25" i="6"/>
  <c r="I25" i="6" s="1"/>
  <c r="H5" i="6"/>
  <c r="H23" i="6"/>
  <c r="I23" i="6" s="1"/>
  <c r="H13" i="6"/>
  <c r="H8" i="6"/>
  <c r="I8" i="6" s="1"/>
  <c r="H12" i="6"/>
  <c r="I9" i="6" l="1"/>
  <c r="V30" i="6" s="1"/>
  <c r="U30" i="6"/>
  <c r="I13" i="6"/>
  <c r="V24" i="6" s="1"/>
  <c r="U24" i="6"/>
  <c r="U15" i="6"/>
  <c r="I28" i="6"/>
  <c r="V15" i="6" s="1"/>
  <c r="U23" i="6"/>
  <c r="I24" i="6"/>
  <c r="V23" i="6" s="1"/>
  <c r="U16" i="6"/>
  <c r="I15" i="6"/>
  <c r="V16" i="6" s="1"/>
  <c r="I21" i="6"/>
  <c r="V17" i="6" s="1"/>
  <c r="U17" i="6"/>
  <c r="U19" i="6"/>
  <c r="I5" i="6"/>
  <c r="V19" i="6" s="1"/>
  <c r="I12" i="6"/>
  <c r="V14" i="6" s="1"/>
  <c r="U14" i="6"/>
  <c r="U31" i="6"/>
  <c r="I3" i="6"/>
  <c r="V31" i="6" s="1"/>
  <c r="U11" i="6" l="1"/>
  <c r="U12" i="6"/>
</calcChain>
</file>

<file path=xl/sharedStrings.xml><?xml version="1.0" encoding="utf-8"?>
<sst xmlns="http://schemas.openxmlformats.org/spreadsheetml/2006/main" count="1847" uniqueCount="401">
  <si>
    <t>Price</t>
  </si>
  <si>
    <t>Fiat 500e</t>
  </si>
  <si>
    <t>Nissan leaf</t>
  </si>
  <si>
    <t>Chevrolet volt</t>
  </si>
  <si>
    <t>Toyota Corolla</t>
  </si>
  <si>
    <t>Honda CRV</t>
  </si>
  <si>
    <t>Jeep Grand Cherokee</t>
  </si>
  <si>
    <t>Ford Explorer</t>
  </si>
  <si>
    <t>Toyota Prius</t>
  </si>
  <si>
    <t>Toyota Camry</t>
  </si>
  <si>
    <t>Lexus NX</t>
  </si>
  <si>
    <t>Ford F</t>
  </si>
  <si>
    <t>Tesla S</t>
  </si>
  <si>
    <t>BMW X5 eDrive</t>
  </si>
  <si>
    <t>Chevrolet Spark</t>
  </si>
  <si>
    <t>BMW i3</t>
  </si>
  <si>
    <t>Ford c-Max energi</t>
  </si>
  <si>
    <t>Honda Civic</t>
  </si>
  <si>
    <t>Toyota RAV4</t>
  </si>
  <si>
    <t xml:space="preserve">Subaru Outback </t>
  </si>
  <si>
    <t>Toyota Highlander</t>
  </si>
  <si>
    <t>Honda Accord</t>
  </si>
  <si>
    <t>Ford mustang</t>
  </si>
  <si>
    <t>Chevrolet silverado</t>
  </si>
  <si>
    <t>Tesla X</t>
  </si>
  <si>
    <t>Porsche Cayenne Hybrid</t>
  </si>
  <si>
    <t>Smart Fortwo</t>
  </si>
  <si>
    <t>Volkswangen e-golf</t>
  </si>
  <si>
    <t>Audi A3 e-tron</t>
  </si>
  <si>
    <t>Nissan Sentra</t>
  </si>
  <si>
    <t>Nissan Rogue</t>
  </si>
  <si>
    <t>Nissan Altima</t>
  </si>
  <si>
    <t>Chevrolet Impala</t>
  </si>
  <si>
    <t>Ram P/U</t>
  </si>
  <si>
    <t>Volvo XC90 Hybrid</t>
  </si>
  <si>
    <t>Kia Soul EV</t>
  </si>
  <si>
    <t>Hyundai Elantra</t>
  </si>
  <si>
    <t>Ford Escape</t>
  </si>
  <si>
    <t>Chevrolet traverse</t>
  </si>
  <si>
    <t xml:space="preserve">Toyota sienna </t>
  </si>
  <si>
    <t>Ford fusion</t>
  </si>
  <si>
    <t>Dodge Charger</t>
  </si>
  <si>
    <t>GMC Sierra</t>
  </si>
  <si>
    <t>BMW i8</t>
  </si>
  <si>
    <t>Ford Focus Electric</t>
  </si>
  <si>
    <t>Chevrolet cruze</t>
  </si>
  <si>
    <t>Chevrolet Equinox</t>
  </si>
  <si>
    <t>Kia Sorento</t>
  </si>
  <si>
    <t xml:space="preserve">Dodge Grand Caravan </t>
  </si>
  <si>
    <t>Chevrolet Malibu</t>
  </si>
  <si>
    <t>Benz C-class</t>
  </si>
  <si>
    <t xml:space="preserve">Toyota Tacoma </t>
  </si>
  <si>
    <t>Ford Focus</t>
  </si>
  <si>
    <t>Jeep Cherokee</t>
  </si>
  <si>
    <t>Toyota 4Runner</t>
  </si>
  <si>
    <t>Honda odyssey</t>
  </si>
  <si>
    <t>Hyundai Sonata</t>
  </si>
  <si>
    <t>Chevrolet Camaro</t>
  </si>
  <si>
    <t>Toyota Tundra</t>
  </si>
  <si>
    <t xml:space="preserve">Kia soul </t>
  </si>
  <si>
    <t xml:space="preserve">Jeep Wrangler </t>
  </si>
  <si>
    <t>Dodge Journey</t>
  </si>
  <si>
    <t>Honda pilot</t>
  </si>
  <si>
    <t>Kia Optima</t>
  </si>
  <si>
    <t xml:space="preserve">BMW 3 series </t>
  </si>
  <si>
    <t>Chevrolet Colorado</t>
  </si>
  <si>
    <t>Nissan Versa</t>
  </si>
  <si>
    <t>Subaru Forester</t>
  </si>
  <si>
    <t>Nissan Murano</t>
  </si>
  <si>
    <t>Chevrolet Tahoe</t>
  </si>
  <si>
    <t>Volkswagen Passat</t>
  </si>
  <si>
    <t>Dodge Challenger</t>
  </si>
  <si>
    <t>Nissan Frontier</t>
  </si>
  <si>
    <t>Volkwagen Jetta</t>
  </si>
  <si>
    <t>Ford Edge</t>
  </si>
  <si>
    <t>Honda HR-V</t>
  </si>
  <si>
    <t>GMC Acadia</t>
  </si>
  <si>
    <t>Subaru Legacy</t>
  </si>
  <si>
    <t>Nissan Maxima</t>
  </si>
  <si>
    <t>Kia Forte</t>
  </si>
  <si>
    <t>Jeep Patriot</t>
  </si>
  <si>
    <t>Dodge Durango</t>
  </si>
  <si>
    <t>Nissan Pathfinder</t>
  </si>
  <si>
    <t>Mazda 3</t>
  </si>
  <si>
    <t>Mazda CX-5</t>
  </si>
  <si>
    <t>Chevrolet Express</t>
  </si>
  <si>
    <t>Subaru Impreza</t>
  </si>
  <si>
    <t>Jeep Renegade</t>
  </si>
  <si>
    <t>Chrysler Pacifica</t>
  </si>
  <si>
    <t>Hyundai Accent</t>
  </si>
  <si>
    <t>Subaru Crosstrek</t>
  </si>
  <si>
    <t>Volkswagen Golf</t>
  </si>
  <si>
    <t xml:space="preserve">Jeep Compass </t>
  </si>
  <si>
    <t>Hyundai Tucson</t>
  </si>
  <si>
    <t>GMC terrain</t>
  </si>
  <si>
    <t>Kia sportage</t>
  </si>
  <si>
    <t>Chevrolet trax</t>
  </si>
  <si>
    <t>Buick Encore</t>
  </si>
  <si>
    <t>Segement</t>
  </si>
  <si>
    <t>Fuel</t>
  </si>
  <si>
    <t>Subcompact</t>
  </si>
  <si>
    <t>EV</t>
  </si>
  <si>
    <t>Model</t>
  </si>
  <si>
    <t>Compact</t>
  </si>
  <si>
    <t>Hybrid</t>
  </si>
  <si>
    <t>ICV</t>
  </si>
  <si>
    <t>Compact SUV</t>
  </si>
  <si>
    <t>Mid SUV</t>
  </si>
  <si>
    <t>Large SUV</t>
  </si>
  <si>
    <t>Minivan</t>
  </si>
  <si>
    <t>Large van</t>
  </si>
  <si>
    <t>USA 2016</t>
  </si>
  <si>
    <t>USA 2015</t>
  </si>
  <si>
    <t>CA 2016</t>
  </si>
  <si>
    <t xml:space="preserve">Mid   </t>
  </si>
  <si>
    <t>Honda fit</t>
  </si>
  <si>
    <t xml:space="preserve">Fiat 500 </t>
  </si>
  <si>
    <t>Hyundai Veloster</t>
  </si>
  <si>
    <t>Mazda MX5</t>
  </si>
  <si>
    <t xml:space="preserve">Sport </t>
  </si>
  <si>
    <t>Large</t>
  </si>
  <si>
    <t>Toyota Avalon</t>
  </si>
  <si>
    <t>Chrysler 300</t>
  </si>
  <si>
    <t>Audi A3</t>
  </si>
  <si>
    <t>Luxury</t>
  </si>
  <si>
    <t>BMW 2 series</t>
  </si>
  <si>
    <t>Benz CLA-Class</t>
  </si>
  <si>
    <t>Lexus ES</t>
  </si>
  <si>
    <t>Lexus IS</t>
  </si>
  <si>
    <t>BMW 4 series</t>
  </si>
  <si>
    <t>Benz E-class</t>
  </si>
  <si>
    <t>BMW 5 series</t>
  </si>
  <si>
    <t>Benz S-class</t>
  </si>
  <si>
    <t>Lexus GS</t>
  </si>
  <si>
    <t>GMC canyon</t>
  </si>
  <si>
    <t>Honda Ridgeline</t>
  </si>
  <si>
    <t>Mid pickup</t>
  </si>
  <si>
    <t>Kia Sedona</t>
  </si>
  <si>
    <t>Nissan NV</t>
  </si>
  <si>
    <t>Benz-Sprinter</t>
  </si>
  <si>
    <t>Ram Promaster</t>
  </si>
  <si>
    <t>Mini Countryman</t>
  </si>
  <si>
    <t>Chevrolet suburban</t>
  </si>
  <si>
    <t>GMC Yukon</t>
  </si>
  <si>
    <t>Ford Flex</t>
  </si>
  <si>
    <t>GMC yukon XL</t>
  </si>
  <si>
    <t>BMW X1</t>
  </si>
  <si>
    <t>Benz GLA-class</t>
  </si>
  <si>
    <t>Audi Q3</t>
  </si>
  <si>
    <t>Infiniti QX30</t>
  </si>
  <si>
    <t>Subcompact SUV</t>
  </si>
  <si>
    <t>Benz GLC/GLK-class</t>
  </si>
  <si>
    <t>Audi Q5</t>
  </si>
  <si>
    <t>Acura RDX</t>
  </si>
  <si>
    <t>BMW X3</t>
  </si>
  <si>
    <t>Lexus RX</t>
  </si>
  <si>
    <t>Benz GLE/M-class</t>
  </si>
  <si>
    <t>BMW X5</t>
  </si>
  <si>
    <t>Acura MDX</t>
  </si>
  <si>
    <t>Cadillac Escalade</t>
  </si>
  <si>
    <t>Land rover range rover</t>
  </si>
  <si>
    <t>Infiniti QX80/QX56</t>
  </si>
  <si>
    <t>Benz G-class</t>
  </si>
  <si>
    <t>Benz GLS/GL-class</t>
  </si>
  <si>
    <t>Mid</t>
  </si>
  <si>
    <t>kwh/mile</t>
  </si>
  <si>
    <t>gal(e)/mile</t>
  </si>
  <si>
    <t>Large pickup</t>
  </si>
  <si>
    <t>Plug-in</t>
  </si>
  <si>
    <t>Chevrolet Bolt</t>
  </si>
  <si>
    <t xml:space="preserve">Subcompact  </t>
  </si>
  <si>
    <t>Toyota prius prime</t>
  </si>
  <si>
    <t>Ford fusion Energi</t>
  </si>
  <si>
    <t>https://www.fueleconomy.gov/feg/PowerSearch.do?action=alts&amp;path=3&amp;year1=2017&amp;year2=2018&amp;vtype=Electric&amp;srchtyp=newAfv</t>
  </si>
  <si>
    <t xml:space="preserve">California </t>
  </si>
  <si>
    <t xml:space="preserve">USA </t>
  </si>
  <si>
    <t>Fuel economy</t>
  </si>
  <si>
    <t>Hyndai Santa Fe</t>
  </si>
  <si>
    <t>Ford Transit*</t>
  </si>
  <si>
    <t>*Note: Fuel economy listed for the Transit Connect</t>
  </si>
  <si>
    <t>* Note : Fuel economy from http://www.fuelly.com/car/mercedes-benz/sprinter_2500</t>
  </si>
  <si>
    <t>Note</t>
  </si>
  <si>
    <t>Type</t>
  </si>
  <si>
    <t>Car</t>
  </si>
  <si>
    <t>LDT</t>
  </si>
  <si>
    <t>Weight</t>
  </si>
  <si>
    <t>Weighted price</t>
  </si>
  <si>
    <t>Total</t>
  </si>
  <si>
    <t>Ford fusion hybrid</t>
  </si>
  <si>
    <t>Honda Accord hybrid</t>
  </si>
  <si>
    <t>Toyota camry hybrid</t>
  </si>
  <si>
    <t>Toyota Avalon hybrid</t>
  </si>
  <si>
    <t>Toyota Highlander hybrid</t>
  </si>
  <si>
    <t>Lexus RX 400 / 450 hybrid</t>
  </si>
  <si>
    <t>Lexus CT200h hybrid</t>
  </si>
  <si>
    <t>Ford C-Max hybrid</t>
  </si>
  <si>
    <t>Chevrolet Malibu Hybrid</t>
  </si>
  <si>
    <t>Lexus ES Hybrid</t>
  </si>
  <si>
    <t>*Note: http://www.hybridcars.com/december-2016-dashboard/</t>
  </si>
  <si>
    <t>Toyota RAV4 hybrid</t>
  </si>
  <si>
    <t>Toyota prius C</t>
  </si>
  <si>
    <t>Hyundai sonota hybrid</t>
  </si>
  <si>
    <t>Toyota prius V</t>
  </si>
  <si>
    <t>Lincoln MKZ hybrid</t>
  </si>
  <si>
    <t>Kia Optima hybrid</t>
  </si>
  <si>
    <t>Hyundai Sonata hybrid (plug in)</t>
  </si>
  <si>
    <t>Wighed fuel economy</t>
  </si>
  <si>
    <t>Weighted fuel economy</t>
  </si>
  <si>
    <t>Weighted elec</t>
  </si>
  <si>
    <t>Wieghted gas</t>
  </si>
  <si>
    <t>Chevrolet Spark EV</t>
  </si>
  <si>
    <t>Mercedes B-Class EV</t>
  </si>
  <si>
    <t>Cars</t>
  </si>
  <si>
    <t>Plug in + EV</t>
  </si>
  <si>
    <t>Plug in</t>
  </si>
  <si>
    <t>Uncertainty</t>
  </si>
  <si>
    <t xml:space="preserve">Compact Plug - in </t>
  </si>
  <si>
    <t xml:space="preserve">SUV Plug in </t>
  </si>
  <si>
    <t>Car EV</t>
  </si>
  <si>
    <t>SUV EV</t>
  </si>
  <si>
    <t>US 2016 Sales</t>
  </si>
  <si>
    <t xml:space="preserve">Total </t>
  </si>
  <si>
    <t>Hybrid Car</t>
  </si>
  <si>
    <t>Hybrid SUV</t>
  </si>
  <si>
    <t>Includes only top 20 selling models</t>
  </si>
  <si>
    <t>Hybrids</t>
  </si>
  <si>
    <t>ICV Car</t>
  </si>
  <si>
    <t>ICV LDT</t>
  </si>
  <si>
    <t>Included Models</t>
  </si>
  <si>
    <t>P total US ICV Car Sales</t>
  </si>
  <si>
    <t>Remaining Vehicles</t>
  </si>
  <si>
    <t>Remaining</t>
  </si>
  <si>
    <t>P Total Sales</t>
  </si>
  <si>
    <t>Full Federal tax credit</t>
  </si>
  <si>
    <t>CVRP</t>
  </si>
  <si>
    <t>Full federal tax credit</t>
  </si>
  <si>
    <t xml:space="preserve">BMW 7-Series </t>
  </si>
  <si>
    <t>BMW 2-series</t>
  </si>
  <si>
    <t>% of Category</t>
  </si>
  <si>
    <t>Mfr</t>
  </si>
  <si>
    <t>CY 2016</t>
  </si>
  <si>
    <t>CY 2015</t>
  </si>
  <si>
    <t>Toyota</t>
  </si>
  <si>
    <t>Prius Liftback</t>
  </si>
  <si>
    <t>RAV4</t>
  </si>
  <si>
    <t>Ford</t>
  </si>
  <si>
    <t>Fusion Hybrid</t>
  </si>
  <si>
    <t>Honda</t>
  </si>
  <si>
    <t>Accord Hybrid</t>
  </si>
  <si>
    <t xml:space="preserve">Camry Hybrid </t>
  </si>
  <si>
    <t>Prius C</t>
  </si>
  <si>
    <t>Hyundai</t>
  </si>
  <si>
    <t>Sonata</t>
  </si>
  <si>
    <t>Prius V</t>
  </si>
  <si>
    <t>Avalon Hybrid</t>
  </si>
  <si>
    <t>Highlander Hybrid</t>
  </si>
  <si>
    <t>Lexus</t>
  </si>
  <si>
    <t>RX 400 / 450 h</t>
  </si>
  <si>
    <t>CT200h</t>
  </si>
  <si>
    <t>C-Max Hybrid</t>
  </si>
  <si>
    <t>Chevrolet</t>
  </si>
  <si>
    <t>Malibu Hybrid</t>
  </si>
  <si>
    <t>ES Hybrid</t>
  </si>
  <si>
    <t>Lincoln</t>
  </si>
  <si>
    <t>MKZ</t>
  </si>
  <si>
    <t>Kia</t>
  </si>
  <si>
    <t>Optima Hybrid</t>
  </si>
  <si>
    <t>NX Hybrid</t>
  </si>
  <si>
    <t>Infiniti</t>
  </si>
  <si>
    <t>Q50 Hybrid</t>
  </si>
  <si>
    <t>CR-Z</t>
  </si>
  <si>
    <t>QX60 Hybrid</t>
  </si>
  <si>
    <t>Nissan</t>
  </si>
  <si>
    <t>Pathfinder Hybrid</t>
  </si>
  <si>
    <t>Acura</t>
  </si>
  <si>
    <t>NSX Hybrid</t>
  </si>
  <si>
    <t>-</t>
  </si>
  <si>
    <t>Volkswagen</t>
  </si>
  <si>
    <t>Jetta Hybrid</t>
  </si>
  <si>
    <t>RLX Hybrid</t>
  </si>
  <si>
    <t>Buick</t>
  </si>
  <si>
    <t>Lacrosse Hybrid</t>
  </si>
  <si>
    <t>Subaru</t>
  </si>
  <si>
    <t>XV Crosstrek Hybrid</t>
  </si>
  <si>
    <t>Civic Hybrid</t>
  </si>
  <si>
    <t>Q70 Hybrid</t>
  </si>
  <si>
    <t>Insight</t>
  </si>
  <si>
    <t>GS 450h</t>
  </si>
  <si>
    <t>LS 600h</t>
  </si>
  <si>
    <t>Regal Hybrid</t>
  </si>
  <si>
    <t>ILX Hybrid</t>
  </si>
  <si>
    <t>Audi</t>
  </si>
  <si>
    <t>Q5 Hybrid</t>
  </si>
  <si>
    <t>BMW</t>
  </si>
  <si>
    <t>ActiveHybrid 3 (335ih)</t>
  </si>
  <si>
    <t>ActiveHybrid 5 (535ih)</t>
  </si>
  <si>
    <t>7-Series ActiveHybrid</t>
  </si>
  <si>
    <t xml:space="preserve">Cadillac </t>
  </si>
  <si>
    <t>Escalade Hybrid</t>
  </si>
  <si>
    <t>Impala Hybrid</t>
  </si>
  <si>
    <t>Silverado Hybrid</t>
  </si>
  <si>
    <t>Tahoe Hybrid</t>
  </si>
  <si>
    <t xml:space="preserve">GMC </t>
  </si>
  <si>
    <t>Yukon Hybrid</t>
  </si>
  <si>
    <t>Sierra Hybrid</t>
  </si>
  <si>
    <t>HS 250h</t>
  </si>
  <si>
    <t>Mercedes</t>
  </si>
  <si>
    <t>E400H</t>
  </si>
  <si>
    <t>S400HV Hybrid</t>
  </si>
  <si>
    <t>ML450H</t>
  </si>
  <si>
    <t>Altima Hybrid</t>
  </si>
  <si>
    <t>Porsche</t>
  </si>
  <si>
    <t>Cayenne Hybrid</t>
  </si>
  <si>
    <t>Panamera S Hybrid</t>
  </si>
  <si>
    <t>Touareg Hybrid</t>
  </si>
  <si>
    <t>Percentage</t>
  </si>
  <si>
    <t>Mfgr</t>
  </si>
  <si>
    <t>Volt</t>
  </si>
  <si>
    <t>Prius Prime</t>
  </si>
  <si>
    <t>C-Max Energi</t>
  </si>
  <si>
    <t>Fusion Energi</t>
  </si>
  <si>
    <t>A3 Plug In</t>
  </si>
  <si>
    <t>X5</t>
  </si>
  <si>
    <t>Sonata Plug In*</t>
  </si>
  <si>
    <t>3-Series Plug in</t>
  </si>
  <si>
    <t>Volvo</t>
  </si>
  <si>
    <t>XC90 Plug In</t>
  </si>
  <si>
    <t>C350We Plug-in Hybrid</t>
  </si>
  <si>
    <t>Cayenne S E-Hybrid</t>
  </si>
  <si>
    <t>i8</t>
  </si>
  <si>
    <t>GLE 550e Hybrid</t>
  </si>
  <si>
    <t>S550 Plug In</t>
  </si>
  <si>
    <t>7-Series Plug in</t>
  </si>
  <si>
    <t>Cadillac</t>
  </si>
  <si>
    <t>ELR</t>
  </si>
  <si>
    <t>Panamera S E-Hybrid</t>
  </si>
  <si>
    <t>Accord Plug In</t>
  </si>
  <si>
    <t>Total PHEV (2016)</t>
  </si>
  <si>
    <t>%</t>
  </si>
  <si>
    <t>Mid SUV Luxury</t>
  </si>
  <si>
    <t>Large Luxury</t>
  </si>
  <si>
    <t>Compact Luxury</t>
  </si>
  <si>
    <t>Large luxury</t>
  </si>
  <si>
    <t>BMW 330e (3 series)</t>
  </si>
  <si>
    <t>Leaf</t>
  </si>
  <si>
    <t>i3**</t>
  </si>
  <si>
    <t>Bolt</t>
  </si>
  <si>
    <t>VW</t>
  </si>
  <si>
    <t>e-Golf</t>
  </si>
  <si>
    <t>Fiat</t>
  </si>
  <si>
    <t>500e*</t>
  </si>
  <si>
    <t>Soul EV</t>
  </si>
  <si>
    <t>Focus EV</t>
  </si>
  <si>
    <t>B-Class Eledtric</t>
  </si>
  <si>
    <t>Smart</t>
  </si>
  <si>
    <t>forTwo EV</t>
  </si>
  <si>
    <t>Spark</t>
  </si>
  <si>
    <t>Mitsubishi</t>
  </si>
  <si>
    <t>i</t>
  </si>
  <si>
    <t>Fit EV</t>
  </si>
  <si>
    <t>RAV4 EV</t>
  </si>
  <si>
    <t>Total EV 2016 except for Tesla</t>
  </si>
  <si>
    <t>Entry Luxury</t>
  </si>
  <si>
    <t xml:space="preserve">Near Luxury </t>
  </si>
  <si>
    <t>Luxury &amp; high end</t>
  </si>
  <si>
    <t>Sport</t>
  </si>
  <si>
    <t>Pickup Truck</t>
  </si>
  <si>
    <t>Luxury Sumcompact SUV</t>
  </si>
  <si>
    <t>Luxury Compact SUV</t>
  </si>
  <si>
    <t>Luxury Mid SUV</t>
  </si>
  <si>
    <t>Luxury Large SUV</t>
  </si>
  <si>
    <t xml:space="preserve">Large </t>
  </si>
  <si>
    <t>Mitsubishi i</t>
  </si>
  <si>
    <t>Mercedes S550 Plug In</t>
  </si>
  <si>
    <t>Cadillac ELR</t>
  </si>
  <si>
    <t>Porsche Panamera S E-Hybrid</t>
  </si>
  <si>
    <t>Mercedes GLE 550e Hybrid</t>
  </si>
  <si>
    <t>Mercedes C350We Plug-in Hybrid</t>
  </si>
  <si>
    <t>BMW 7-Series Plug in</t>
  </si>
  <si>
    <t>CA estimates</t>
  </si>
  <si>
    <t>Lexus NX Hybrid</t>
  </si>
  <si>
    <t>Prius</t>
  </si>
  <si>
    <t>Prius c</t>
  </si>
  <si>
    <t>Prius v</t>
  </si>
  <si>
    <t xml:space="preserve">Prius plug in </t>
  </si>
  <si>
    <t>USA</t>
  </si>
  <si>
    <t xml:space="preserve">CA </t>
  </si>
  <si>
    <t>Proportion</t>
  </si>
  <si>
    <t>The percentage of CA sale data available</t>
  </si>
  <si>
    <t>Segment</t>
  </si>
  <si>
    <t>California Auto Outlook</t>
  </si>
  <si>
    <t>goodcarbadcar</t>
  </si>
  <si>
    <t>EV-volumes</t>
  </si>
  <si>
    <t>fueleconomy.gov</t>
  </si>
  <si>
    <t>Hybridcars</t>
  </si>
  <si>
    <t xml:space="preserve">Source </t>
  </si>
  <si>
    <t xml:space="preserve">URL </t>
  </si>
  <si>
    <t>http://www.cncda.org/CMS/Pubs/CA%20Auto%20Outlook%204Q%202016.pdf</t>
  </si>
  <si>
    <t>http://www.goodcarbadcar.net/2017/01/usa-2016-vehicle-sales-by-model-manufacturer-brand/</t>
  </si>
  <si>
    <t>http://www.ev-volumes.com/news/usa-plug-in-vehicle-sales-for-2016/</t>
  </si>
  <si>
    <t>http://www.hybridcars.com/december-2016-dashboard/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</si>
</sst>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0.000"/>
    <numFmt numFmtId="166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7" borderId="0" applyNumberFormat="0" applyBorder="0" applyAlignment="0" applyProtection="0"/>
  </cellStyleXfs>
  <cellXfs count="122">
    <xf numFmtId="0" fontId="0" fillId="0" borderId="0" xfId="0"/>
    <xf numFmtId="0" fontId="2" fillId="3" borderId="0" xfId="2" applyFont="1" applyBorder="1" applyAlignment="1">
      <alignment horizontal="center"/>
    </xf>
    <xf numFmtId="0" fontId="2" fillId="4" borderId="0" xfId="3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164" fontId="5" fillId="0" borderId="0" xfId="0" applyNumberFormat="1" applyFont="1"/>
    <xf numFmtId="0" fontId="0" fillId="0" borderId="0" xfId="0" applyFont="1"/>
    <xf numFmtId="0" fontId="2" fillId="5" borderId="0" xfId="4" applyFont="1" applyBorder="1" applyAlignment="1">
      <alignment horizontal="center"/>
    </xf>
    <xf numFmtId="0" fontId="2" fillId="6" borderId="0" xfId="5" applyFont="1" applyBorder="1" applyAlignment="1">
      <alignment horizontal="center"/>
    </xf>
    <xf numFmtId="3" fontId="0" fillId="0" borderId="0" xfId="0" applyNumberFormat="1" applyFont="1"/>
    <xf numFmtId="3" fontId="0" fillId="0" borderId="0" xfId="0" applyNumberFormat="1" applyFont="1" applyBorder="1"/>
    <xf numFmtId="165" fontId="0" fillId="0" borderId="0" xfId="0" applyNumberFormat="1"/>
    <xf numFmtId="0" fontId="6" fillId="0" borderId="0" xfId="6"/>
    <xf numFmtId="3" fontId="0" fillId="0" borderId="0" xfId="0" applyNumberFormat="1"/>
    <xf numFmtId="165" fontId="0" fillId="0" borderId="0" xfId="0" applyNumberFormat="1" applyBorder="1"/>
    <xf numFmtId="0" fontId="0" fillId="0" borderId="0" xfId="0" applyBorder="1"/>
    <xf numFmtId="165" fontId="0" fillId="0" borderId="0" xfId="0" applyNumberFormat="1" applyFont="1" applyBorder="1"/>
    <xf numFmtId="0" fontId="0" fillId="0" borderId="0" xfId="0" applyFont="1" applyBorder="1"/>
    <xf numFmtId="3" fontId="7" fillId="0" borderId="0" xfId="0" applyNumberFormat="1" applyFont="1" applyBorder="1"/>
    <xf numFmtId="165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Fill="1" applyBorder="1"/>
    <xf numFmtId="3" fontId="0" fillId="0" borderId="0" xfId="0" applyNumberFormat="1" applyFont="1" applyFill="1" applyBorder="1"/>
    <xf numFmtId="0" fontId="0" fillId="0" borderId="0" xfId="0" applyFill="1" applyBorder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164" fontId="2" fillId="0" borderId="4" xfId="0" applyNumberFormat="1" applyFont="1" applyBorder="1"/>
    <xf numFmtId="164" fontId="0" fillId="0" borderId="0" xfId="0" applyNumberFormat="1" applyBorder="1"/>
    <xf numFmtId="0" fontId="0" fillId="0" borderId="5" xfId="0" applyBorder="1"/>
    <xf numFmtId="164" fontId="8" fillId="0" borderId="4" xfId="0" applyNumberFormat="1" applyFont="1" applyBorder="1"/>
    <xf numFmtId="3" fontId="0" fillId="0" borderId="0" xfId="0" applyNumberFormat="1" applyBorder="1"/>
    <xf numFmtId="0" fontId="2" fillId="0" borderId="4" xfId="0" applyFont="1" applyBorder="1"/>
    <xf numFmtId="0" fontId="2" fillId="0" borderId="6" xfId="0" applyFont="1" applyBorder="1"/>
    <xf numFmtId="164" fontId="0" fillId="0" borderId="7" xfId="0" applyNumberFormat="1" applyBorder="1"/>
    <xf numFmtId="0" fontId="0" fillId="0" borderId="8" xfId="0" applyBorder="1"/>
    <xf numFmtId="0" fontId="2" fillId="8" borderId="0" xfId="0" applyFont="1" applyFill="1"/>
    <xf numFmtId="0" fontId="9" fillId="0" borderId="0" xfId="0" applyFont="1" applyBorder="1"/>
    <xf numFmtId="0" fontId="0" fillId="9" borderId="0" xfId="0" applyFont="1" applyFill="1" applyBorder="1" applyAlignment="1">
      <alignment horizontal="left"/>
    </xf>
    <xf numFmtId="10" fontId="0" fillId="0" borderId="0" xfId="0" applyNumberFormat="1" applyFont="1" applyBorder="1"/>
    <xf numFmtId="165" fontId="0" fillId="0" borderId="0" xfId="0" applyNumberFormat="1" applyFont="1" applyFill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10" fontId="0" fillId="0" borderId="12" xfId="0" applyNumberFormat="1" applyBorder="1"/>
    <xf numFmtId="0" fontId="0" fillId="0" borderId="13" xfId="0" applyBorder="1"/>
    <xf numFmtId="10" fontId="0" fillId="0" borderId="14" xfId="0" applyNumberFormat="1" applyBorder="1"/>
    <xf numFmtId="0" fontId="0" fillId="0" borderId="15" xfId="0" applyBorder="1"/>
    <xf numFmtId="10" fontId="0" fillId="0" borderId="15" xfId="0" applyNumberFormat="1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14" xfId="0" applyBorder="1"/>
    <xf numFmtId="0" fontId="0" fillId="0" borderId="10" xfId="0" applyBorder="1"/>
    <xf numFmtId="166" fontId="0" fillId="0" borderId="0" xfId="0" applyNumberFormat="1"/>
    <xf numFmtId="3" fontId="0" fillId="0" borderId="10" xfId="0" applyNumberFormat="1" applyBorder="1"/>
    <xf numFmtId="3" fontId="0" fillId="0" borderId="12" xfId="0" applyNumberFormat="1" applyBorder="1"/>
    <xf numFmtId="3" fontId="0" fillId="0" borderId="14" xfId="0" applyNumberFormat="1" applyBorder="1"/>
    <xf numFmtId="3" fontId="0" fillId="0" borderId="15" xfId="0" applyNumberForma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0" xfId="0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right"/>
    </xf>
    <xf numFmtId="0" fontId="0" fillId="0" borderId="19" xfId="0" applyBorder="1"/>
    <xf numFmtId="3" fontId="0" fillId="0" borderId="20" xfId="0" applyNumberFormat="1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/>
    <xf numFmtId="0" fontId="0" fillId="0" borderId="16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Fill="1" applyBorder="1"/>
    <xf numFmtId="10" fontId="0" fillId="0" borderId="25" xfId="0" applyNumberFormat="1" applyBorder="1"/>
    <xf numFmtId="0" fontId="3" fillId="9" borderId="0" xfId="0" applyFont="1" applyFill="1"/>
    <xf numFmtId="165" fontId="3" fillId="9" borderId="0" xfId="0" applyNumberFormat="1" applyFont="1" applyFill="1" applyAlignment="1">
      <alignment horizontal="right"/>
    </xf>
    <xf numFmtId="165" fontId="3" fillId="9" borderId="0" xfId="0" applyNumberFormat="1" applyFont="1" applyFill="1"/>
    <xf numFmtId="3" fontId="3" fillId="9" borderId="0" xfId="0" applyNumberFormat="1" applyFont="1" applyFill="1"/>
    <xf numFmtId="10" fontId="3" fillId="9" borderId="0" xfId="0" applyNumberFormat="1" applyFont="1" applyFill="1"/>
    <xf numFmtId="1" fontId="3" fillId="9" borderId="0" xfId="0" applyNumberFormat="1" applyFont="1" applyFill="1"/>
    <xf numFmtId="0" fontId="3" fillId="9" borderId="0" xfId="0" applyFont="1" applyFill="1" applyBorder="1" applyAlignment="1">
      <alignment horizontal="left"/>
    </xf>
    <xf numFmtId="165" fontId="3" fillId="9" borderId="0" xfId="0" applyNumberFormat="1" applyFont="1" applyFill="1" applyBorder="1" applyAlignment="1">
      <alignment horizontal="center"/>
    </xf>
    <xf numFmtId="165" fontId="3" fillId="9" borderId="0" xfId="0" applyNumberFormat="1" applyFont="1" applyFill="1" applyBorder="1" applyAlignment="1"/>
    <xf numFmtId="3" fontId="3" fillId="9" borderId="0" xfId="0" applyNumberFormat="1" applyFont="1" applyFill="1" applyBorder="1"/>
    <xf numFmtId="0" fontId="3" fillId="9" borderId="0" xfId="0" applyFont="1" applyFill="1" applyBorder="1"/>
    <xf numFmtId="165" fontId="3" fillId="9" borderId="0" xfId="0" applyNumberFormat="1" applyFont="1" applyFill="1" applyBorder="1"/>
    <xf numFmtId="165" fontId="3" fillId="9" borderId="0" xfId="0" applyNumberFormat="1" applyFont="1" applyFill="1" applyBorder="1" applyAlignment="1">
      <alignment horizontal="right"/>
    </xf>
    <xf numFmtId="0" fontId="0" fillId="9" borderId="0" xfId="0" applyFill="1"/>
    <xf numFmtId="0" fontId="3" fillId="9" borderId="0" xfId="0" applyFont="1" applyFill="1" applyAlignment="1">
      <alignment horizontal="left"/>
    </xf>
    <xf numFmtId="0" fontId="3" fillId="9" borderId="0" xfId="0" applyFont="1" applyFill="1" applyAlignment="1"/>
    <xf numFmtId="0" fontId="3" fillId="9" borderId="0" xfId="7" applyFont="1" applyFill="1"/>
    <xf numFmtId="165" fontId="3" fillId="9" borderId="0" xfId="7" applyNumberFormat="1" applyFont="1" applyFill="1"/>
    <xf numFmtId="3" fontId="3" fillId="9" borderId="0" xfId="7" applyNumberFormat="1" applyFont="1" applyFill="1"/>
    <xf numFmtId="0" fontId="3" fillId="9" borderId="0" xfId="7" applyFont="1" applyFill="1" applyBorder="1"/>
    <xf numFmtId="3" fontId="10" fillId="9" borderId="0" xfId="0" applyNumberFormat="1" applyFont="1" applyFill="1"/>
    <xf numFmtId="3" fontId="0" fillId="9" borderId="0" xfId="0" applyNumberFormat="1" applyFont="1" applyFill="1"/>
    <xf numFmtId="165" fontId="0" fillId="9" borderId="0" xfId="0" applyNumberFormat="1" applyFont="1" applyFill="1" applyBorder="1" applyAlignment="1">
      <alignment horizontal="right"/>
    </xf>
    <xf numFmtId="165" fontId="0" fillId="9" borderId="0" xfId="0" applyNumberFormat="1" applyFont="1" applyFill="1" applyBorder="1" applyAlignment="1"/>
    <xf numFmtId="0" fontId="0" fillId="9" borderId="0" xfId="0" applyFont="1" applyFill="1"/>
    <xf numFmtId="165" fontId="0" fillId="9" borderId="0" xfId="0" applyNumberFormat="1" applyFont="1" applyFill="1"/>
    <xf numFmtId="0" fontId="0" fillId="9" borderId="0" xfId="0" applyFont="1" applyFill="1" applyAlignment="1">
      <alignment horizontal="left"/>
    </xf>
    <xf numFmtId="165" fontId="0" fillId="9" borderId="0" xfId="0" applyNumberFormat="1" applyFont="1" applyFill="1" applyBorder="1" applyAlignment="1">
      <alignment horizontal="center"/>
    </xf>
    <xf numFmtId="0" fontId="0" fillId="9" borderId="0" xfId="0" applyFont="1" applyFill="1" applyBorder="1"/>
    <xf numFmtId="3" fontId="0" fillId="9" borderId="0" xfId="0" applyNumberFormat="1" applyFill="1"/>
    <xf numFmtId="3" fontId="0" fillId="9" borderId="0" xfId="0" applyNumberFormat="1" applyFont="1" applyFill="1" applyBorder="1"/>
    <xf numFmtId="0" fontId="0" fillId="9" borderId="0" xfId="0" applyFill="1" applyBorder="1"/>
    <xf numFmtId="165" fontId="0" fillId="9" borderId="0" xfId="0" applyNumberFormat="1" applyFont="1" applyFill="1" applyAlignment="1">
      <alignment horizontal="right"/>
    </xf>
    <xf numFmtId="165" fontId="0" fillId="9" borderId="0" xfId="0" applyNumberFormat="1" applyFont="1" applyFill="1" applyAlignment="1"/>
    <xf numFmtId="0" fontId="0" fillId="9" borderId="0" xfId="0" applyFont="1" applyFill="1" applyBorder="1" applyAlignment="1"/>
    <xf numFmtId="165" fontId="0" fillId="9" borderId="0" xfId="0" applyNumberFormat="1" applyFill="1" applyBorder="1"/>
    <xf numFmtId="3" fontId="7" fillId="9" borderId="0" xfId="0" applyNumberFormat="1" applyFont="1" applyFill="1" applyBorder="1"/>
    <xf numFmtId="10" fontId="0" fillId="0" borderId="23" xfId="0" applyNumberFormat="1" applyBorder="1"/>
    <xf numFmtId="10" fontId="0" fillId="0" borderId="18" xfId="0" applyNumberFormat="1" applyBorder="1"/>
    <xf numFmtId="0" fontId="0" fillId="0" borderId="18" xfId="0" applyBorder="1"/>
    <xf numFmtId="0" fontId="0" fillId="0" borderId="21" xfId="0" applyBorder="1"/>
    <xf numFmtId="165" fontId="0" fillId="9" borderId="0" xfId="0" applyNumberFormat="1" applyFont="1" applyFill="1" applyBorder="1"/>
    <xf numFmtId="10" fontId="0" fillId="9" borderId="0" xfId="0" applyNumberFormat="1" applyFont="1" applyFill="1" applyBorder="1"/>
    <xf numFmtId="0" fontId="0" fillId="10" borderId="15" xfId="0" applyFill="1" applyBorder="1"/>
    <xf numFmtId="0" fontId="0" fillId="10" borderId="15" xfId="0" applyFill="1" applyBorder="1" applyAlignment="1">
      <alignment horizontal="center"/>
    </xf>
    <xf numFmtId="0" fontId="0" fillId="10" borderId="0" xfId="0" applyFill="1"/>
    <xf numFmtId="0" fontId="0" fillId="0" borderId="0" xfId="0" applyAlignment="1">
      <alignment horizontal="center"/>
    </xf>
  </cellXfs>
  <cellStyles count="8">
    <cellStyle name="20% - Accent2" xfId="7" builtinId="34"/>
    <cellStyle name="20% - Accent3" xfId="1" builtinId="38"/>
    <cellStyle name="20% - Accent5" xfId="2" builtinId="46"/>
    <cellStyle name="40% - Accent5" xfId="3" builtinId="47"/>
    <cellStyle name="60% - Accent1" xfId="4" builtinId="32"/>
    <cellStyle name="60% - Accent5" xfId="5" builtinId="48"/>
    <cellStyle name="Hyperlink" xfId="6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133350</xdr:colOff>
      <xdr:row>7</xdr:row>
      <xdr:rowOff>47625</xdr:rowOff>
    </xdr:from>
    <xdr:to>
      <xdr:col>18</xdr:col>
      <xdr:colOff>514349</xdr:colOff>
      <xdr:row>26</xdr:row>
      <xdr:rowOff>122388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20525" y="1381125"/>
          <a:ext cx="4562474" cy="36942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V/EVdatabase_0118_EL_pri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CV Car"/>
      <sheetName val="ICV LDT"/>
      <sheetName val="Hybrid(Non-plugin)"/>
      <sheetName val="Hybrid_additional"/>
      <sheetName val="Hybrid(plugin)"/>
      <sheetName val="Hybrid(plugin)_Additional"/>
      <sheetName val="EV(Non-Tesla)"/>
      <sheetName val="EV_Additional"/>
      <sheetName val="EV(Tesla)"/>
      <sheetName val="All EV"/>
    </sheetNames>
    <sheetDataSet>
      <sheetData sheetId="0">
        <row r="20">
          <cell r="U20">
            <v>347029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dcarbadcar.net/2017/01/usa-2016-vehicle-sales-by-model-manufacturer-brand/" TargetMode="External"/><Relationship Id="rId2" Type="http://schemas.openxmlformats.org/officeDocument/2006/relationships/hyperlink" Target="http://www.cncda.org/CMS/Pubs/CA%20Auto%20Outlook%204Q%202016.pdf" TargetMode="External"/><Relationship Id="rId1" Type="http://schemas.openxmlformats.org/officeDocument/2006/relationships/hyperlink" Target="https://www.fueleconomy.gov/feg/PowerSearch.do?action=alts&amp;path=3&amp;year1=2017&amp;year2=2018&amp;vtype=Electric&amp;srchtyp=newAfv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www.hybridcars.com/december-2016-dashboard/" TargetMode="External"/><Relationship Id="rId4" Type="http://schemas.openxmlformats.org/officeDocument/2006/relationships/hyperlink" Target="http://www.ev-volumes.com/news/usa-plug-in-vehicle-sales-for-201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V168"/>
  <sheetViews>
    <sheetView tabSelected="1" topLeftCell="A145" workbookViewId="0">
      <selection activeCell="L38" sqref="L38"/>
    </sheetView>
  </sheetViews>
  <sheetFormatPr defaultColWidth="8.85546875" defaultRowHeight="15" x14ac:dyDescent="0.25"/>
  <cols>
    <col min="1" max="1" width="23.7109375" customWidth="1"/>
    <col min="2" max="3" width="15" customWidth="1"/>
    <col min="4" max="4" width="13.28515625" customWidth="1"/>
    <col min="5" max="5" width="14.42578125" customWidth="1"/>
    <col min="6" max="6" width="15.140625" customWidth="1"/>
    <col min="7" max="7" width="12.42578125" bestFit="1" customWidth="1"/>
    <col min="8" max="8" width="19" customWidth="1"/>
    <col min="9" max="9" width="14.7109375" customWidth="1"/>
    <col min="10" max="10" width="9.42578125" bestFit="1" customWidth="1"/>
    <col min="11" max="11" width="12.7109375" customWidth="1"/>
    <col min="12" max="12" width="10.42578125" customWidth="1"/>
    <col min="13" max="13" width="13.42578125" bestFit="1" customWidth="1"/>
    <col min="14" max="14" width="13.85546875" bestFit="1" customWidth="1"/>
    <col min="20" max="20" width="17.85546875" bestFit="1" customWidth="1"/>
    <col min="21" max="21" width="13.85546875" bestFit="1" customWidth="1"/>
    <col min="22" max="22" width="33.140625" customWidth="1"/>
  </cols>
  <sheetData>
    <row r="2" spans="1:22" x14ac:dyDescent="0.25">
      <c r="A2" s="1" t="s">
        <v>102</v>
      </c>
      <c r="B2" s="1" t="s">
        <v>165</v>
      </c>
      <c r="C2" s="1" t="s">
        <v>166</v>
      </c>
      <c r="D2" s="2" t="s">
        <v>0</v>
      </c>
      <c r="E2" s="9" t="s">
        <v>111</v>
      </c>
      <c r="F2" s="9" t="s">
        <v>112</v>
      </c>
      <c r="G2" s="9" t="s">
        <v>113</v>
      </c>
      <c r="H2" s="10" t="s">
        <v>98</v>
      </c>
      <c r="I2" s="10" t="s">
        <v>124</v>
      </c>
      <c r="J2" s="3" t="s">
        <v>99</v>
      </c>
      <c r="K2" s="3" t="s">
        <v>168</v>
      </c>
      <c r="L2" t="s">
        <v>181</v>
      </c>
      <c r="N2" t="s">
        <v>395</v>
      </c>
      <c r="O2" t="s">
        <v>396</v>
      </c>
    </row>
    <row r="3" spans="1:22" x14ac:dyDescent="0.25">
      <c r="A3" s="99" t="s">
        <v>11</v>
      </c>
      <c r="B3" s="100"/>
      <c r="C3" s="100">
        <v>5.2631578947368418E-2</v>
      </c>
      <c r="D3" s="96">
        <v>27110</v>
      </c>
      <c r="E3" s="96">
        <v>820799</v>
      </c>
      <c r="F3" s="96">
        <v>780354</v>
      </c>
      <c r="G3" s="96">
        <v>49873</v>
      </c>
      <c r="H3" s="99" t="s">
        <v>167</v>
      </c>
      <c r="I3" s="99"/>
      <c r="J3" s="99" t="s">
        <v>105</v>
      </c>
      <c r="K3" s="99"/>
      <c r="M3" t="s">
        <v>174</v>
      </c>
      <c r="N3" t="s">
        <v>390</v>
      </c>
      <c r="O3" s="14" t="s">
        <v>397</v>
      </c>
    </row>
    <row r="4" spans="1:22" x14ac:dyDescent="0.25">
      <c r="A4" s="99" t="s">
        <v>23</v>
      </c>
      <c r="B4" s="99"/>
      <c r="C4" s="100">
        <v>0.05</v>
      </c>
      <c r="D4" s="96">
        <v>27785</v>
      </c>
      <c r="E4" s="96">
        <v>574876</v>
      </c>
      <c r="F4" s="96">
        <v>600544</v>
      </c>
      <c r="G4" s="96">
        <v>41331</v>
      </c>
      <c r="H4" s="99" t="s">
        <v>167</v>
      </c>
      <c r="I4" s="99"/>
      <c r="J4" s="99" t="s">
        <v>105</v>
      </c>
      <c r="K4" s="99"/>
      <c r="M4" t="s">
        <v>175</v>
      </c>
      <c r="N4" t="s">
        <v>391</v>
      </c>
      <c r="O4" s="14" t="s">
        <v>398</v>
      </c>
    </row>
    <row r="5" spans="1:22" x14ac:dyDescent="0.25">
      <c r="A5" s="99" t="s">
        <v>33</v>
      </c>
      <c r="B5" s="100"/>
      <c r="C5" s="100">
        <v>5.8823529411764705E-2</v>
      </c>
      <c r="D5" s="96">
        <v>26495</v>
      </c>
      <c r="E5" s="96">
        <v>489418</v>
      </c>
      <c r="F5" s="96">
        <v>450122</v>
      </c>
      <c r="G5" s="96">
        <v>31588</v>
      </c>
      <c r="H5" s="99" t="s">
        <v>167</v>
      </c>
      <c r="I5" s="99"/>
      <c r="J5" s="99" t="s">
        <v>105</v>
      </c>
      <c r="K5" s="99"/>
      <c r="M5" t="s">
        <v>101</v>
      </c>
      <c r="N5" t="s">
        <v>392</v>
      </c>
      <c r="O5" s="14" t="s">
        <v>399</v>
      </c>
    </row>
    <row r="6" spans="1:22" x14ac:dyDescent="0.25">
      <c r="A6" s="41" t="s">
        <v>9</v>
      </c>
      <c r="B6" s="97"/>
      <c r="C6" s="98">
        <f>1/27</f>
        <v>3.7037037037037035E-2</v>
      </c>
      <c r="D6" s="96">
        <v>23070</v>
      </c>
      <c r="E6" s="96">
        <v>388618</v>
      </c>
      <c r="F6" s="96">
        <v>429355</v>
      </c>
      <c r="G6" s="96">
        <v>58973</v>
      </c>
      <c r="H6" s="99" t="s">
        <v>114</v>
      </c>
      <c r="I6" s="99"/>
      <c r="J6" s="99" t="s">
        <v>105</v>
      </c>
      <c r="K6" s="99"/>
      <c r="M6" t="s">
        <v>176</v>
      </c>
      <c r="N6" t="s">
        <v>393</v>
      </c>
      <c r="O6" s="14" t="s">
        <v>173</v>
      </c>
    </row>
    <row r="7" spans="1:22" x14ac:dyDescent="0.25">
      <c r="A7" s="99" t="s">
        <v>4</v>
      </c>
      <c r="B7" s="100"/>
      <c r="C7" s="100">
        <f>1/30</f>
        <v>3.3333333333333333E-2</v>
      </c>
      <c r="D7" s="96">
        <v>18500</v>
      </c>
      <c r="E7" s="96">
        <v>378210</v>
      </c>
      <c r="F7" s="96">
        <v>368431</v>
      </c>
      <c r="G7" s="96">
        <v>64430</v>
      </c>
      <c r="H7" s="99" t="s">
        <v>103</v>
      </c>
      <c r="I7" s="99"/>
      <c r="J7" s="99" t="s">
        <v>105</v>
      </c>
      <c r="K7" s="99"/>
      <c r="L7" s="4"/>
      <c r="M7" t="s">
        <v>104</v>
      </c>
      <c r="N7" t="s">
        <v>394</v>
      </c>
      <c r="O7" s="14" t="s">
        <v>400</v>
      </c>
    </row>
    <row r="8" spans="1:22" x14ac:dyDescent="0.25">
      <c r="A8" s="99" t="s">
        <v>17</v>
      </c>
      <c r="B8" s="100"/>
      <c r="C8" s="100">
        <f>1/36</f>
        <v>2.7777777777777776E-2</v>
      </c>
      <c r="D8" s="96">
        <v>18740</v>
      </c>
      <c r="E8" s="96">
        <v>366927</v>
      </c>
      <c r="F8" s="96">
        <v>335384</v>
      </c>
      <c r="G8" s="96">
        <v>88390</v>
      </c>
      <c r="H8" s="99" t="s">
        <v>103</v>
      </c>
      <c r="I8" s="99"/>
      <c r="J8" s="99" t="s">
        <v>105</v>
      </c>
      <c r="K8" s="99"/>
      <c r="L8" s="4"/>
    </row>
    <row r="9" spans="1:22" x14ac:dyDescent="0.25">
      <c r="A9" s="99" t="s">
        <v>5</v>
      </c>
      <c r="B9" s="100"/>
      <c r="C9" s="100">
        <f>1/29</f>
        <v>3.4482758620689655E-2</v>
      </c>
      <c r="D9" s="96">
        <v>24045</v>
      </c>
      <c r="E9" s="96">
        <v>357335</v>
      </c>
      <c r="F9" s="96">
        <v>345647</v>
      </c>
      <c r="G9" s="96">
        <v>41196</v>
      </c>
      <c r="H9" s="99" t="s">
        <v>106</v>
      </c>
      <c r="I9" s="99"/>
      <c r="J9" s="99" t="s">
        <v>105</v>
      </c>
      <c r="K9" s="99"/>
      <c r="L9" s="4"/>
      <c r="T9" s="27"/>
      <c r="U9" s="28" t="s">
        <v>220</v>
      </c>
      <c r="V9" s="29" t="s">
        <v>215</v>
      </c>
    </row>
    <row r="10" spans="1:22" x14ac:dyDescent="0.25">
      <c r="A10" s="99" t="s">
        <v>18</v>
      </c>
      <c r="B10" s="100"/>
      <c r="C10" s="100">
        <f>1/32</f>
        <v>3.125E-2</v>
      </c>
      <c r="D10" s="96">
        <v>24410</v>
      </c>
      <c r="E10" s="96">
        <v>352154</v>
      </c>
      <c r="F10" s="96">
        <v>315412</v>
      </c>
      <c r="G10" s="96">
        <v>39961</v>
      </c>
      <c r="H10" s="99" t="s">
        <v>106</v>
      </c>
      <c r="I10" s="99"/>
      <c r="J10" s="99" t="s">
        <v>105</v>
      </c>
      <c r="K10" s="99"/>
      <c r="L10" s="4"/>
      <c r="T10" s="30" t="s">
        <v>221</v>
      </c>
      <c r="U10" s="31">
        <v>17423648</v>
      </c>
      <c r="V10" s="32"/>
    </row>
    <row r="11" spans="1:22" x14ac:dyDescent="0.25">
      <c r="A11" s="41" t="s">
        <v>21</v>
      </c>
      <c r="B11" s="97"/>
      <c r="C11" s="98">
        <f>1/30</f>
        <v>3.3333333333333333E-2</v>
      </c>
      <c r="D11" s="96">
        <v>22455</v>
      </c>
      <c r="E11" s="96">
        <v>345225</v>
      </c>
      <c r="F11" s="96">
        <v>355557</v>
      </c>
      <c r="G11" s="96">
        <v>76184</v>
      </c>
      <c r="H11" s="99" t="s">
        <v>114</v>
      </c>
      <c r="I11" s="99"/>
      <c r="J11" s="99" t="s">
        <v>105</v>
      </c>
      <c r="K11" s="99"/>
      <c r="T11" s="30" t="s">
        <v>212</v>
      </c>
      <c r="U11" s="31">
        <v>6890998</v>
      </c>
      <c r="V11" s="32"/>
    </row>
    <row r="12" spans="1:22" x14ac:dyDescent="0.25">
      <c r="A12" s="99" t="s">
        <v>30</v>
      </c>
      <c r="B12" s="100"/>
      <c r="C12" s="100">
        <f>1/34</f>
        <v>2.9411764705882353E-2</v>
      </c>
      <c r="D12" s="96">
        <v>23820</v>
      </c>
      <c r="E12" s="96">
        <v>329904</v>
      </c>
      <c r="F12" s="96">
        <v>287190</v>
      </c>
      <c r="G12" s="96">
        <v>28482</v>
      </c>
      <c r="H12" s="99" t="s">
        <v>106</v>
      </c>
      <c r="I12" s="99"/>
      <c r="J12" s="99" t="s">
        <v>105</v>
      </c>
      <c r="K12" s="99"/>
      <c r="L12" s="4"/>
      <c r="T12" s="30" t="s">
        <v>184</v>
      </c>
      <c r="U12" s="31">
        <v>10532650</v>
      </c>
      <c r="V12" s="32"/>
    </row>
    <row r="13" spans="1:22" x14ac:dyDescent="0.25">
      <c r="A13" s="41" t="s">
        <v>31</v>
      </c>
      <c r="B13" s="97"/>
      <c r="C13" s="98">
        <f>1/31</f>
        <v>3.2258064516129031E-2</v>
      </c>
      <c r="D13" s="96">
        <v>22500</v>
      </c>
      <c r="E13" s="96">
        <v>307380</v>
      </c>
      <c r="F13" s="96">
        <v>333398</v>
      </c>
      <c r="G13" s="96">
        <v>32729</v>
      </c>
      <c r="H13" s="99" t="s">
        <v>114</v>
      </c>
      <c r="I13" s="99"/>
      <c r="J13" s="99" t="s">
        <v>105</v>
      </c>
      <c r="K13" s="99"/>
      <c r="T13" s="30" t="s">
        <v>213</v>
      </c>
      <c r="U13" s="31">
        <f>157130</f>
        <v>157130</v>
      </c>
      <c r="V13" s="32"/>
    </row>
    <row r="14" spans="1:22" x14ac:dyDescent="0.25">
      <c r="A14" s="99" t="s">
        <v>37</v>
      </c>
      <c r="B14" s="100"/>
      <c r="C14" s="100">
        <f>1/26</f>
        <v>3.8461538461538464E-2</v>
      </c>
      <c r="D14" s="96">
        <v>23750</v>
      </c>
      <c r="E14" s="96">
        <v>307069</v>
      </c>
      <c r="F14" s="96">
        <v>306492</v>
      </c>
      <c r="G14" s="96"/>
      <c r="H14" s="99" t="s">
        <v>106</v>
      </c>
      <c r="I14" s="99"/>
      <c r="J14" s="99" t="s">
        <v>105</v>
      </c>
      <c r="K14" s="99"/>
      <c r="L14" s="4"/>
      <c r="T14" s="30" t="s">
        <v>214</v>
      </c>
      <c r="U14" s="31">
        <f>71073+550+534</f>
        <v>72157</v>
      </c>
      <c r="V14" s="32">
        <v>1175</v>
      </c>
    </row>
    <row r="15" spans="1:22" x14ac:dyDescent="0.25">
      <c r="A15" s="41" t="s">
        <v>40</v>
      </c>
      <c r="B15" s="97"/>
      <c r="C15" s="98">
        <f>1/27</f>
        <v>3.7037037037037035E-2</v>
      </c>
      <c r="D15" s="96">
        <v>22610</v>
      </c>
      <c r="E15" s="96">
        <v>265840</v>
      </c>
      <c r="F15" s="96">
        <v>300170</v>
      </c>
      <c r="G15" s="96">
        <v>29871</v>
      </c>
      <c r="H15" s="99" t="s">
        <v>114</v>
      </c>
      <c r="I15" s="99"/>
      <c r="J15" s="99" t="s">
        <v>105</v>
      </c>
      <c r="K15" s="99"/>
      <c r="T15" s="30" t="s">
        <v>101</v>
      </c>
      <c r="U15" s="31">
        <f>'EV(Non-Tesla)'!F13+'EV(Tesla)'!E5</f>
        <v>115</v>
      </c>
      <c r="V15" s="32">
        <v>1175</v>
      </c>
    </row>
    <row r="16" spans="1:22" x14ac:dyDescent="0.25">
      <c r="A16" s="101" t="s">
        <v>7</v>
      </c>
      <c r="B16" s="100"/>
      <c r="C16" s="100">
        <f>1/22</f>
        <v>4.5454545454545456E-2</v>
      </c>
      <c r="D16" s="96">
        <v>31660</v>
      </c>
      <c r="E16" s="96">
        <v>248507</v>
      </c>
      <c r="F16" s="96">
        <v>249251</v>
      </c>
      <c r="G16" s="96">
        <v>24052</v>
      </c>
      <c r="H16" s="99" t="s">
        <v>107</v>
      </c>
      <c r="I16" s="99"/>
      <c r="J16" s="99" t="s">
        <v>105</v>
      </c>
      <c r="K16" s="99"/>
      <c r="T16" s="30" t="s">
        <v>216</v>
      </c>
      <c r="U16" s="31">
        <f>U14-'Hybrid(plugin)'!E10-'Hybrid(plugin)'!E11-'Hybrid(plugin)'!E12</f>
        <v>62031</v>
      </c>
      <c r="V16" s="32">
        <v>1175</v>
      </c>
    </row>
    <row r="17" spans="1:22" x14ac:dyDescent="0.25">
      <c r="A17" s="101" t="s">
        <v>46</v>
      </c>
      <c r="B17" s="100"/>
      <c r="C17" s="100">
        <f>1/25</f>
        <v>0.04</v>
      </c>
      <c r="D17" s="96">
        <v>23100</v>
      </c>
      <c r="E17" s="96">
        <v>242195</v>
      </c>
      <c r="F17" s="96">
        <v>277589</v>
      </c>
      <c r="G17" s="96"/>
      <c r="H17" s="99" t="s">
        <v>106</v>
      </c>
      <c r="I17" s="99"/>
      <c r="J17" s="99" t="s">
        <v>105</v>
      </c>
      <c r="K17" s="99"/>
      <c r="L17" s="4"/>
      <c r="T17" s="33" t="s">
        <v>217</v>
      </c>
      <c r="U17" s="31">
        <f>U14-U16</f>
        <v>10126</v>
      </c>
      <c r="V17" s="32">
        <v>1175</v>
      </c>
    </row>
    <row r="18" spans="1:22" x14ac:dyDescent="0.25">
      <c r="A18" s="41" t="s">
        <v>49</v>
      </c>
      <c r="B18" s="97"/>
      <c r="C18" s="98">
        <f>1/30</f>
        <v>3.3333333333333333E-2</v>
      </c>
      <c r="D18" s="96">
        <v>21680</v>
      </c>
      <c r="E18" s="96">
        <v>227881</v>
      </c>
      <c r="F18" s="96">
        <v>194854</v>
      </c>
      <c r="G18" s="96"/>
      <c r="H18" s="99" t="s">
        <v>114</v>
      </c>
      <c r="I18" s="99"/>
      <c r="J18" s="99" t="s">
        <v>105</v>
      </c>
      <c r="K18" s="99"/>
      <c r="M18" s="7"/>
      <c r="N18" s="4"/>
      <c r="T18" s="30" t="s">
        <v>218</v>
      </c>
      <c r="U18" s="31">
        <f>U15-'EV(Tesla)'!E4</f>
        <v>-18077</v>
      </c>
      <c r="V18" s="32">
        <v>1175</v>
      </c>
    </row>
    <row r="19" spans="1:22" x14ac:dyDescent="0.25">
      <c r="A19" s="99" t="s">
        <v>42</v>
      </c>
      <c r="B19" s="100"/>
      <c r="C19" s="100">
        <v>0.05</v>
      </c>
      <c r="D19" s="96">
        <v>28405</v>
      </c>
      <c r="E19" s="96">
        <v>221680</v>
      </c>
      <c r="F19" s="96">
        <v>224139</v>
      </c>
      <c r="G19" s="96">
        <v>14176</v>
      </c>
      <c r="H19" s="99" t="s">
        <v>167</v>
      </c>
      <c r="I19" s="99"/>
      <c r="J19" s="99" t="s">
        <v>105</v>
      </c>
      <c r="K19" s="99"/>
      <c r="M19" s="7"/>
      <c r="N19" s="4"/>
      <c r="T19" s="30" t="s">
        <v>219</v>
      </c>
      <c r="U19" s="34">
        <f>'EV(Tesla)'!E4</f>
        <v>18192</v>
      </c>
      <c r="V19" s="32" t="s">
        <v>24</v>
      </c>
    </row>
    <row r="20" spans="1:22" x14ac:dyDescent="0.25">
      <c r="A20" s="99" t="s">
        <v>29</v>
      </c>
      <c r="B20" s="100"/>
      <c r="C20" s="100">
        <f>1/32</f>
        <v>3.125E-2</v>
      </c>
      <c r="D20" s="96">
        <v>16990</v>
      </c>
      <c r="E20" s="96">
        <v>214709</v>
      </c>
      <c r="F20" s="96">
        <v>203509</v>
      </c>
      <c r="G20" s="96">
        <v>40771</v>
      </c>
      <c r="H20" s="99" t="s">
        <v>103</v>
      </c>
      <c r="I20" s="99"/>
      <c r="J20" s="99" t="s">
        <v>105</v>
      </c>
      <c r="K20" s="99"/>
      <c r="L20" s="4"/>
      <c r="M20" s="7"/>
      <c r="N20" s="4"/>
      <c r="T20" s="35" t="s">
        <v>225</v>
      </c>
      <c r="U20" s="17">
        <v>347029</v>
      </c>
      <c r="V20" s="32"/>
    </row>
    <row r="21" spans="1:22" x14ac:dyDescent="0.25">
      <c r="A21" s="101" t="s">
        <v>6</v>
      </c>
      <c r="B21" s="100"/>
      <c r="C21" s="100">
        <f>1/21</f>
        <v>4.7619047619047616E-2</v>
      </c>
      <c r="D21" s="96">
        <v>30395</v>
      </c>
      <c r="E21" s="96">
        <v>212273</v>
      </c>
      <c r="F21" s="96">
        <v>196312</v>
      </c>
      <c r="G21" s="96">
        <v>15159</v>
      </c>
      <c r="H21" s="99" t="s">
        <v>107</v>
      </c>
      <c r="I21" s="99"/>
      <c r="J21" s="99" t="s">
        <v>105</v>
      </c>
      <c r="K21" s="99"/>
      <c r="N21" s="4"/>
      <c r="T21" s="35" t="s">
        <v>222</v>
      </c>
      <c r="U21" s="17">
        <v>281648</v>
      </c>
      <c r="V21" s="32" t="s">
        <v>224</v>
      </c>
    </row>
    <row r="22" spans="1:22" x14ac:dyDescent="0.25">
      <c r="A22" s="99" t="s">
        <v>36</v>
      </c>
      <c r="B22" s="100"/>
      <c r="C22" s="100">
        <f>1/35</f>
        <v>2.8571428571428571E-2</v>
      </c>
      <c r="D22" s="96">
        <v>17150</v>
      </c>
      <c r="E22" s="96">
        <v>208319</v>
      </c>
      <c r="F22" s="96">
        <v>241706</v>
      </c>
      <c r="G22" s="96">
        <v>20547</v>
      </c>
      <c r="H22" s="99" t="s">
        <v>103</v>
      </c>
      <c r="I22" s="99"/>
      <c r="J22" s="99" t="s">
        <v>105</v>
      </c>
      <c r="K22" s="99"/>
      <c r="L22" s="4"/>
      <c r="M22" s="4"/>
      <c r="N22" s="4"/>
      <c r="T22" s="35" t="s">
        <v>223</v>
      </c>
      <c r="U22" s="17">
        <v>59607</v>
      </c>
      <c r="V22" s="32"/>
    </row>
    <row r="23" spans="1:22" x14ac:dyDescent="0.25">
      <c r="A23" s="101" t="s">
        <v>53</v>
      </c>
      <c r="B23" s="100"/>
      <c r="C23" s="100">
        <f>1/25</f>
        <v>0.04</v>
      </c>
      <c r="D23" s="96">
        <v>23495</v>
      </c>
      <c r="E23" s="96">
        <v>199736</v>
      </c>
      <c r="F23" s="96">
        <v>220744</v>
      </c>
      <c r="G23" s="96"/>
      <c r="H23" s="99" t="s">
        <v>106</v>
      </c>
      <c r="I23" s="99"/>
      <c r="J23" s="99" t="s">
        <v>105</v>
      </c>
      <c r="K23" s="99"/>
      <c r="L23" s="4"/>
      <c r="M23" s="4"/>
      <c r="N23" s="4"/>
      <c r="T23" s="35" t="s">
        <v>226</v>
      </c>
      <c r="U23" s="31">
        <f>U11-U16-U18-U21</f>
        <v>6565396</v>
      </c>
      <c r="V23" s="32"/>
    </row>
    <row r="24" spans="1:22" x14ac:dyDescent="0.25">
      <c r="A24" s="41" t="s">
        <v>56</v>
      </c>
      <c r="B24" s="97"/>
      <c r="C24" s="98">
        <f>1/31</f>
        <v>3.2258064516129031E-2</v>
      </c>
      <c r="D24" s="96">
        <v>21600</v>
      </c>
      <c r="E24" s="96">
        <v>199416</v>
      </c>
      <c r="F24" s="96">
        <v>213303</v>
      </c>
      <c r="G24" s="96">
        <v>23908</v>
      </c>
      <c r="H24" s="99" t="s">
        <v>114</v>
      </c>
      <c r="I24" s="99"/>
      <c r="J24" s="99" t="s">
        <v>105</v>
      </c>
      <c r="K24" s="99"/>
      <c r="N24" s="4"/>
      <c r="T24" s="36" t="s">
        <v>227</v>
      </c>
      <c r="U24" s="37">
        <f>U12-U17-U19-U22</f>
        <v>10444725</v>
      </c>
      <c r="V24" s="38"/>
    </row>
    <row r="25" spans="1:22" x14ac:dyDescent="0.25">
      <c r="A25" s="101" t="s">
        <v>60</v>
      </c>
      <c r="B25" s="100"/>
      <c r="C25" s="100">
        <f>1/18</f>
        <v>5.5555555555555552E-2</v>
      </c>
      <c r="D25" s="96">
        <v>23995</v>
      </c>
      <c r="E25" s="96">
        <v>191774</v>
      </c>
      <c r="F25" s="96">
        <v>202266</v>
      </c>
      <c r="G25" s="96"/>
      <c r="H25" s="99" t="s">
        <v>106</v>
      </c>
      <c r="I25" s="99"/>
      <c r="J25" s="99" t="s">
        <v>105</v>
      </c>
      <c r="K25" s="99"/>
      <c r="L25" s="4"/>
      <c r="M25" s="4"/>
      <c r="N25" s="4"/>
    </row>
    <row r="26" spans="1:22" x14ac:dyDescent="0.25">
      <c r="A26" s="99" t="s">
        <v>51</v>
      </c>
      <c r="B26" s="100"/>
      <c r="C26" s="100">
        <v>4.7619047619047616E-2</v>
      </c>
      <c r="D26" s="96">
        <v>24575</v>
      </c>
      <c r="E26" s="96">
        <v>191631</v>
      </c>
      <c r="F26" s="96">
        <v>179562</v>
      </c>
      <c r="G26" s="96">
        <v>33876</v>
      </c>
      <c r="H26" s="99" t="s">
        <v>136</v>
      </c>
      <c r="I26" s="99"/>
      <c r="J26" s="99" t="s">
        <v>105</v>
      </c>
      <c r="K26" s="99"/>
      <c r="M26" s="4"/>
      <c r="N26" s="4"/>
    </row>
    <row r="27" spans="1:22" x14ac:dyDescent="0.25">
      <c r="A27" s="101" t="s">
        <v>20</v>
      </c>
      <c r="B27" s="100"/>
      <c r="C27" s="100">
        <f>1/29</f>
        <v>3.4482758620689655E-2</v>
      </c>
      <c r="D27" s="96">
        <v>30630</v>
      </c>
      <c r="E27" s="96">
        <v>191379</v>
      </c>
      <c r="F27" s="96">
        <v>158917</v>
      </c>
      <c r="G27" s="96">
        <v>21742</v>
      </c>
      <c r="H27" s="99" t="s">
        <v>107</v>
      </c>
      <c r="I27" s="99"/>
      <c r="J27" s="99" t="s">
        <v>105</v>
      </c>
      <c r="K27" s="99"/>
      <c r="M27" s="4"/>
      <c r="N27" s="4"/>
    </row>
    <row r="28" spans="1:22" x14ac:dyDescent="0.25">
      <c r="A28" s="99" t="s">
        <v>45</v>
      </c>
      <c r="B28" s="100"/>
      <c r="C28" s="100">
        <f>1/37</f>
        <v>2.7027027027027029E-2</v>
      </c>
      <c r="D28" s="96">
        <v>16975</v>
      </c>
      <c r="E28" s="96">
        <v>188876</v>
      </c>
      <c r="F28" s="96">
        <v>226602</v>
      </c>
      <c r="G28" s="96"/>
      <c r="H28" s="99" t="s">
        <v>103</v>
      </c>
      <c r="I28" s="99"/>
      <c r="J28" s="99" t="s">
        <v>105</v>
      </c>
      <c r="K28" s="99"/>
      <c r="L28" s="4"/>
      <c r="M28" s="4"/>
      <c r="N28" s="4"/>
    </row>
    <row r="29" spans="1:22" x14ac:dyDescent="0.25">
      <c r="A29" s="101" t="s">
        <v>19</v>
      </c>
      <c r="B29" s="100"/>
      <c r="C29" s="100">
        <f>1/28</f>
        <v>3.5714285714285712E-2</v>
      </c>
      <c r="D29" s="96">
        <v>25645</v>
      </c>
      <c r="E29" s="96">
        <v>182898</v>
      </c>
      <c r="F29" s="96">
        <v>152294</v>
      </c>
      <c r="G29" s="96">
        <v>19501</v>
      </c>
      <c r="H29" s="99" t="s">
        <v>107</v>
      </c>
      <c r="I29" s="99"/>
      <c r="J29" s="99" t="s">
        <v>105</v>
      </c>
      <c r="K29" s="99"/>
      <c r="M29" s="4"/>
      <c r="N29" s="4"/>
    </row>
    <row r="30" spans="1:22" x14ac:dyDescent="0.25">
      <c r="A30" s="101" t="s">
        <v>67</v>
      </c>
      <c r="B30" s="100"/>
      <c r="C30" s="100">
        <f>1/28</f>
        <v>3.5714285714285712E-2</v>
      </c>
      <c r="D30" s="96">
        <v>22595</v>
      </c>
      <c r="E30" s="96">
        <v>178593</v>
      </c>
      <c r="F30" s="96">
        <v>175192</v>
      </c>
      <c r="G30" s="96">
        <v>18252</v>
      </c>
      <c r="H30" s="99" t="s">
        <v>106</v>
      </c>
      <c r="I30" s="99"/>
      <c r="J30" s="99" t="s">
        <v>105</v>
      </c>
      <c r="K30" s="99"/>
      <c r="L30" s="4"/>
      <c r="M30" s="4"/>
      <c r="N30" s="4"/>
    </row>
    <row r="31" spans="1:22" x14ac:dyDescent="0.25">
      <c r="A31" s="99" t="s">
        <v>52</v>
      </c>
      <c r="B31" s="100"/>
      <c r="C31" s="100">
        <f>1/34</f>
        <v>2.9411764705882353E-2</v>
      </c>
      <c r="D31" s="96">
        <v>16775</v>
      </c>
      <c r="E31" s="96">
        <v>168789</v>
      </c>
      <c r="F31" s="96">
        <v>202478</v>
      </c>
      <c r="G31" s="96"/>
      <c r="H31" s="99" t="s">
        <v>103</v>
      </c>
      <c r="I31" s="99"/>
      <c r="J31" s="99" t="s">
        <v>105</v>
      </c>
      <c r="K31" s="99"/>
      <c r="L31" s="4"/>
      <c r="M31" s="4"/>
      <c r="N31" s="4"/>
    </row>
    <row r="32" spans="1:22" x14ac:dyDescent="0.25">
      <c r="A32" s="99" t="s">
        <v>59</v>
      </c>
      <c r="B32" s="100"/>
      <c r="C32" s="100">
        <f>1/28</f>
        <v>3.5714285714285712E-2</v>
      </c>
      <c r="D32" s="96">
        <v>16100</v>
      </c>
      <c r="E32" s="96">
        <v>145768</v>
      </c>
      <c r="F32" s="96">
        <v>147133</v>
      </c>
      <c r="G32" s="96">
        <v>15386</v>
      </c>
      <c r="H32" s="99" t="s">
        <v>100</v>
      </c>
      <c r="I32" s="99"/>
      <c r="J32" s="99" t="s">
        <v>105</v>
      </c>
      <c r="K32" s="99"/>
      <c r="M32" s="4"/>
      <c r="N32" s="4"/>
    </row>
    <row r="33" spans="1:14" x14ac:dyDescent="0.25">
      <c r="A33" s="101" t="s">
        <v>178</v>
      </c>
      <c r="B33" s="107"/>
      <c r="C33" s="100">
        <f>1/23</f>
        <v>4.3478260869565216E-2</v>
      </c>
      <c r="D33" s="96">
        <v>32560</v>
      </c>
      <c r="E33" s="96">
        <v>143244</v>
      </c>
      <c r="F33" s="96">
        <v>117577</v>
      </c>
      <c r="G33" s="96">
        <v>15519</v>
      </c>
      <c r="H33" s="99" t="s">
        <v>110</v>
      </c>
      <c r="I33" s="99"/>
      <c r="J33" s="99" t="s">
        <v>105</v>
      </c>
      <c r="K33" s="99"/>
      <c r="L33" t="s">
        <v>179</v>
      </c>
      <c r="M33" s="4"/>
      <c r="N33" s="4"/>
    </row>
    <row r="34" spans="1:14" x14ac:dyDescent="0.25">
      <c r="A34" s="101" t="s">
        <v>74</v>
      </c>
      <c r="B34" s="100"/>
      <c r="C34" s="100">
        <f>1/24</f>
        <v>4.1666666666666664E-2</v>
      </c>
      <c r="D34" s="96">
        <v>28950</v>
      </c>
      <c r="E34" s="96">
        <v>134588</v>
      </c>
      <c r="F34" s="96">
        <v>124120</v>
      </c>
      <c r="G34" s="96"/>
      <c r="H34" s="99" t="s">
        <v>107</v>
      </c>
      <c r="I34" s="99"/>
      <c r="J34" s="99" t="s">
        <v>105</v>
      </c>
      <c r="K34" s="99"/>
      <c r="M34" s="4"/>
      <c r="N34" s="4"/>
    </row>
    <row r="35" spans="1:14" x14ac:dyDescent="0.25">
      <c r="A35" s="99" t="s">
        <v>66</v>
      </c>
      <c r="B35" s="100"/>
      <c r="C35" s="100">
        <f>1/34</f>
        <v>2.9411764705882353E-2</v>
      </c>
      <c r="D35" s="96">
        <v>11990</v>
      </c>
      <c r="E35" s="96">
        <v>132214</v>
      </c>
      <c r="F35" s="96">
        <v>144528</v>
      </c>
      <c r="G35" s="96">
        <v>20748</v>
      </c>
      <c r="H35" s="99" t="s">
        <v>100</v>
      </c>
      <c r="I35" s="99"/>
      <c r="J35" s="99" t="s">
        <v>105</v>
      </c>
      <c r="K35" s="99"/>
      <c r="M35" s="4"/>
      <c r="N35" s="4"/>
    </row>
    <row r="36" spans="1:14" x14ac:dyDescent="0.25">
      <c r="A36" s="101" t="s">
        <v>177</v>
      </c>
      <c r="B36" s="100"/>
      <c r="C36" s="100">
        <f>1/24</f>
        <v>4.1666666666666664E-2</v>
      </c>
      <c r="D36" s="96">
        <v>30800</v>
      </c>
      <c r="E36" s="96">
        <v>131257</v>
      </c>
      <c r="F36" s="96">
        <v>118134</v>
      </c>
      <c r="G36" s="96"/>
      <c r="H36" s="99" t="s">
        <v>107</v>
      </c>
      <c r="I36" s="99"/>
      <c r="J36" s="99" t="s">
        <v>105</v>
      </c>
      <c r="K36" s="99"/>
      <c r="N36" s="4"/>
    </row>
    <row r="37" spans="1:14" x14ac:dyDescent="0.25">
      <c r="A37" s="101" t="s">
        <v>39</v>
      </c>
      <c r="B37" s="100"/>
      <c r="C37" s="100">
        <f>1/22</f>
        <v>4.5454545454545456E-2</v>
      </c>
      <c r="D37" s="96">
        <v>29750</v>
      </c>
      <c r="E37" s="96">
        <v>127791</v>
      </c>
      <c r="F37" s="96">
        <v>137497</v>
      </c>
      <c r="G37" s="96">
        <v>22569</v>
      </c>
      <c r="H37" s="99" t="s">
        <v>109</v>
      </c>
      <c r="I37" s="99"/>
      <c r="J37" s="99" t="s">
        <v>105</v>
      </c>
      <c r="K37" s="99"/>
      <c r="N37" s="4"/>
    </row>
    <row r="38" spans="1:14" x14ac:dyDescent="0.25">
      <c r="A38" s="101" t="s">
        <v>48</v>
      </c>
      <c r="B38" s="100"/>
      <c r="C38" s="100">
        <f>1/20</f>
        <v>0.05</v>
      </c>
      <c r="D38" s="96">
        <v>25955</v>
      </c>
      <c r="E38" s="96">
        <v>127678</v>
      </c>
      <c r="F38" s="96">
        <v>101553</v>
      </c>
      <c r="G38" s="96">
        <v>6441</v>
      </c>
      <c r="H38" s="99" t="s">
        <v>109</v>
      </c>
      <c r="I38" s="99"/>
      <c r="J38" s="99" t="s">
        <v>105</v>
      </c>
      <c r="K38" s="99"/>
      <c r="M38" s="4"/>
      <c r="N38" s="4"/>
    </row>
    <row r="39" spans="1:14" x14ac:dyDescent="0.25">
      <c r="A39" s="41" t="s">
        <v>63</v>
      </c>
      <c r="B39" s="97"/>
      <c r="C39" s="98">
        <f>1/31</f>
        <v>3.2258064516129031E-2</v>
      </c>
      <c r="D39" s="96">
        <v>22200</v>
      </c>
      <c r="E39" s="96">
        <v>124203</v>
      </c>
      <c r="F39" s="96">
        <v>159414</v>
      </c>
      <c r="G39" s="96"/>
      <c r="H39" s="99" t="s">
        <v>114</v>
      </c>
      <c r="I39" s="99"/>
      <c r="J39" s="99" t="s">
        <v>105</v>
      </c>
      <c r="K39" s="99"/>
      <c r="M39" s="4"/>
      <c r="N39" s="4"/>
    </row>
    <row r="40" spans="1:14" x14ac:dyDescent="0.25">
      <c r="A40" s="101" t="s">
        <v>80</v>
      </c>
      <c r="B40" s="100"/>
      <c r="C40" s="100">
        <f>1/25</f>
        <v>0.04</v>
      </c>
      <c r="D40" s="96">
        <v>18040</v>
      </c>
      <c r="E40" s="96">
        <v>121926</v>
      </c>
      <c r="F40" s="96">
        <v>121274</v>
      </c>
      <c r="G40" s="96"/>
      <c r="H40" s="99" t="s">
        <v>106</v>
      </c>
      <c r="I40" s="99"/>
      <c r="J40" s="99" t="s">
        <v>105</v>
      </c>
      <c r="K40" s="99"/>
      <c r="L40" s="4"/>
    </row>
    <row r="41" spans="1:14" x14ac:dyDescent="0.25">
      <c r="A41" s="99" t="s">
        <v>73</v>
      </c>
      <c r="B41" s="100"/>
      <c r="C41" s="100">
        <f>1/33</f>
        <v>3.0303030303030304E-2</v>
      </c>
      <c r="D41" s="96">
        <v>17895</v>
      </c>
      <c r="E41" s="96">
        <v>121107</v>
      </c>
      <c r="F41" s="96">
        <v>131109</v>
      </c>
      <c r="G41" s="96"/>
      <c r="H41" s="99" t="s">
        <v>103</v>
      </c>
      <c r="I41" s="99"/>
      <c r="J41" s="99" t="s">
        <v>105</v>
      </c>
      <c r="K41" s="99"/>
      <c r="L41" s="4"/>
    </row>
    <row r="42" spans="1:14" x14ac:dyDescent="0.25">
      <c r="A42" s="101" t="s">
        <v>55</v>
      </c>
      <c r="B42" s="100"/>
      <c r="C42" s="100">
        <f>1/22</f>
        <v>4.5454545454545456E-2</v>
      </c>
      <c r="D42" s="96">
        <v>29850</v>
      </c>
      <c r="E42" s="96">
        <v>120846</v>
      </c>
      <c r="F42" s="96">
        <v>127736</v>
      </c>
      <c r="G42" s="96">
        <v>16393</v>
      </c>
      <c r="H42" s="99" t="s">
        <v>109</v>
      </c>
      <c r="I42" s="99"/>
      <c r="J42" s="99" t="s">
        <v>105</v>
      </c>
      <c r="K42" s="99"/>
    </row>
    <row r="43" spans="1:14" x14ac:dyDescent="0.25">
      <c r="A43" s="101" t="s">
        <v>62</v>
      </c>
      <c r="B43" s="100"/>
      <c r="C43" s="100">
        <f>1/23</f>
        <v>4.3478260869565216E-2</v>
      </c>
      <c r="D43" s="96">
        <v>30745</v>
      </c>
      <c r="E43" s="96">
        <v>120772</v>
      </c>
      <c r="F43" s="96">
        <v>136212</v>
      </c>
      <c r="G43" s="96">
        <v>14749</v>
      </c>
      <c r="H43" s="99" t="s">
        <v>107</v>
      </c>
      <c r="I43" s="99"/>
      <c r="J43" s="99" t="s">
        <v>105</v>
      </c>
      <c r="K43" s="99"/>
    </row>
    <row r="44" spans="1:14" x14ac:dyDescent="0.25">
      <c r="A44" s="101" t="s">
        <v>38</v>
      </c>
      <c r="B44" s="100"/>
      <c r="C44" s="100">
        <f>1/18</f>
        <v>5.5555555555555552E-2</v>
      </c>
      <c r="D44" s="96">
        <v>28700</v>
      </c>
      <c r="E44" s="96">
        <v>116701</v>
      </c>
      <c r="F44" s="96">
        <v>119945</v>
      </c>
      <c r="G44" s="96"/>
      <c r="H44" s="99" t="s">
        <v>107</v>
      </c>
      <c r="I44" s="99"/>
      <c r="J44" s="99" t="s">
        <v>105</v>
      </c>
      <c r="K44" s="99"/>
    </row>
    <row r="45" spans="1:14" x14ac:dyDescent="0.25">
      <c r="A45" s="99" t="s">
        <v>58</v>
      </c>
      <c r="B45" s="100"/>
      <c r="C45" s="100">
        <v>6.25E-2</v>
      </c>
      <c r="D45" s="96">
        <v>30120</v>
      </c>
      <c r="E45" s="96">
        <v>115489</v>
      </c>
      <c r="F45" s="96">
        <v>118880</v>
      </c>
      <c r="G45" s="96">
        <v>14727</v>
      </c>
      <c r="H45" s="99" t="s">
        <v>167</v>
      </c>
      <c r="I45" s="99"/>
      <c r="J45" s="99" t="s">
        <v>105</v>
      </c>
      <c r="K45" s="99"/>
    </row>
    <row r="46" spans="1:14" x14ac:dyDescent="0.25">
      <c r="A46" s="101" t="s">
        <v>47</v>
      </c>
      <c r="B46" s="100"/>
      <c r="C46" s="100">
        <f>1/24</f>
        <v>4.1666666666666664E-2</v>
      </c>
      <c r="D46" s="96">
        <v>25600</v>
      </c>
      <c r="E46" s="96">
        <v>114733</v>
      </c>
      <c r="F46" s="96">
        <v>116249</v>
      </c>
      <c r="G46" s="96"/>
      <c r="H46" s="99" t="s">
        <v>107</v>
      </c>
      <c r="I46" s="99"/>
      <c r="J46" s="99" t="s">
        <v>105</v>
      </c>
      <c r="K46" s="99"/>
    </row>
    <row r="47" spans="1:14" x14ac:dyDescent="0.25">
      <c r="A47" s="101" t="s">
        <v>84</v>
      </c>
      <c r="B47" s="100"/>
      <c r="C47" s="100">
        <f>1/27</f>
        <v>3.7037037037037035E-2</v>
      </c>
      <c r="D47" s="96">
        <v>24045</v>
      </c>
      <c r="E47" s="96">
        <v>112235</v>
      </c>
      <c r="F47" s="96">
        <v>111450</v>
      </c>
      <c r="G47" s="96">
        <v>17405</v>
      </c>
      <c r="H47" s="99" t="s">
        <v>106</v>
      </c>
      <c r="I47" s="99"/>
      <c r="J47" s="99" t="s">
        <v>105</v>
      </c>
      <c r="K47" s="99"/>
      <c r="L47" s="4"/>
    </row>
    <row r="48" spans="1:14" x14ac:dyDescent="0.25">
      <c r="A48" s="101" t="s">
        <v>54</v>
      </c>
      <c r="B48" s="100"/>
      <c r="C48" s="100">
        <f>1/18</f>
        <v>5.5555555555555552E-2</v>
      </c>
      <c r="D48" s="96">
        <v>34210</v>
      </c>
      <c r="E48" s="96">
        <v>111970</v>
      </c>
      <c r="F48" s="96">
        <v>97034</v>
      </c>
      <c r="G48" s="96"/>
      <c r="H48" s="99" t="s">
        <v>107</v>
      </c>
      <c r="I48" s="99"/>
      <c r="J48" s="99" t="s">
        <v>105</v>
      </c>
      <c r="K48" s="99"/>
    </row>
    <row r="49" spans="1:12" x14ac:dyDescent="0.25">
      <c r="A49" s="99" t="s">
        <v>10</v>
      </c>
      <c r="B49" s="100"/>
      <c r="C49" s="100">
        <v>0.04</v>
      </c>
      <c r="D49" s="96">
        <v>35285</v>
      </c>
      <c r="E49" s="96">
        <v>109435</v>
      </c>
      <c r="F49" s="96">
        <v>100610</v>
      </c>
      <c r="G49" s="96">
        <v>11674</v>
      </c>
      <c r="H49" s="99" t="s">
        <v>106</v>
      </c>
      <c r="I49" s="99" t="s">
        <v>124</v>
      </c>
      <c r="J49" s="99" t="s">
        <v>105</v>
      </c>
      <c r="K49" s="99"/>
    </row>
    <row r="50" spans="1:12" x14ac:dyDescent="0.25">
      <c r="A50" s="99" t="s">
        <v>155</v>
      </c>
      <c r="B50" s="100"/>
      <c r="C50" s="100">
        <v>4.3478260869565216E-2</v>
      </c>
      <c r="D50" s="96">
        <v>43220</v>
      </c>
      <c r="E50" s="96">
        <v>109435</v>
      </c>
      <c r="F50" s="96">
        <v>100610</v>
      </c>
      <c r="G50" s="96">
        <v>20070</v>
      </c>
      <c r="H50" s="99" t="s">
        <v>107</v>
      </c>
      <c r="I50" s="99" t="s">
        <v>124</v>
      </c>
      <c r="J50" s="99" t="s">
        <v>105</v>
      </c>
      <c r="K50" s="99"/>
    </row>
    <row r="51" spans="1:12" x14ac:dyDescent="0.25">
      <c r="A51" s="99" t="s">
        <v>65</v>
      </c>
      <c r="B51" s="100"/>
      <c r="C51" s="100">
        <v>4.3478260869565216E-2</v>
      </c>
      <c r="D51" s="96">
        <v>20000</v>
      </c>
      <c r="E51" s="96">
        <v>108725</v>
      </c>
      <c r="F51" s="96">
        <v>84430</v>
      </c>
      <c r="G51" s="96">
        <v>11893</v>
      </c>
      <c r="H51" s="99" t="s">
        <v>136</v>
      </c>
      <c r="I51" s="99"/>
      <c r="J51" s="99" t="s">
        <v>105</v>
      </c>
      <c r="K51" s="99"/>
    </row>
    <row r="52" spans="1:12" x14ac:dyDescent="0.25">
      <c r="A52" s="101" t="s">
        <v>61</v>
      </c>
      <c r="B52" s="100"/>
      <c r="C52" s="100">
        <f>1/21</f>
        <v>4.7619047619047616E-2</v>
      </c>
      <c r="D52" s="96">
        <v>21195</v>
      </c>
      <c r="E52" s="96">
        <v>106759</v>
      </c>
      <c r="F52" s="96">
        <v>108085</v>
      </c>
      <c r="G52" s="96"/>
      <c r="H52" s="99" t="s">
        <v>107</v>
      </c>
      <c r="I52" s="99"/>
      <c r="J52" s="99" t="s">
        <v>105</v>
      </c>
      <c r="K52" s="99"/>
    </row>
    <row r="53" spans="1:12" x14ac:dyDescent="0.25">
      <c r="A53" s="101" t="s">
        <v>87</v>
      </c>
      <c r="B53" s="100"/>
      <c r="C53" s="100">
        <f>1/26</f>
        <v>3.8461538461538464E-2</v>
      </c>
      <c r="D53" s="96">
        <v>19325</v>
      </c>
      <c r="E53" s="96">
        <v>106606</v>
      </c>
      <c r="F53" s="96">
        <v>60864</v>
      </c>
      <c r="G53" s="96">
        <v>6458</v>
      </c>
      <c r="H53" s="99" t="s">
        <v>150</v>
      </c>
      <c r="I53" s="99"/>
      <c r="J53" s="99" t="s">
        <v>105</v>
      </c>
      <c r="K53" s="99"/>
    </row>
    <row r="54" spans="1:12" x14ac:dyDescent="0.25">
      <c r="A54" s="41" t="s">
        <v>22</v>
      </c>
      <c r="B54" s="102"/>
      <c r="C54" s="98">
        <f>1/24</f>
        <v>4.1666666666666664E-2</v>
      </c>
      <c r="D54" s="96">
        <v>25185</v>
      </c>
      <c r="E54" s="96">
        <v>105932</v>
      </c>
      <c r="F54" s="96">
        <v>122349</v>
      </c>
      <c r="G54" s="96">
        <v>14772</v>
      </c>
      <c r="H54" s="99" t="s">
        <v>119</v>
      </c>
      <c r="I54" s="99"/>
      <c r="J54" s="99" t="s">
        <v>105</v>
      </c>
      <c r="K54" s="99"/>
    </row>
    <row r="55" spans="1:12" x14ac:dyDescent="0.25">
      <c r="A55" s="101" t="s">
        <v>69</v>
      </c>
      <c r="B55" s="100"/>
      <c r="C55" s="100">
        <f>1/19</f>
        <v>5.2631578947368418E-2</v>
      </c>
      <c r="D55" s="96">
        <v>47215</v>
      </c>
      <c r="E55" s="96">
        <v>103306</v>
      </c>
      <c r="F55" s="96">
        <v>88342</v>
      </c>
      <c r="G55" s="96">
        <v>8679</v>
      </c>
      <c r="H55" s="99" t="s">
        <v>108</v>
      </c>
      <c r="I55" s="99"/>
      <c r="J55" s="99" t="s">
        <v>105</v>
      </c>
      <c r="K55" s="99"/>
    </row>
    <row r="56" spans="1:12" x14ac:dyDescent="0.25">
      <c r="A56" s="99" t="s">
        <v>79</v>
      </c>
      <c r="B56" s="100"/>
      <c r="C56" s="100">
        <f>1/32</f>
        <v>3.125E-2</v>
      </c>
      <c r="D56" s="96">
        <v>16600</v>
      </c>
      <c r="E56" s="96">
        <v>103292</v>
      </c>
      <c r="F56" s="96">
        <v>78919</v>
      </c>
      <c r="G56" s="96"/>
      <c r="H56" s="99" t="s">
        <v>103</v>
      </c>
      <c r="I56" s="99"/>
      <c r="J56" s="99" t="s">
        <v>105</v>
      </c>
      <c r="K56" s="99"/>
      <c r="L56" s="7"/>
    </row>
    <row r="57" spans="1:12" x14ac:dyDescent="0.25">
      <c r="A57" s="41" t="s">
        <v>8</v>
      </c>
      <c r="B57" s="107"/>
      <c r="C57" s="100">
        <f>1/56</f>
        <v>1.7857142857142856E-2</v>
      </c>
      <c r="D57" s="96">
        <v>23475</v>
      </c>
      <c r="E57" s="96">
        <v>98866</v>
      </c>
      <c r="F57" s="96">
        <v>113829</v>
      </c>
      <c r="G57" s="96">
        <v>49490</v>
      </c>
      <c r="H57" s="99" t="s">
        <v>103</v>
      </c>
      <c r="I57" s="99"/>
      <c r="J57" s="99" t="s">
        <v>104</v>
      </c>
      <c r="K57" s="99"/>
    </row>
    <row r="58" spans="1:12" x14ac:dyDescent="0.25">
      <c r="A58" s="41" t="s">
        <v>32</v>
      </c>
      <c r="B58" s="102"/>
      <c r="C58" s="98">
        <f>1/25</f>
        <v>0.04</v>
      </c>
      <c r="D58" s="96">
        <v>27500</v>
      </c>
      <c r="E58" s="96">
        <v>97006</v>
      </c>
      <c r="F58" s="96">
        <v>116825</v>
      </c>
      <c r="G58" s="96">
        <v>5089</v>
      </c>
      <c r="H58" s="99" t="s">
        <v>120</v>
      </c>
      <c r="I58" s="99"/>
      <c r="J58" s="99" t="s">
        <v>105</v>
      </c>
      <c r="K58" s="99"/>
    </row>
    <row r="59" spans="1:12" x14ac:dyDescent="0.25">
      <c r="A59" s="101" t="s">
        <v>90</v>
      </c>
      <c r="B59" s="100"/>
      <c r="C59" s="100">
        <f>1/29</f>
        <v>3.4482758620689655E-2</v>
      </c>
      <c r="D59" s="96">
        <v>21695</v>
      </c>
      <c r="E59" s="96">
        <v>95677</v>
      </c>
      <c r="F59" s="96">
        <v>88927</v>
      </c>
      <c r="G59" s="96"/>
      <c r="H59" s="99" t="s">
        <v>106</v>
      </c>
      <c r="I59" s="99"/>
      <c r="J59" s="99" t="s">
        <v>105</v>
      </c>
      <c r="K59" s="99"/>
      <c r="L59" s="4"/>
    </row>
    <row r="60" spans="1:12" x14ac:dyDescent="0.25">
      <c r="A60" s="99" t="s">
        <v>83</v>
      </c>
      <c r="B60" s="100"/>
      <c r="C60" s="100">
        <f>1/32</f>
        <v>3.125E-2</v>
      </c>
      <c r="D60" s="96">
        <v>17845</v>
      </c>
      <c r="E60" s="96">
        <v>95567</v>
      </c>
      <c r="F60" s="96">
        <v>107884</v>
      </c>
      <c r="G60" s="96"/>
      <c r="H60" s="99" t="s">
        <v>103</v>
      </c>
      <c r="I60" s="99"/>
      <c r="J60" s="99" t="s">
        <v>105</v>
      </c>
      <c r="K60" s="99"/>
      <c r="L60" s="7"/>
    </row>
    <row r="61" spans="1:12" x14ac:dyDescent="0.25">
      <c r="A61" s="41" t="s">
        <v>41</v>
      </c>
      <c r="B61" s="97"/>
      <c r="C61" s="98">
        <f>1/23</f>
        <v>4.3478260869565216E-2</v>
      </c>
      <c r="D61" s="96">
        <v>27995</v>
      </c>
      <c r="E61" s="96">
        <v>95437</v>
      </c>
      <c r="F61" s="96">
        <v>96633</v>
      </c>
      <c r="G61" s="96">
        <v>8566</v>
      </c>
      <c r="H61" s="99" t="s">
        <v>120</v>
      </c>
      <c r="I61" s="99"/>
      <c r="J61" s="99" t="s">
        <v>105</v>
      </c>
      <c r="K61" s="99"/>
    </row>
    <row r="62" spans="1:12" x14ac:dyDescent="0.25">
      <c r="A62" s="101" t="s">
        <v>92</v>
      </c>
      <c r="B62" s="100"/>
      <c r="C62" s="100">
        <f>1/26</f>
        <v>3.8461538461538464E-2</v>
      </c>
      <c r="D62" s="96">
        <v>19940</v>
      </c>
      <c r="E62" s="96">
        <v>94061</v>
      </c>
      <c r="F62" s="96">
        <v>71448</v>
      </c>
      <c r="G62" s="96"/>
      <c r="H62" s="99" t="s">
        <v>106</v>
      </c>
      <c r="I62" s="99"/>
      <c r="J62" s="99" t="s">
        <v>105</v>
      </c>
      <c r="K62" s="99"/>
    </row>
    <row r="63" spans="1:12" x14ac:dyDescent="0.25">
      <c r="A63" s="101" t="s">
        <v>93</v>
      </c>
      <c r="B63" s="100"/>
      <c r="C63" s="100">
        <f>1/28</f>
        <v>3.5714285714285712E-2</v>
      </c>
      <c r="D63" s="96">
        <v>22700</v>
      </c>
      <c r="E63" s="96">
        <v>89713</v>
      </c>
      <c r="F63" s="96">
        <v>63591</v>
      </c>
      <c r="G63" s="96"/>
      <c r="H63" s="99" t="s">
        <v>106</v>
      </c>
      <c r="I63" s="99"/>
      <c r="J63" s="99" t="s">
        <v>105</v>
      </c>
      <c r="K63" s="99"/>
    </row>
    <row r="64" spans="1:12" x14ac:dyDescent="0.25">
      <c r="A64" s="99" t="s">
        <v>86</v>
      </c>
      <c r="B64" s="100"/>
      <c r="C64" s="100">
        <f>1/32</f>
        <v>3.125E-2</v>
      </c>
      <c r="D64" s="96">
        <v>18395</v>
      </c>
      <c r="E64" s="96">
        <v>88517</v>
      </c>
      <c r="F64" s="96">
        <v>100519</v>
      </c>
      <c r="G64" s="96"/>
      <c r="H64" s="99" t="s">
        <v>103</v>
      </c>
      <c r="I64" s="99"/>
      <c r="J64" s="99" t="s">
        <v>105</v>
      </c>
      <c r="K64" s="99"/>
      <c r="L64" s="7"/>
    </row>
    <row r="65" spans="1:12" x14ac:dyDescent="0.25">
      <c r="A65" s="101" t="s">
        <v>76</v>
      </c>
      <c r="B65" s="100"/>
      <c r="C65" s="100">
        <f>1/23</f>
        <v>4.3478260869565216E-2</v>
      </c>
      <c r="D65" s="96">
        <v>29070</v>
      </c>
      <c r="E65" s="96">
        <v>88466</v>
      </c>
      <c r="F65" s="96">
        <v>96393</v>
      </c>
      <c r="G65" s="96"/>
      <c r="H65" s="99" t="s">
        <v>107</v>
      </c>
      <c r="I65" s="99"/>
      <c r="J65" s="99" t="s">
        <v>105</v>
      </c>
      <c r="K65" s="99"/>
    </row>
    <row r="66" spans="1:12" x14ac:dyDescent="0.25">
      <c r="A66" s="101" t="s">
        <v>94</v>
      </c>
      <c r="B66" s="100"/>
      <c r="C66" s="100">
        <f>1/25</f>
        <v>0.04</v>
      </c>
      <c r="D66" s="96">
        <v>24070</v>
      </c>
      <c r="E66" s="96">
        <v>87925</v>
      </c>
      <c r="F66" s="96">
        <v>112030</v>
      </c>
      <c r="G66" s="96"/>
      <c r="H66" s="99" t="s">
        <v>106</v>
      </c>
      <c r="I66" s="99"/>
      <c r="J66" s="99" t="s">
        <v>105</v>
      </c>
      <c r="K66" s="99"/>
      <c r="L66" s="4"/>
    </row>
    <row r="67" spans="1:12" x14ac:dyDescent="0.25">
      <c r="A67" s="101" t="s">
        <v>68</v>
      </c>
      <c r="B67" s="100"/>
      <c r="C67" s="100">
        <f>1/24</f>
        <v>4.1666666666666664E-2</v>
      </c>
      <c r="D67" s="96">
        <v>29740</v>
      </c>
      <c r="E67" s="96">
        <v>86953</v>
      </c>
      <c r="F67" s="96">
        <v>62907</v>
      </c>
      <c r="G67" s="96"/>
      <c r="H67" s="99" t="s">
        <v>107</v>
      </c>
      <c r="I67" s="99"/>
      <c r="J67" s="99" t="s">
        <v>105</v>
      </c>
      <c r="K67" s="99"/>
    </row>
    <row r="68" spans="1:12" x14ac:dyDescent="0.25">
      <c r="A68" s="99" t="s">
        <v>72</v>
      </c>
      <c r="B68" s="100"/>
      <c r="C68" s="100">
        <v>5.2631578947368418E-2</v>
      </c>
      <c r="D68" s="96">
        <v>18390</v>
      </c>
      <c r="E68" s="96">
        <v>86926</v>
      </c>
      <c r="F68" s="96">
        <v>62817</v>
      </c>
      <c r="G68" s="96">
        <v>9595</v>
      </c>
      <c r="H68" s="99" t="s">
        <v>136</v>
      </c>
      <c r="I68" s="99"/>
      <c r="J68" s="99" t="s">
        <v>105</v>
      </c>
      <c r="K68" s="99"/>
    </row>
    <row r="69" spans="1:12" x14ac:dyDescent="0.25">
      <c r="A69" s="101" t="s">
        <v>75</v>
      </c>
      <c r="B69" s="99"/>
      <c r="C69" s="100">
        <f>1/31</f>
        <v>3.2258064516129031E-2</v>
      </c>
      <c r="D69" s="96">
        <v>19465</v>
      </c>
      <c r="E69" s="96">
        <v>82041</v>
      </c>
      <c r="F69" s="96">
        <v>41969</v>
      </c>
      <c r="G69" s="96">
        <v>11859</v>
      </c>
      <c r="H69" s="99" t="s">
        <v>150</v>
      </c>
      <c r="I69" s="99"/>
      <c r="J69" s="99" t="s">
        <v>105</v>
      </c>
      <c r="K69" s="99"/>
    </row>
    <row r="70" spans="1:12" x14ac:dyDescent="0.25">
      <c r="A70" s="101" t="s">
        <v>82</v>
      </c>
      <c r="B70" s="100"/>
      <c r="C70" s="100">
        <f>1/23</f>
        <v>4.3478260869565216E-2</v>
      </c>
      <c r="D70" s="96">
        <v>30290</v>
      </c>
      <c r="E70" s="96">
        <v>81701</v>
      </c>
      <c r="F70" s="96">
        <v>82041</v>
      </c>
      <c r="G70" s="96"/>
      <c r="H70" s="99" t="s">
        <v>107</v>
      </c>
      <c r="I70" s="99"/>
      <c r="J70" s="99" t="s">
        <v>105</v>
      </c>
      <c r="K70" s="99"/>
    </row>
    <row r="71" spans="1:12" x14ac:dyDescent="0.25">
      <c r="A71" s="101" t="s">
        <v>95</v>
      </c>
      <c r="B71" s="100"/>
      <c r="C71" s="100">
        <f>1/26</f>
        <v>3.8461538461538464E-2</v>
      </c>
      <c r="D71" s="96">
        <v>23200</v>
      </c>
      <c r="E71" s="96">
        <v>81066</v>
      </c>
      <c r="F71" s="96">
        <v>53739</v>
      </c>
      <c r="G71" s="96"/>
      <c r="H71" s="99" t="s">
        <v>106</v>
      </c>
      <c r="I71" s="99"/>
      <c r="J71" s="99" t="s">
        <v>105</v>
      </c>
      <c r="K71" s="99"/>
      <c r="L71" s="4"/>
    </row>
    <row r="72" spans="1:12" x14ac:dyDescent="0.25">
      <c r="A72" s="99" t="s">
        <v>89</v>
      </c>
      <c r="B72" s="100"/>
      <c r="C72" s="100">
        <f>1/31</f>
        <v>3.2258064516129031E-2</v>
      </c>
      <c r="D72" s="96">
        <v>14745</v>
      </c>
      <c r="E72" s="96">
        <v>79766</v>
      </c>
      <c r="F72" s="96">
        <v>61486</v>
      </c>
      <c r="G72" s="96">
        <v>7734</v>
      </c>
      <c r="H72" s="99" t="s">
        <v>100</v>
      </c>
      <c r="I72" s="99"/>
      <c r="J72" s="99" t="s">
        <v>105</v>
      </c>
      <c r="K72" s="99"/>
    </row>
    <row r="73" spans="1:12" x14ac:dyDescent="0.25">
      <c r="A73" s="101" t="s">
        <v>96</v>
      </c>
      <c r="B73" s="100"/>
      <c r="C73" s="100">
        <v>3.5714285714285712E-2</v>
      </c>
      <c r="D73" s="96">
        <v>21000</v>
      </c>
      <c r="E73" s="96">
        <v>79016</v>
      </c>
      <c r="F73" s="96">
        <v>63030</v>
      </c>
      <c r="G73" s="96">
        <v>2821</v>
      </c>
      <c r="H73" s="99" t="s">
        <v>150</v>
      </c>
      <c r="I73" s="99"/>
      <c r="J73" s="99" t="s">
        <v>105</v>
      </c>
      <c r="K73" s="99"/>
    </row>
    <row r="74" spans="1:12" x14ac:dyDescent="0.25">
      <c r="A74" s="101" t="s">
        <v>97</v>
      </c>
      <c r="B74" s="100"/>
      <c r="C74" s="100">
        <f>1/30</f>
        <v>3.3333333333333333E-2</v>
      </c>
      <c r="D74" s="96">
        <v>22990</v>
      </c>
      <c r="E74" s="96">
        <v>78565</v>
      </c>
      <c r="F74" s="96">
        <v>67549</v>
      </c>
      <c r="G74" s="96">
        <v>3775</v>
      </c>
      <c r="H74" s="99" t="s">
        <v>150</v>
      </c>
      <c r="I74" s="99"/>
      <c r="J74" s="99" t="s">
        <v>105</v>
      </c>
      <c r="K74" s="99"/>
    </row>
    <row r="75" spans="1:12" x14ac:dyDescent="0.25">
      <c r="A75" s="41" t="s">
        <v>50</v>
      </c>
      <c r="B75" s="102"/>
      <c r="C75" s="98">
        <f>1/28</f>
        <v>3.5714285714285712E-2</v>
      </c>
      <c r="D75" s="96">
        <v>39500</v>
      </c>
      <c r="E75" s="96">
        <v>77167</v>
      </c>
      <c r="F75" s="96">
        <v>86080</v>
      </c>
      <c r="G75" s="96">
        <v>20500</v>
      </c>
      <c r="H75" s="99" t="s">
        <v>103</v>
      </c>
      <c r="I75" s="99" t="s">
        <v>124</v>
      </c>
      <c r="J75" s="99" t="s">
        <v>105</v>
      </c>
      <c r="K75" s="99"/>
    </row>
    <row r="76" spans="1:12" x14ac:dyDescent="0.25">
      <c r="A76" s="41" t="s">
        <v>70</v>
      </c>
      <c r="B76" s="97"/>
      <c r="C76" s="98">
        <f>1/27</f>
        <v>3.7037037037037035E-2</v>
      </c>
      <c r="D76" s="96">
        <v>22440</v>
      </c>
      <c r="E76" s="96">
        <v>73002</v>
      </c>
      <c r="F76" s="96">
        <v>78207</v>
      </c>
      <c r="G76" s="96"/>
      <c r="H76" s="99" t="s">
        <v>114</v>
      </c>
      <c r="I76" s="99"/>
      <c r="J76" s="99" t="s">
        <v>105</v>
      </c>
      <c r="K76" s="99"/>
    </row>
    <row r="77" spans="1:12" x14ac:dyDescent="0.25">
      <c r="A77" s="41" t="s">
        <v>57</v>
      </c>
      <c r="B77" s="102"/>
      <c r="C77" s="98">
        <f>1/25</f>
        <v>0.04</v>
      </c>
      <c r="D77" s="96">
        <v>25905</v>
      </c>
      <c r="E77" s="96">
        <v>72705</v>
      </c>
      <c r="F77" s="96">
        <v>77502</v>
      </c>
      <c r="G77" s="96">
        <v>9731</v>
      </c>
      <c r="H77" s="99" t="s">
        <v>119</v>
      </c>
      <c r="I77" s="99"/>
      <c r="J77" s="99" t="s">
        <v>105</v>
      </c>
      <c r="K77" s="99"/>
    </row>
    <row r="78" spans="1:12" x14ac:dyDescent="0.25">
      <c r="A78" s="41" t="s">
        <v>64</v>
      </c>
      <c r="B78" s="102"/>
      <c r="C78" s="98">
        <f>1/36</f>
        <v>2.7777777777777776E-2</v>
      </c>
      <c r="D78" s="96">
        <v>33450</v>
      </c>
      <c r="E78" s="96">
        <v>70458</v>
      </c>
      <c r="F78" s="96">
        <v>94540</v>
      </c>
      <c r="G78" s="96">
        <v>19690</v>
      </c>
      <c r="H78" s="99" t="s">
        <v>103</v>
      </c>
      <c r="I78" s="99" t="s">
        <v>124</v>
      </c>
      <c r="J78" s="99" t="s">
        <v>105</v>
      </c>
      <c r="K78" s="99"/>
    </row>
    <row r="79" spans="1:12" x14ac:dyDescent="0.25">
      <c r="A79" s="101" t="s">
        <v>81</v>
      </c>
      <c r="B79" s="100"/>
      <c r="C79" s="100">
        <f>1/21</f>
        <v>4.7619047619047616E-2</v>
      </c>
      <c r="D79" s="96">
        <v>29995</v>
      </c>
      <c r="E79" s="96">
        <v>68474</v>
      </c>
      <c r="F79" s="96">
        <v>64723</v>
      </c>
      <c r="G79" s="96"/>
      <c r="H79" s="99" t="s">
        <v>108</v>
      </c>
      <c r="I79" s="99"/>
      <c r="J79" s="99" t="s">
        <v>105</v>
      </c>
      <c r="K79" s="99"/>
    </row>
    <row r="80" spans="1:12" x14ac:dyDescent="0.25">
      <c r="A80" s="101" t="s">
        <v>85</v>
      </c>
      <c r="B80" s="107"/>
      <c r="C80" s="100">
        <f>1/13</f>
        <v>7.6923076923076927E-2</v>
      </c>
      <c r="D80" s="96">
        <v>30745</v>
      </c>
      <c r="E80" s="96">
        <v>68007</v>
      </c>
      <c r="F80" s="96">
        <v>63382</v>
      </c>
      <c r="G80" s="96">
        <v>3837</v>
      </c>
      <c r="H80" s="99" t="s">
        <v>110</v>
      </c>
      <c r="I80" s="99"/>
      <c r="J80" s="99" t="s">
        <v>105</v>
      </c>
      <c r="K80" s="99"/>
    </row>
    <row r="81" spans="1:12" x14ac:dyDescent="0.25">
      <c r="A81" s="41" t="s">
        <v>77</v>
      </c>
      <c r="B81" s="97"/>
      <c r="C81" s="98">
        <f>1/29</f>
        <v>3.4482758620689655E-2</v>
      </c>
      <c r="D81" s="96">
        <v>21995</v>
      </c>
      <c r="E81" s="96">
        <v>65306</v>
      </c>
      <c r="F81" s="96">
        <v>60447</v>
      </c>
      <c r="G81" s="96"/>
      <c r="H81" s="99" t="s">
        <v>114</v>
      </c>
      <c r="I81" s="99"/>
      <c r="J81" s="99" t="s">
        <v>105</v>
      </c>
      <c r="K81" s="99"/>
    </row>
    <row r="82" spans="1:12" x14ac:dyDescent="0.25">
      <c r="A82" s="41" t="s">
        <v>71</v>
      </c>
      <c r="B82" s="102"/>
      <c r="C82" s="98">
        <f>1/23</f>
        <v>4.3478260869565216E-2</v>
      </c>
      <c r="D82" s="96">
        <v>26995</v>
      </c>
      <c r="E82" s="96">
        <v>64433</v>
      </c>
      <c r="F82" s="96">
        <v>66377</v>
      </c>
      <c r="G82" s="96">
        <v>8975</v>
      </c>
      <c r="H82" s="99" t="s">
        <v>119</v>
      </c>
      <c r="I82" s="99"/>
      <c r="J82" s="99" t="s">
        <v>105</v>
      </c>
      <c r="K82" s="99"/>
    </row>
    <row r="83" spans="1:12" x14ac:dyDescent="0.25">
      <c r="A83" s="41" t="s">
        <v>78</v>
      </c>
      <c r="B83" s="102"/>
      <c r="C83" s="98">
        <f>1/25</f>
        <v>0.04</v>
      </c>
      <c r="D83" s="96">
        <v>32610</v>
      </c>
      <c r="E83" s="96">
        <v>62670</v>
      </c>
      <c r="F83" s="96">
        <v>40359</v>
      </c>
      <c r="G83" s="96">
        <v>3814</v>
      </c>
      <c r="H83" s="99" t="s">
        <v>120</v>
      </c>
      <c r="I83" s="99"/>
      <c r="J83" s="99" t="s">
        <v>105</v>
      </c>
      <c r="K83" s="99"/>
    </row>
    <row r="84" spans="1:12" x14ac:dyDescent="0.25">
      <c r="A84" s="101" t="s">
        <v>88</v>
      </c>
      <c r="B84" s="107"/>
      <c r="C84" s="100">
        <f>1/22</f>
        <v>4.5454545454545456E-2</v>
      </c>
      <c r="D84" s="96">
        <v>28995</v>
      </c>
      <c r="E84" s="96">
        <v>62366</v>
      </c>
      <c r="F84" s="96"/>
      <c r="G84" s="96">
        <v>4539</v>
      </c>
      <c r="H84" s="99" t="s">
        <v>109</v>
      </c>
      <c r="I84" s="99"/>
      <c r="J84" s="99" t="s">
        <v>105</v>
      </c>
      <c r="K84" s="99"/>
    </row>
    <row r="85" spans="1:12" x14ac:dyDescent="0.25">
      <c r="A85" s="101" t="s">
        <v>142</v>
      </c>
      <c r="B85" s="100"/>
      <c r="C85" s="100">
        <f>1/19</f>
        <v>5.2631578947368418E-2</v>
      </c>
      <c r="D85" s="96">
        <v>49915</v>
      </c>
      <c r="E85" s="96">
        <v>60082</v>
      </c>
      <c r="F85" s="96">
        <v>50866</v>
      </c>
      <c r="G85" s="96">
        <v>4454</v>
      </c>
      <c r="H85" s="99" t="s">
        <v>108</v>
      </c>
      <c r="I85" s="99"/>
      <c r="J85" s="99" t="s">
        <v>105</v>
      </c>
      <c r="K85" s="99"/>
    </row>
    <row r="86" spans="1:12" x14ac:dyDescent="0.25">
      <c r="A86" s="41" t="s">
        <v>127</v>
      </c>
      <c r="B86" s="100"/>
      <c r="C86" s="108">
        <f>1/40</f>
        <v>2.5000000000000001E-2</v>
      </c>
      <c r="D86" s="96">
        <v>38900</v>
      </c>
      <c r="E86" s="96">
        <v>58299</v>
      </c>
      <c r="F86" s="96">
        <v>64969</v>
      </c>
      <c r="G86" s="96">
        <v>12601</v>
      </c>
      <c r="H86" s="99" t="s">
        <v>164</v>
      </c>
      <c r="I86" s="99" t="s">
        <v>124</v>
      </c>
      <c r="J86" s="99" t="s">
        <v>105</v>
      </c>
      <c r="K86" s="99"/>
    </row>
    <row r="87" spans="1:12" x14ac:dyDescent="0.25">
      <c r="A87" s="99" t="s">
        <v>91</v>
      </c>
      <c r="B87" s="100"/>
      <c r="C87" s="100">
        <f>1/29</f>
        <v>3.4482758620689655E-2</v>
      </c>
      <c r="D87" s="96">
        <v>19885</v>
      </c>
      <c r="E87" s="96">
        <v>57950</v>
      </c>
      <c r="F87" s="96">
        <v>65308</v>
      </c>
      <c r="G87" s="96"/>
      <c r="H87" s="99" t="s">
        <v>103</v>
      </c>
      <c r="I87" s="99"/>
      <c r="J87" s="99" t="s">
        <v>105</v>
      </c>
      <c r="K87" s="99"/>
      <c r="L87" s="7"/>
    </row>
    <row r="88" spans="1:12" x14ac:dyDescent="0.25">
      <c r="A88" s="99" t="s">
        <v>115</v>
      </c>
      <c r="B88" s="100"/>
      <c r="C88" s="100">
        <f>1/36</f>
        <v>2.7777777777777776E-2</v>
      </c>
      <c r="D88" s="96">
        <v>16090</v>
      </c>
      <c r="E88" s="96">
        <v>56630</v>
      </c>
      <c r="F88" s="96">
        <v>52724</v>
      </c>
      <c r="G88" s="96">
        <v>11620</v>
      </c>
      <c r="H88" s="99" t="s">
        <v>100</v>
      </c>
      <c r="I88" s="99"/>
      <c r="J88" s="99" t="s">
        <v>105</v>
      </c>
      <c r="K88" s="99"/>
    </row>
    <row r="89" spans="1:12" x14ac:dyDescent="0.25">
      <c r="A89" s="99" t="s">
        <v>158</v>
      </c>
      <c r="B89" s="100"/>
      <c r="C89" s="100">
        <v>4.3478260869565216E-2</v>
      </c>
      <c r="D89" s="96">
        <v>44050</v>
      </c>
      <c r="E89" s="96">
        <v>55495</v>
      </c>
      <c r="F89" s="96">
        <v>58208</v>
      </c>
      <c r="G89" s="96">
        <v>8497</v>
      </c>
      <c r="H89" s="99" t="s">
        <v>107</v>
      </c>
      <c r="I89" s="99" t="s">
        <v>124</v>
      </c>
      <c r="J89" s="99" t="s">
        <v>105</v>
      </c>
      <c r="K89" s="99"/>
    </row>
    <row r="90" spans="1:12" x14ac:dyDescent="0.25">
      <c r="A90" s="101" t="s">
        <v>143</v>
      </c>
      <c r="B90" s="100"/>
      <c r="C90" s="100">
        <f>1/19</f>
        <v>5.2631578947368418E-2</v>
      </c>
      <c r="D90" s="96">
        <v>48530</v>
      </c>
      <c r="E90" s="96">
        <v>53447</v>
      </c>
      <c r="F90" s="96">
        <v>42732</v>
      </c>
      <c r="G90" s="96">
        <v>4100</v>
      </c>
      <c r="H90" s="99" t="s">
        <v>108</v>
      </c>
      <c r="I90" s="99"/>
      <c r="J90" s="99" t="s">
        <v>105</v>
      </c>
      <c r="K90" s="99"/>
    </row>
    <row r="91" spans="1:12" x14ac:dyDescent="0.25">
      <c r="A91" s="41" t="s">
        <v>122</v>
      </c>
      <c r="B91" s="102"/>
      <c r="C91" s="98">
        <f>1/23</f>
        <v>4.3478260869565216E-2</v>
      </c>
      <c r="D91" s="96">
        <v>35675</v>
      </c>
      <c r="E91" s="96">
        <v>53241</v>
      </c>
      <c r="F91" s="96">
        <v>53025</v>
      </c>
      <c r="G91" s="96">
        <v>3509</v>
      </c>
      <c r="H91" s="99" t="s">
        <v>120</v>
      </c>
      <c r="I91" s="99"/>
      <c r="J91" s="99" t="s">
        <v>105</v>
      </c>
      <c r="K91" s="99"/>
    </row>
    <row r="92" spans="1:12" x14ac:dyDescent="0.25">
      <c r="A92" s="99" t="s">
        <v>153</v>
      </c>
      <c r="B92" s="100"/>
      <c r="C92" s="100">
        <v>4.3478260869565216E-2</v>
      </c>
      <c r="D92" s="96">
        <v>35670</v>
      </c>
      <c r="E92" s="96">
        <v>52361</v>
      </c>
      <c r="F92" s="96">
        <v>51026</v>
      </c>
      <c r="G92" s="96">
        <v>7522</v>
      </c>
      <c r="H92" s="99" t="s">
        <v>106</v>
      </c>
      <c r="I92" s="99" t="s">
        <v>124</v>
      </c>
      <c r="J92" s="99" t="s">
        <v>105</v>
      </c>
      <c r="K92" s="99"/>
    </row>
    <row r="93" spans="1:12" x14ac:dyDescent="0.25">
      <c r="A93" s="99" t="s">
        <v>156</v>
      </c>
      <c r="B93" s="100"/>
      <c r="C93" s="100">
        <v>0.05</v>
      </c>
      <c r="D93" s="96">
        <v>52000</v>
      </c>
      <c r="E93" s="96">
        <v>51791</v>
      </c>
      <c r="F93" s="96">
        <v>53217</v>
      </c>
      <c r="G93" s="96">
        <v>9947</v>
      </c>
      <c r="H93" s="99" t="s">
        <v>107</v>
      </c>
      <c r="I93" s="99" t="s">
        <v>124</v>
      </c>
      <c r="J93" s="99" t="s">
        <v>105</v>
      </c>
      <c r="K93" s="99"/>
    </row>
    <row r="94" spans="1:12" x14ac:dyDescent="0.25">
      <c r="A94" s="41" t="s">
        <v>130</v>
      </c>
      <c r="B94" s="102"/>
      <c r="C94" s="98">
        <f>1/25</f>
        <v>0.04</v>
      </c>
      <c r="D94" s="96">
        <v>52150</v>
      </c>
      <c r="E94" s="96">
        <v>50896</v>
      </c>
      <c r="F94" s="96">
        <v>55888</v>
      </c>
      <c r="G94" s="96">
        <v>11684</v>
      </c>
      <c r="H94" s="99" t="s">
        <v>164</v>
      </c>
      <c r="I94" s="99" t="s">
        <v>124</v>
      </c>
      <c r="J94" s="99" t="s">
        <v>105</v>
      </c>
      <c r="K94" s="99"/>
    </row>
    <row r="95" spans="1:12" x14ac:dyDescent="0.25">
      <c r="A95" s="99" t="s">
        <v>152</v>
      </c>
      <c r="B95" s="100"/>
      <c r="C95" s="100">
        <v>4.5454545454545456E-2</v>
      </c>
      <c r="D95" s="96">
        <v>40900</v>
      </c>
      <c r="E95" s="96">
        <v>49550</v>
      </c>
      <c r="F95" s="96">
        <v>52006</v>
      </c>
      <c r="G95" s="96">
        <v>9280</v>
      </c>
      <c r="H95" s="99" t="s">
        <v>106</v>
      </c>
      <c r="I95" s="99" t="s">
        <v>124</v>
      </c>
      <c r="J95" s="99" t="s">
        <v>105</v>
      </c>
      <c r="K95" s="99"/>
    </row>
    <row r="96" spans="1:12" x14ac:dyDescent="0.25">
      <c r="A96" s="41" t="s">
        <v>121</v>
      </c>
      <c r="B96" s="102"/>
      <c r="C96" s="98">
        <f>1/24</f>
        <v>4.1666666666666664E-2</v>
      </c>
      <c r="D96" s="96">
        <v>33300</v>
      </c>
      <c r="E96" s="96">
        <v>48080</v>
      </c>
      <c r="F96" s="96">
        <v>60065</v>
      </c>
      <c r="G96" s="96">
        <v>5574</v>
      </c>
      <c r="H96" s="99" t="s">
        <v>120</v>
      </c>
      <c r="I96" s="99"/>
      <c r="J96" s="99" t="s">
        <v>105</v>
      </c>
      <c r="K96" s="99"/>
    </row>
    <row r="97" spans="1:12" x14ac:dyDescent="0.25">
      <c r="A97" s="99" t="s">
        <v>151</v>
      </c>
      <c r="B97" s="100"/>
      <c r="C97" s="100">
        <v>4.1666666666666664E-2</v>
      </c>
      <c r="D97" s="96">
        <v>39150</v>
      </c>
      <c r="E97" s="96">
        <v>47872</v>
      </c>
      <c r="F97" s="96">
        <v>27902</v>
      </c>
      <c r="G97" s="96">
        <v>10155</v>
      </c>
      <c r="H97" s="99" t="s">
        <v>106</v>
      </c>
      <c r="I97" s="99" t="s">
        <v>124</v>
      </c>
      <c r="J97" s="99" t="s">
        <v>105</v>
      </c>
      <c r="K97" s="99"/>
    </row>
    <row r="98" spans="1:12" x14ac:dyDescent="0.25">
      <c r="A98" s="99" t="s">
        <v>157</v>
      </c>
      <c r="B98" s="100"/>
      <c r="C98" s="100">
        <v>4.7619047619047616E-2</v>
      </c>
      <c r="D98" s="96">
        <v>56600</v>
      </c>
      <c r="E98" s="96">
        <v>47641</v>
      </c>
      <c r="F98" s="96">
        <v>54997</v>
      </c>
      <c r="G98" s="96">
        <v>9285</v>
      </c>
      <c r="H98" s="99" t="s">
        <v>107</v>
      </c>
      <c r="I98" s="99" t="s">
        <v>124</v>
      </c>
      <c r="J98" s="99" t="s">
        <v>105</v>
      </c>
      <c r="K98" s="99"/>
    </row>
    <row r="99" spans="1:12" x14ac:dyDescent="0.25">
      <c r="A99" s="41" t="s">
        <v>199</v>
      </c>
      <c r="B99" s="107"/>
      <c r="C99" s="100">
        <v>3.125E-2</v>
      </c>
      <c r="D99" s="96">
        <v>29030</v>
      </c>
      <c r="E99" s="96">
        <v>45070</v>
      </c>
      <c r="F99" s="96">
        <v>1507</v>
      </c>
      <c r="G99" s="96"/>
      <c r="H99" s="99" t="s">
        <v>106</v>
      </c>
      <c r="I99" s="99"/>
      <c r="J99" s="99" t="s">
        <v>104</v>
      </c>
      <c r="K99" s="99"/>
      <c r="L99" t="s">
        <v>198</v>
      </c>
    </row>
    <row r="100" spans="1:12" x14ac:dyDescent="0.25">
      <c r="A100" s="101" t="s">
        <v>137</v>
      </c>
      <c r="B100" s="107"/>
      <c r="C100" s="100">
        <f>1/21</f>
        <v>4.7619047619047616E-2</v>
      </c>
      <c r="D100" s="96">
        <v>26900</v>
      </c>
      <c r="E100" s="96">
        <v>44264</v>
      </c>
      <c r="F100" s="96">
        <v>36755</v>
      </c>
      <c r="G100" s="96">
        <v>3065</v>
      </c>
      <c r="H100" s="99" t="s">
        <v>109</v>
      </c>
      <c r="I100" s="99"/>
      <c r="J100" s="99" t="s">
        <v>105</v>
      </c>
      <c r="K100" s="99"/>
    </row>
    <row r="101" spans="1:12" x14ac:dyDescent="0.25">
      <c r="A101" s="99" t="s">
        <v>154</v>
      </c>
      <c r="B101" s="100"/>
      <c r="C101" s="100">
        <v>4.1666666666666664E-2</v>
      </c>
      <c r="D101" s="96">
        <v>40050</v>
      </c>
      <c r="E101" s="96">
        <v>44196</v>
      </c>
      <c r="F101" s="96">
        <v>31924</v>
      </c>
      <c r="G101" s="96">
        <v>6989</v>
      </c>
      <c r="H101" s="99" t="s">
        <v>106</v>
      </c>
      <c r="I101" s="99" t="s">
        <v>124</v>
      </c>
      <c r="J101" s="99" t="s">
        <v>105</v>
      </c>
      <c r="K101" s="99"/>
    </row>
    <row r="102" spans="1:12" x14ac:dyDescent="0.25">
      <c r="A102" s="99" t="s">
        <v>149</v>
      </c>
      <c r="B102" s="100"/>
      <c r="C102" s="100">
        <v>3.7037037037037035E-2</v>
      </c>
      <c r="D102" s="96">
        <v>29950</v>
      </c>
      <c r="E102" s="96">
        <v>42120</v>
      </c>
      <c r="F102" s="96">
        <v>41770</v>
      </c>
      <c r="G102" s="96">
        <v>333</v>
      </c>
      <c r="H102" s="99" t="s">
        <v>150</v>
      </c>
      <c r="I102" s="99" t="s">
        <v>124</v>
      </c>
      <c r="J102" s="99" t="s">
        <v>105</v>
      </c>
      <c r="K102" s="99"/>
    </row>
    <row r="103" spans="1:12" x14ac:dyDescent="0.25">
      <c r="A103" s="41" t="s">
        <v>140</v>
      </c>
      <c r="B103" s="107"/>
      <c r="C103" s="100">
        <f>1/24</f>
        <v>4.1666666666666664E-2</v>
      </c>
      <c r="D103" s="96">
        <v>29995</v>
      </c>
      <c r="E103" s="96">
        <v>40440</v>
      </c>
      <c r="F103" s="96">
        <v>27812</v>
      </c>
      <c r="G103" s="96">
        <v>3265</v>
      </c>
      <c r="H103" s="99" t="s">
        <v>110</v>
      </c>
      <c r="I103" s="99"/>
      <c r="J103" s="99" t="s">
        <v>105</v>
      </c>
      <c r="K103" s="99"/>
    </row>
    <row r="104" spans="1:12" x14ac:dyDescent="0.25">
      <c r="A104" s="99" t="s">
        <v>159</v>
      </c>
      <c r="B104" s="100"/>
      <c r="C104" s="100">
        <v>5.8823529411764705E-2</v>
      </c>
      <c r="D104" s="96">
        <v>73395</v>
      </c>
      <c r="E104" s="96">
        <v>39092</v>
      </c>
      <c r="F104" s="96">
        <v>35923</v>
      </c>
      <c r="G104" s="96">
        <v>4553</v>
      </c>
      <c r="H104" s="99" t="s">
        <v>108</v>
      </c>
      <c r="I104" s="99" t="s">
        <v>124</v>
      </c>
      <c r="J104" s="99" t="s">
        <v>105</v>
      </c>
      <c r="K104" s="99"/>
    </row>
    <row r="105" spans="1:12" x14ac:dyDescent="0.25">
      <c r="A105" s="99" t="s">
        <v>134</v>
      </c>
      <c r="B105" s="100"/>
      <c r="C105" s="100">
        <v>4.5454545454545456E-2</v>
      </c>
      <c r="D105" s="96">
        <v>20885</v>
      </c>
      <c r="E105" s="96">
        <v>37449</v>
      </c>
      <c r="F105" s="96">
        <v>30077</v>
      </c>
      <c r="G105" s="96">
        <v>3789</v>
      </c>
      <c r="H105" s="99" t="s">
        <v>136</v>
      </c>
      <c r="I105" s="99"/>
      <c r="J105" s="99" t="s">
        <v>105</v>
      </c>
      <c r="K105" s="99"/>
    </row>
    <row r="106" spans="1:12" x14ac:dyDescent="0.25">
      <c r="A106" s="41" t="s">
        <v>128</v>
      </c>
      <c r="B106" s="102"/>
      <c r="C106" s="98">
        <f>1/26</f>
        <v>3.8461538461538464E-2</v>
      </c>
      <c r="D106" s="96">
        <v>37825</v>
      </c>
      <c r="E106" s="96">
        <v>37289</v>
      </c>
      <c r="F106" s="96">
        <v>46430</v>
      </c>
      <c r="G106" s="96">
        <v>11818</v>
      </c>
      <c r="H106" s="99" t="s">
        <v>103</v>
      </c>
      <c r="I106" s="99" t="s">
        <v>124</v>
      </c>
      <c r="J106" s="99" t="s">
        <v>105</v>
      </c>
      <c r="K106" s="99"/>
    </row>
    <row r="107" spans="1:12" x14ac:dyDescent="0.25">
      <c r="A107" s="101" t="s">
        <v>145</v>
      </c>
      <c r="B107" s="100"/>
      <c r="C107" s="100">
        <f>1/19</f>
        <v>5.2631578947368418E-2</v>
      </c>
      <c r="D107" s="96">
        <v>51230</v>
      </c>
      <c r="E107" s="96">
        <v>37054</v>
      </c>
      <c r="F107" s="96">
        <v>31334</v>
      </c>
      <c r="G107" s="96">
        <v>3368</v>
      </c>
      <c r="H107" s="99" t="s">
        <v>108</v>
      </c>
      <c r="I107" s="99"/>
      <c r="J107" s="99" t="s">
        <v>105</v>
      </c>
      <c r="K107" s="99"/>
    </row>
    <row r="108" spans="1:12" x14ac:dyDescent="0.25">
      <c r="A108" s="41" t="s">
        <v>129</v>
      </c>
      <c r="B108" s="102"/>
      <c r="C108" s="98">
        <f>1/27</f>
        <v>3.7037037037037035E-2</v>
      </c>
      <c r="D108" s="96">
        <v>41950</v>
      </c>
      <c r="E108" s="96">
        <v>35763</v>
      </c>
      <c r="F108" s="96">
        <v>46069</v>
      </c>
      <c r="G108" s="96">
        <v>10997</v>
      </c>
      <c r="H108" s="99" t="s">
        <v>119</v>
      </c>
      <c r="I108" s="99" t="s">
        <v>124</v>
      </c>
      <c r="J108" s="99" t="s">
        <v>105</v>
      </c>
      <c r="K108" s="99"/>
    </row>
    <row r="109" spans="1:12" x14ac:dyDescent="0.25">
      <c r="A109" s="101" t="s">
        <v>139</v>
      </c>
      <c r="B109" s="107"/>
      <c r="C109" s="100">
        <f>1/17.3</f>
        <v>5.7803468208092484E-2</v>
      </c>
      <c r="D109" s="96">
        <v>32495</v>
      </c>
      <c r="E109" s="96">
        <v>34304</v>
      </c>
      <c r="F109" s="96">
        <v>29889</v>
      </c>
      <c r="G109" s="96">
        <v>4761</v>
      </c>
      <c r="H109" s="99" t="s">
        <v>110</v>
      </c>
      <c r="I109" s="99"/>
      <c r="J109" s="99" t="s">
        <v>105</v>
      </c>
      <c r="K109" s="99"/>
      <c r="L109" t="s">
        <v>180</v>
      </c>
    </row>
    <row r="110" spans="1:12" x14ac:dyDescent="0.25">
      <c r="A110" s="41" t="s">
        <v>188</v>
      </c>
      <c r="B110" s="107"/>
      <c r="C110" s="100">
        <v>2.3809523809523808E-2</v>
      </c>
      <c r="D110" s="96">
        <v>25785</v>
      </c>
      <c r="E110" s="96">
        <v>33648</v>
      </c>
      <c r="F110" s="96">
        <v>24681</v>
      </c>
      <c r="G110" s="96"/>
      <c r="H110" s="99" t="s">
        <v>164</v>
      </c>
      <c r="I110" s="99"/>
      <c r="J110" s="99" t="s">
        <v>104</v>
      </c>
      <c r="K110" s="99"/>
      <c r="L110" t="s">
        <v>198</v>
      </c>
    </row>
    <row r="111" spans="1:12" x14ac:dyDescent="0.25">
      <c r="A111" s="41" t="s">
        <v>131</v>
      </c>
      <c r="B111" s="102"/>
      <c r="C111" s="98">
        <f>1/27</f>
        <v>3.7037037037037035E-2</v>
      </c>
      <c r="D111" s="96">
        <v>51200</v>
      </c>
      <c r="E111" s="96">
        <v>32408</v>
      </c>
      <c r="F111" s="96">
        <v>44162</v>
      </c>
      <c r="G111" s="96">
        <v>10551</v>
      </c>
      <c r="H111" s="99" t="s">
        <v>164</v>
      </c>
      <c r="I111" s="99" t="s">
        <v>124</v>
      </c>
      <c r="J111" s="99" t="s">
        <v>105</v>
      </c>
      <c r="K111" s="99"/>
    </row>
    <row r="112" spans="1:12" x14ac:dyDescent="0.25">
      <c r="A112" s="41" t="s">
        <v>123</v>
      </c>
      <c r="B112" s="102"/>
      <c r="C112" s="98">
        <f>1/29</f>
        <v>3.4482758620689655E-2</v>
      </c>
      <c r="D112" s="96">
        <v>31200</v>
      </c>
      <c r="E112" s="96">
        <v>31538</v>
      </c>
      <c r="F112" s="96">
        <v>35984</v>
      </c>
      <c r="G112" s="96">
        <v>8404</v>
      </c>
      <c r="H112" s="99" t="s">
        <v>103</v>
      </c>
      <c r="I112" s="99" t="s">
        <v>124</v>
      </c>
      <c r="J112" s="99" t="s">
        <v>105</v>
      </c>
      <c r="K112" s="99"/>
    </row>
    <row r="113" spans="1:12" x14ac:dyDescent="0.25">
      <c r="A113" s="99" t="s">
        <v>163</v>
      </c>
      <c r="B113" s="100"/>
      <c r="C113" s="100">
        <v>5.2631578947368418E-2</v>
      </c>
      <c r="D113" s="96">
        <v>67050</v>
      </c>
      <c r="E113" s="96">
        <v>30442</v>
      </c>
      <c r="F113" s="96">
        <v>27707</v>
      </c>
      <c r="G113" s="96">
        <v>5032</v>
      </c>
      <c r="H113" s="99" t="s">
        <v>108</v>
      </c>
      <c r="I113" s="99" t="s">
        <v>124</v>
      </c>
      <c r="J113" s="99" t="s">
        <v>105</v>
      </c>
      <c r="K113" s="99"/>
    </row>
    <row r="114" spans="1:12" x14ac:dyDescent="0.25">
      <c r="A114" s="41" t="s">
        <v>117</v>
      </c>
      <c r="B114" s="102"/>
      <c r="C114" s="98">
        <f>1/31</f>
        <v>3.2258064516129031E-2</v>
      </c>
      <c r="D114" s="96">
        <v>18100</v>
      </c>
      <c r="E114" s="96">
        <v>30053</v>
      </c>
      <c r="F114" s="96">
        <v>24245</v>
      </c>
      <c r="G114" s="96">
        <v>3450</v>
      </c>
      <c r="H114" s="99" t="s">
        <v>119</v>
      </c>
      <c r="I114" s="99"/>
      <c r="J114" s="99" t="s">
        <v>105</v>
      </c>
      <c r="K114" s="99"/>
    </row>
    <row r="115" spans="1:12" x14ac:dyDescent="0.25">
      <c r="A115" s="99" t="s">
        <v>12</v>
      </c>
      <c r="B115" s="100">
        <v>0.32</v>
      </c>
      <c r="C115" s="100"/>
      <c r="D115" s="96">
        <v>68000</v>
      </c>
      <c r="E115" s="96">
        <v>28821</v>
      </c>
      <c r="F115" s="96"/>
      <c r="G115" s="96">
        <v>11326</v>
      </c>
      <c r="H115" s="99" t="s">
        <v>120</v>
      </c>
      <c r="I115" s="99" t="s">
        <v>124</v>
      </c>
      <c r="J115" s="99" t="s">
        <v>101</v>
      </c>
      <c r="K115" s="99"/>
    </row>
    <row r="116" spans="1:12" x14ac:dyDescent="0.25">
      <c r="A116" s="99" t="s">
        <v>146</v>
      </c>
      <c r="B116" s="100"/>
      <c r="C116" s="100">
        <v>0.04</v>
      </c>
      <c r="D116" s="96">
        <v>33750</v>
      </c>
      <c r="E116" s="96">
        <v>27812</v>
      </c>
      <c r="F116" s="96">
        <v>14420</v>
      </c>
      <c r="G116" s="96">
        <v>5487</v>
      </c>
      <c r="H116" s="99" t="s">
        <v>150</v>
      </c>
      <c r="I116" s="99" t="s">
        <v>124</v>
      </c>
      <c r="J116" s="99" t="s">
        <v>105</v>
      </c>
      <c r="K116" s="99"/>
    </row>
    <row r="117" spans="1:12" x14ac:dyDescent="0.25">
      <c r="A117" s="41" t="s">
        <v>126</v>
      </c>
      <c r="B117" s="102"/>
      <c r="C117" s="98">
        <f>1/29</f>
        <v>3.4482758620689655E-2</v>
      </c>
      <c r="D117" s="96">
        <v>32400</v>
      </c>
      <c r="E117" s="96">
        <v>25792</v>
      </c>
      <c r="F117" s="96">
        <v>29643</v>
      </c>
      <c r="G117" s="96">
        <v>7152</v>
      </c>
      <c r="H117" s="99" t="s">
        <v>103</v>
      </c>
      <c r="I117" s="99" t="s">
        <v>124</v>
      </c>
      <c r="J117" s="99" t="s">
        <v>105</v>
      </c>
      <c r="K117" s="99"/>
      <c r="L117" s="4"/>
    </row>
    <row r="118" spans="1:12" x14ac:dyDescent="0.25">
      <c r="A118" s="99" t="s">
        <v>3</v>
      </c>
      <c r="B118" s="100">
        <v>0.31</v>
      </c>
      <c r="C118" s="100">
        <f>1/106</f>
        <v>9.433962264150943E-3</v>
      </c>
      <c r="D118" s="96">
        <v>33220</v>
      </c>
      <c r="E118" s="96">
        <v>24739</v>
      </c>
      <c r="F118" s="96">
        <v>15393</v>
      </c>
      <c r="G118" s="96"/>
      <c r="H118" s="99" t="s">
        <v>103</v>
      </c>
      <c r="I118" s="99"/>
      <c r="J118" s="99" t="s">
        <v>104</v>
      </c>
      <c r="K118" s="99" t="s">
        <v>168</v>
      </c>
      <c r="L118" s="4"/>
    </row>
    <row r="119" spans="1:12" x14ac:dyDescent="0.25">
      <c r="A119" s="99" t="s">
        <v>147</v>
      </c>
      <c r="B119" s="100"/>
      <c r="C119" s="100">
        <v>0.04</v>
      </c>
      <c r="D119" s="96">
        <v>32850</v>
      </c>
      <c r="E119" s="96">
        <v>24545</v>
      </c>
      <c r="F119" s="96">
        <v>25593</v>
      </c>
      <c r="G119" s="96">
        <v>5294</v>
      </c>
      <c r="H119" s="99" t="s">
        <v>150</v>
      </c>
      <c r="I119" s="99" t="s">
        <v>124</v>
      </c>
      <c r="J119" s="99" t="s">
        <v>105</v>
      </c>
      <c r="K119" s="99"/>
    </row>
    <row r="120" spans="1:12" x14ac:dyDescent="0.25">
      <c r="A120" s="99" t="s">
        <v>135</v>
      </c>
      <c r="B120" s="100"/>
      <c r="C120" s="100">
        <v>4.7619047619047616E-2</v>
      </c>
      <c r="D120" s="96">
        <v>29475</v>
      </c>
      <c r="E120" s="96">
        <v>23667</v>
      </c>
      <c r="F120" s="96">
        <v>520</v>
      </c>
      <c r="G120" s="96">
        <v>2545</v>
      </c>
      <c r="H120" s="99" t="s">
        <v>136</v>
      </c>
      <c r="I120" s="99"/>
      <c r="J120" s="99" t="s">
        <v>105</v>
      </c>
      <c r="K120" s="99"/>
    </row>
    <row r="121" spans="1:12" x14ac:dyDescent="0.25">
      <c r="A121" s="101" t="s">
        <v>144</v>
      </c>
      <c r="B121" s="100"/>
      <c r="C121" s="100">
        <f>1/19</f>
        <v>5.2631578947368418E-2</v>
      </c>
      <c r="D121" s="96">
        <v>30025</v>
      </c>
      <c r="E121" s="96">
        <v>22668</v>
      </c>
      <c r="F121" s="96">
        <v>19570</v>
      </c>
      <c r="G121" s="96">
        <v>3987</v>
      </c>
      <c r="H121" s="99" t="s">
        <v>108</v>
      </c>
      <c r="I121" s="99"/>
      <c r="J121" s="99" t="s">
        <v>105</v>
      </c>
      <c r="K121" s="99"/>
    </row>
    <row r="122" spans="1:12" x14ac:dyDescent="0.25">
      <c r="A122" s="41" t="s">
        <v>190</v>
      </c>
      <c r="B122" s="107"/>
      <c r="C122" s="100">
        <v>2.1739130434782608E-2</v>
      </c>
      <c r="D122" s="96">
        <v>26790</v>
      </c>
      <c r="E122" s="96">
        <v>22227</v>
      </c>
      <c r="F122" s="96">
        <v>30640</v>
      </c>
      <c r="G122" s="96"/>
      <c r="H122" s="99" t="s">
        <v>164</v>
      </c>
      <c r="I122" s="99"/>
      <c r="J122" s="99" t="s">
        <v>104</v>
      </c>
      <c r="K122" s="99"/>
      <c r="L122" t="s">
        <v>198</v>
      </c>
    </row>
    <row r="123" spans="1:12" x14ac:dyDescent="0.25">
      <c r="A123" s="99" t="s">
        <v>160</v>
      </c>
      <c r="B123" s="100"/>
      <c r="C123" s="100">
        <v>4.5454545454545456E-2</v>
      </c>
      <c r="D123" s="96">
        <v>85650</v>
      </c>
      <c r="E123" s="96">
        <v>21612</v>
      </c>
      <c r="F123" s="96">
        <v>21459</v>
      </c>
      <c r="G123" s="96">
        <v>3422</v>
      </c>
      <c r="H123" s="99" t="s">
        <v>108</v>
      </c>
      <c r="I123" s="99" t="s">
        <v>124</v>
      </c>
      <c r="J123" s="99" t="s">
        <v>105</v>
      </c>
      <c r="K123" s="99"/>
    </row>
    <row r="124" spans="1:12" x14ac:dyDescent="0.25">
      <c r="A124" s="41" t="s">
        <v>200</v>
      </c>
      <c r="B124" s="107"/>
      <c r="C124" s="100">
        <v>2.1739130434782608E-2</v>
      </c>
      <c r="D124" s="96">
        <v>20150</v>
      </c>
      <c r="E124" s="96">
        <v>20452</v>
      </c>
      <c r="F124" s="96">
        <v>38484</v>
      </c>
      <c r="G124" s="96"/>
      <c r="H124" s="99" t="s">
        <v>100</v>
      </c>
      <c r="I124" s="99"/>
      <c r="J124" s="99" t="s">
        <v>104</v>
      </c>
      <c r="K124" s="99"/>
      <c r="L124" t="s">
        <v>198</v>
      </c>
    </row>
    <row r="125" spans="1:12" x14ac:dyDescent="0.25">
      <c r="A125" s="99" t="s">
        <v>148</v>
      </c>
      <c r="B125" s="100"/>
      <c r="C125" s="100">
        <v>4.3478260869565216E-2</v>
      </c>
      <c r="D125" s="96">
        <v>31800</v>
      </c>
      <c r="E125" s="96">
        <v>20048</v>
      </c>
      <c r="F125" s="96">
        <v>13229</v>
      </c>
      <c r="G125" s="96">
        <v>3936</v>
      </c>
      <c r="H125" s="99" t="s">
        <v>150</v>
      </c>
      <c r="I125" s="99" t="s">
        <v>124</v>
      </c>
      <c r="J125" s="99" t="s">
        <v>105</v>
      </c>
      <c r="K125" s="99"/>
    </row>
    <row r="126" spans="1:12" x14ac:dyDescent="0.25">
      <c r="A126" s="41" t="s">
        <v>201</v>
      </c>
      <c r="B126" s="107"/>
      <c r="C126" s="100">
        <v>2.5000000000000001E-2</v>
      </c>
      <c r="D126" s="96">
        <v>26000</v>
      </c>
      <c r="E126" s="96">
        <v>18961</v>
      </c>
      <c r="F126" s="96">
        <v>19908</v>
      </c>
      <c r="G126" s="96"/>
      <c r="H126" s="99" t="s">
        <v>164</v>
      </c>
      <c r="I126" s="99"/>
      <c r="J126" s="99" t="s">
        <v>104</v>
      </c>
      <c r="K126" s="99"/>
      <c r="L126" t="s">
        <v>198</v>
      </c>
    </row>
    <row r="127" spans="1:12" x14ac:dyDescent="0.25">
      <c r="A127" s="41" t="s">
        <v>132</v>
      </c>
      <c r="B127" s="102"/>
      <c r="C127" s="97">
        <v>5.8823529411764705E-2</v>
      </c>
      <c r="D127" s="96">
        <v>96600</v>
      </c>
      <c r="E127" s="96">
        <v>18803</v>
      </c>
      <c r="F127" s="96">
        <v>21936</v>
      </c>
      <c r="G127" s="96">
        <v>4725</v>
      </c>
      <c r="H127" s="99" t="s">
        <v>120</v>
      </c>
      <c r="I127" s="99" t="s">
        <v>124</v>
      </c>
      <c r="J127" s="99" t="s">
        <v>105</v>
      </c>
      <c r="K127" s="99"/>
    </row>
    <row r="128" spans="1:12" x14ac:dyDescent="0.25">
      <c r="A128" s="99" t="s">
        <v>24</v>
      </c>
      <c r="B128" s="100">
        <v>0.32</v>
      </c>
      <c r="C128" s="100"/>
      <c r="D128" s="96">
        <v>79500</v>
      </c>
      <c r="E128" s="96">
        <v>18192</v>
      </c>
      <c r="F128" s="96"/>
      <c r="G128" s="96">
        <v>6289</v>
      </c>
      <c r="H128" s="99" t="s">
        <v>107</v>
      </c>
      <c r="I128" s="99" t="s">
        <v>124</v>
      </c>
      <c r="J128" s="99" t="s">
        <v>101</v>
      </c>
      <c r="K128" s="99"/>
    </row>
    <row r="129" spans="1:12" x14ac:dyDescent="0.25">
      <c r="A129" s="101" t="s">
        <v>138</v>
      </c>
      <c r="B129" s="107"/>
      <c r="C129" s="100">
        <f>1/25</f>
        <v>0.04</v>
      </c>
      <c r="D129" s="96">
        <v>33800</v>
      </c>
      <c r="E129" s="96">
        <v>17873</v>
      </c>
      <c r="F129" s="96">
        <v>16958</v>
      </c>
      <c r="G129" s="96">
        <v>5002</v>
      </c>
      <c r="H129" s="99" t="s">
        <v>110</v>
      </c>
      <c r="I129" s="99"/>
      <c r="J129" s="99" t="s">
        <v>105</v>
      </c>
      <c r="K129" s="99"/>
    </row>
    <row r="130" spans="1:12" x14ac:dyDescent="0.25">
      <c r="A130" s="99" t="s">
        <v>161</v>
      </c>
      <c r="B130" s="100"/>
      <c r="C130" s="100">
        <v>6.25E-2</v>
      </c>
      <c r="D130" s="96">
        <v>63850</v>
      </c>
      <c r="E130" s="96">
        <v>16772</v>
      </c>
      <c r="F130" s="96">
        <v>15646</v>
      </c>
      <c r="G130" s="96">
        <v>1221</v>
      </c>
      <c r="H130" s="99" t="s">
        <v>108</v>
      </c>
      <c r="I130" s="99" t="s">
        <v>124</v>
      </c>
      <c r="J130" s="99" t="s">
        <v>105</v>
      </c>
      <c r="K130" s="99"/>
    </row>
    <row r="131" spans="1:12" x14ac:dyDescent="0.25">
      <c r="A131" s="41" t="s">
        <v>172</v>
      </c>
      <c r="B131" s="107">
        <f>0.35</f>
        <v>0.35</v>
      </c>
      <c r="C131" s="100">
        <f>1/97</f>
        <v>1.0309278350515464E-2</v>
      </c>
      <c r="D131" s="96">
        <v>33120</v>
      </c>
      <c r="E131" s="96">
        <v>15938</v>
      </c>
      <c r="F131" s="96"/>
      <c r="G131" s="96"/>
      <c r="H131" s="99" t="s">
        <v>164</v>
      </c>
      <c r="I131" s="99"/>
      <c r="J131" s="99" t="s">
        <v>104</v>
      </c>
      <c r="K131" s="99" t="s">
        <v>168</v>
      </c>
    </row>
    <row r="132" spans="1:12" x14ac:dyDescent="0.25">
      <c r="A132" s="41" t="s">
        <v>237</v>
      </c>
      <c r="B132" s="102"/>
      <c r="C132" s="98">
        <f>1/28</f>
        <v>3.5714285714285712E-2</v>
      </c>
      <c r="D132" s="96">
        <v>33150</v>
      </c>
      <c r="E132" s="96">
        <v>15519</v>
      </c>
      <c r="F132" s="96">
        <v>13020</v>
      </c>
      <c r="G132" s="96">
        <v>3381</v>
      </c>
      <c r="H132" s="99" t="s">
        <v>103</v>
      </c>
      <c r="I132" s="99" t="s">
        <v>124</v>
      </c>
      <c r="J132" s="99" t="s">
        <v>105</v>
      </c>
      <c r="K132" s="99"/>
    </row>
    <row r="133" spans="1:12" x14ac:dyDescent="0.25">
      <c r="A133" s="99" t="s">
        <v>116</v>
      </c>
      <c r="B133" s="100"/>
      <c r="C133" s="100">
        <f>1/34</f>
        <v>2.9411764705882353E-2</v>
      </c>
      <c r="D133" s="96">
        <v>16490</v>
      </c>
      <c r="E133" s="96">
        <v>15437</v>
      </c>
      <c r="F133" s="96">
        <v>23980</v>
      </c>
      <c r="G133" s="96">
        <v>7573</v>
      </c>
      <c r="H133" s="99" t="s">
        <v>100</v>
      </c>
      <c r="I133" s="99"/>
      <c r="J133" s="99" t="s">
        <v>105</v>
      </c>
      <c r="K133" s="99"/>
    </row>
    <row r="134" spans="1:12" x14ac:dyDescent="0.25">
      <c r="A134" s="41" t="s">
        <v>133</v>
      </c>
      <c r="B134" s="102"/>
      <c r="C134" s="97">
        <v>5.2631578947368418E-2</v>
      </c>
      <c r="D134" s="96">
        <v>46310</v>
      </c>
      <c r="E134" s="96">
        <v>14878</v>
      </c>
      <c r="F134" s="96">
        <v>23117</v>
      </c>
      <c r="G134" s="96">
        <v>3925</v>
      </c>
      <c r="H134" s="99" t="s">
        <v>164</v>
      </c>
      <c r="I134" s="99" t="s">
        <v>124</v>
      </c>
      <c r="J134" s="99" t="s">
        <v>105</v>
      </c>
      <c r="K134" s="99"/>
    </row>
    <row r="135" spans="1:12" x14ac:dyDescent="0.25">
      <c r="A135" s="41" t="s">
        <v>202</v>
      </c>
      <c r="B135" s="107"/>
      <c r="C135" s="100">
        <v>2.4390243902439025E-2</v>
      </c>
      <c r="D135" s="96">
        <v>26675</v>
      </c>
      <c r="E135" s="96">
        <v>14840</v>
      </c>
      <c r="F135" s="96">
        <v>28290</v>
      </c>
      <c r="G135" s="96"/>
      <c r="H135" s="99" t="s">
        <v>103</v>
      </c>
      <c r="I135" s="99"/>
      <c r="J135" s="99" t="s">
        <v>104</v>
      </c>
      <c r="K135" s="99"/>
      <c r="L135" t="s">
        <v>198</v>
      </c>
    </row>
    <row r="136" spans="1:12" x14ac:dyDescent="0.25">
      <c r="A136" s="99" t="s">
        <v>2</v>
      </c>
      <c r="B136" s="100">
        <f>30/100</f>
        <v>0.3</v>
      </c>
      <c r="C136" s="100"/>
      <c r="D136" s="96">
        <v>30680</v>
      </c>
      <c r="E136" s="96">
        <v>14006</v>
      </c>
      <c r="F136" s="96">
        <v>17269</v>
      </c>
      <c r="G136" s="96"/>
      <c r="H136" s="99" t="s">
        <v>103</v>
      </c>
      <c r="I136" s="99"/>
      <c r="J136" s="99" t="s">
        <v>101</v>
      </c>
      <c r="K136" s="99"/>
      <c r="L136" s="4"/>
    </row>
    <row r="137" spans="1:12" x14ac:dyDescent="0.25">
      <c r="A137" s="99" t="s">
        <v>236</v>
      </c>
      <c r="B137" s="99"/>
      <c r="C137" s="98">
        <v>4.5454545454545456E-2</v>
      </c>
      <c r="D137" s="99">
        <v>81500</v>
      </c>
      <c r="E137" s="96">
        <v>12918</v>
      </c>
      <c r="F137" s="96">
        <v>9292</v>
      </c>
      <c r="G137" s="96"/>
      <c r="H137" s="99" t="s">
        <v>120</v>
      </c>
      <c r="I137" s="99" t="s">
        <v>124</v>
      </c>
      <c r="J137" s="99" t="s">
        <v>105</v>
      </c>
      <c r="K137" s="99"/>
    </row>
    <row r="138" spans="1:12" x14ac:dyDescent="0.25">
      <c r="A138" s="101" t="s">
        <v>141</v>
      </c>
      <c r="B138" s="100"/>
      <c r="C138" s="100">
        <f>1/28</f>
        <v>3.5714285714285712E-2</v>
      </c>
      <c r="D138" s="96">
        <v>26100</v>
      </c>
      <c r="E138" s="96">
        <v>12706</v>
      </c>
      <c r="F138" s="96">
        <v>16686</v>
      </c>
      <c r="G138" s="96">
        <v>2671</v>
      </c>
      <c r="H138" s="99" t="s">
        <v>150</v>
      </c>
      <c r="I138" s="99"/>
      <c r="J138" s="99" t="s">
        <v>105</v>
      </c>
      <c r="K138" s="99"/>
    </row>
    <row r="139" spans="1:12" x14ac:dyDescent="0.25">
      <c r="A139" s="41" t="s">
        <v>195</v>
      </c>
      <c r="B139" s="107"/>
      <c r="C139" s="100">
        <v>2.5000000000000001E-2</v>
      </c>
      <c r="D139" s="96">
        <v>24175</v>
      </c>
      <c r="E139" s="96">
        <v>11877</v>
      </c>
      <c r="F139" s="96">
        <v>14177</v>
      </c>
      <c r="G139" s="96"/>
      <c r="H139" s="99" t="s">
        <v>103</v>
      </c>
      <c r="I139" s="99"/>
      <c r="J139" s="99" t="s">
        <v>104</v>
      </c>
      <c r="K139" s="99"/>
      <c r="L139" t="s">
        <v>198</v>
      </c>
    </row>
    <row r="140" spans="1:12" x14ac:dyDescent="0.25">
      <c r="A140" s="41" t="s">
        <v>118</v>
      </c>
      <c r="B140" s="102"/>
      <c r="C140" s="98">
        <f>1/29</f>
        <v>3.4482758620689655E-2</v>
      </c>
      <c r="D140" s="96">
        <v>24915</v>
      </c>
      <c r="E140" s="96">
        <v>9465</v>
      </c>
      <c r="F140" s="96">
        <v>8591</v>
      </c>
      <c r="G140" s="96">
        <v>1766</v>
      </c>
      <c r="H140" s="99" t="s">
        <v>119</v>
      </c>
      <c r="I140" s="99"/>
      <c r="J140" s="99" t="s">
        <v>105</v>
      </c>
      <c r="K140" s="99"/>
    </row>
    <row r="141" spans="1:12" x14ac:dyDescent="0.25">
      <c r="A141" s="41" t="s">
        <v>189</v>
      </c>
      <c r="B141" s="107"/>
      <c r="C141" s="100">
        <v>2.0833333333333332E-2</v>
      </c>
      <c r="D141" s="96">
        <v>29605</v>
      </c>
      <c r="E141" s="96">
        <v>9179</v>
      </c>
      <c r="F141" s="96">
        <v>11065</v>
      </c>
      <c r="G141" s="96"/>
      <c r="H141" s="99" t="s">
        <v>164</v>
      </c>
      <c r="I141" s="99"/>
      <c r="J141" s="99" t="s">
        <v>104</v>
      </c>
      <c r="K141" s="99"/>
      <c r="L141" t="s">
        <v>198</v>
      </c>
    </row>
    <row r="142" spans="1:12" x14ac:dyDescent="0.25">
      <c r="A142" s="41" t="s">
        <v>194</v>
      </c>
      <c r="B142" s="107"/>
      <c r="C142" s="100">
        <v>2.3809523809523808E-2</v>
      </c>
      <c r="D142" s="96">
        <v>31250</v>
      </c>
      <c r="E142" s="96">
        <v>8903</v>
      </c>
      <c r="F142" s="96">
        <v>14657</v>
      </c>
      <c r="G142" s="96">
        <v>5380</v>
      </c>
      <c r="H142" s="99" t="s">
        <v>103</v>
      </c>
      <c r="I142" s="99" t="s">
        <v>124</v>
      </c>
      <c r="J142" s="99" t="s">
        <v>104</v>
      </c>
      <c r="K142" s="99"/>
      <c r="L142" t="s">
        <v>198</v>
      </c>
    </row>
    <row r="143" spans="1:12" x14ac:dyDescent="0.25">
      <c r="A143" s="41" t="s">
        <v>193</v>
      </c>
      <c r="B143" s="107"/>
      <c r="C143" s="100">
        <v>0.04</v>
      </c>
      <c r="D143" s="96">
        <v>54000</v>
      </c>
      <c r="E143" s="96">
        <v>8561</v>
      </c>
      <c r="F143" s="96">
        <v>7722</v>
      </c>
      <c r="G143" s="96"/>
      <c r="H143" s="99" t="s">
        <v>107</v>
      </c>
      <c r="I143" s="99" t="s">
        <v>124</v>
      </c>
      <c r="J143" s="99" t="s">
        <v>104</v>
      </c>
      <c r="K143" s="99"/>
      <c r="L143" t="s">
        <v>198</v>
      </c>
    </row>
    <row r="144" spans="1:12" x14ac:dyDescent="0.25">
      <c r="A144" s="41" t="s">
        <v>191</v>
      </c>
      <c r="B144" s="107"/>
      <c r="C144" s="100">
        <v>2.5000000000000001E-2</v>
      </c>
      <c r="D144" s="96">
        <v>37300</v>
      </c>
      <c r="E144" s="96">
        <v>8451</v>
      </c>
      <c r="F144" s="96">
        <v>11956</v>
      </c>
      <c r="G144" s="96"/>
      <c r="H144" s="99" t="s">
        <v>120</v>
      </c>
      <c r="I144" s="99"/>
      <c r="J144" s="99" t="s">
        <v>104</v>
      </c>
      <c r="K144" s="99"/>
      <c r="L144" t="s">
        <v>198</v>
      </c>
    </row>
    <row r="145" spans="1:12" x14ac:dyDescent="0.25">
      <c r="A145" s="99" t="s">
        <v>16</v>
      </c>
      <c r="B145" s="100">
        <v>0.35</v>
      </c>
      <c r="C145" s="100">
        <f>1/95</f>
        <v>1.0526315789473684E-2</v>
      </c>
      <c r="D145" s="96">
        <v>27120</v>
      </c>
      <c r="E145" s="96">
        <v>7957</v>
      </c>
      <c r="F145" s="96"/>
      <c r="G145" s="96"/>
      <c r="H145" s="99" t="s">
        <v>103</v>
      </c>
      <c r="I145" s="99"/>
      <c r="J145" s="99" t="s">
        <v>104</v>
      </c>
      <c r="K145" s="99" t="s">
        <v>168</v>
      </c>
      <c r="L145" s="4"/>
    </row>
    <row r="146" spans="1:12" x14ac:dyDescent="0.25">
      <c r="A146" s="41" t="s">
        <v>197</v>
      </c>
      <c r="B146" s="107"/>
      <c r="C146" s="100">
        <v>2.5000000000000001E-2</v>
      </c>
      <c r="D146" s="96">
        <v>41820</v>
      </c>
      <c r="E146" s="96">
        <v>7645</v>
      </c>
      <c r="F146" s="96">
        <v>11241</v>
      </c>
      <c r="G146" s="96"/>
      <c r="H146" s="99" t="s">
        <v>164</v>
      </c>
      <c r="I146" s="99" t="s">
        <v>124</v>
      </c>
      <c r="J146" s="99" t="s">
        <v>104</v>
      </c>
      <c r="K146" s="99"/>
      <c r="L146" t="s">
        <v>198</v>
      </c>
    </row>
    <row r="147" spans="1:12" x14ac:dyDescent="0.25">
      <c r="A147" s="99" t="s">
        <v>15</v>
      </c>
      <c r="B147" s="100">
        <f>27/100/2+29/100/2</f>
        <v>0.28000000000000003</v>
      </c>
      <c r="C147" s="100"/>
      <c r="D147" s="96">
        <v>42400</v>
      </c>
      <c r="E147" s="96">
        <v>7625</v>
      </c>
      <c r="F147" s="96">
        <v>11024</v>
      </c>
      <c r="G147" s="96">
        <v>5064</v>
      </c>
      <c r="H147" s="99" t="s">
        <v>103</v>
      </c>
      <c r="I147" s="99" t="s">
        <v>124</v>
      </c>
      <c r="J147" s="99" t="s">
        <v>101</v>
      </c>
      <c r="K147" s="99"/>
      <c r="L147" s="4"/>
    </row>
    <row r="148" spans="1:12" x14ac:dyDescent="0.25">
      <c r="A148" s="41" t="s">
        <v>203</v>
      </c>
      <c r="B148" s="107"/>
      <c r="C148" s="100">
        <v>2.5000000000000001E-2</v>
      </c>
      <c r="D148" s="96">
        <v>35170</v>
      </c>
      <c r="E148" s="96">
        <v>7219</v>
      </c>
      <c r="F148" s="96">
        <v>8403</v>
      </c>
      <c r="G148" s="96"/>
      <c r="H148" s="99" t="s">
        <v>164</v>
      </c>
      <c r="I148" s="99" t="s">
        <v>124</v>
      </c>
      <c r="J148" s="99" t="s">
        <v>104</v>
      </c>
      <c r="K148" s="99"/>
      <c r="L148" t="s">
        <v>198</v>
      </c>
    </row>
    <row r="149" spans="1:12" x14ac:dyDescent="0.25">
      <c r="A149" s="41" t="s">
        <v>204</v>
      </c>
      <c r="B149" s="107"/>
      <c r="C149" s="100">
        <v>2.3809523809523808E-2</v>
      </c>
      <c r="D149" s="96">
        <v>25995</v>
      </c>
      <c r="E149" s="96">
        <v>6142</v>
      </c>
      <c r="F149" s="96">
        <v>11492</v>
      </c>
      <c r="G149" s="96"/>
      <c r="H149" s="99" t="s">
        <v>164</v>
      </c>
      <c r="I149" s="99"/>
      <c r="J149" s="99" t="s">
        <v>104</v>
      </c>
      <c r="K149" s="99"/>
      <c r="L149" t="s">
        <v>198</v>
      </c>
    </row>
    <row r="150" spans="1:12" x14ac:dyDescent="0.25">
      <c r="A150" s="99" t="s">
        <v>13</v>
      </c>
      <c r="B150" s="100">
        <v>0.59</v>
      </c>
      <c r="C150" s="100">
        <f>1/56</f>
        <v>1.7857142857142856E-2</v>
      </c>
      <c r="D150" s="96">
        <v>63200</v>
      </c>
      <c r="E150" s="96">
        <v>5995</v>
      </c>
      <c r="F150" s="96"/>
      <c r="G150" s="96"/>
      <c r="H150" s="99" t="s">
        <v>107</v>
      </c>
      <c r="I150" s="99" t="s">
        <v>124</v>
      </c>
      <c r="J150" s="99" t="s">
        <v>104</v>
      </c>
      <c r="K150" s="99" t="s">
        <v>168</v>
      </c>
    </row>
    <row r="151" spans="1:12" x14ac:dyDescent="0.25">
      <c r="A151" s="41" t="s">
        <v>192</v>
      </c>
      <c r="B151" s="107"/>
      <c r="C151" s="100">
        <v>3.4482758620689655E-2</v>
      </c>
      <c r="D151" s="96">
        <v>36270</v>
      </c>
      <c r="E151" s="96">
        <v>5976</v>
      </c>
      <c r="F151" s="96">
        <v>4015</v>
      </c>
      <c r="G151" s="96"/>
      <c r="H151" s="99" t="s">
        <v>107</v>
      </c>
      <c r="I151" s="99"/>
      <c r="J151" s="99" t="s">
        <v>104</v>
      </c>
      <c r="K151" s="99"/>
      <c r="L151" t="s">
        <v>198</v>
      </c>
    </row>
    <row r="152" spans="1:12" x14ac:dyDescent="0.25">
      <c r="A152" s="41" t="s">
        <v>196</v>
      </c>
      <c r="B152" s="107"/>
      <c r="C152" s="100">
        <v>2.1739130434782608E-2</v>
      </c>
      <c r="D152" s="96">
        <v>27875</v>
      </c>
      <c r="E152" s="96">
        <v>4335</v>
      </c>
      <c r="F152" s="96">
        <v>59</v>
      </c>
      <c r="G152" s="96"/>
      <c r="H152" s="99" t="s">
        <v>164</v>
      </c>
      <c r="I152" s="99"/>
      <c r="J152" s="99" t="s">
        <v>104</v>
      </c>
      <c r="K152" s="99"/>
      <c r="L152" t="s">
        <v>198</v>
      </c>
    </row>
    <row r="153" spans="1:12" x14ac:dyDescent="0.25">
      <c r="A153" s="99" t="s">
        <v>28</v>
      </c>
      <c r="B153" s="100">
        <v>0.41</v>
      </c>
      <c r="C153" s="100">
        <f>1/83</f>
        <v>1.2048192771084338E-2</v>
      </c>
      <c r="D153" s="96">
        <v>38900</v>
      </c>
      <c r="E153" s="96">
        <v>4280</v>
      </c>
      <c r="F153" s="96"/>
      <c r="G153" s="96"/>
      <c r="H153" s="99" t="s">
        <v>103</v>
      </c>
      <c r="I153" s="99" t="s">
        <v>124</v>
      </c>
      <c r="J153" s="99" t="s">
        <v>104</v>
      </c>
      <c r="K153" s="99" t="s">
        <v>168</v>
      </c>
      <c r="L153" s="4"/>
    </row>
    <row r="154" spans="1:12" x14ac:dyDescent="0.25">
      <c r="A154" s="99" t="s">
        <v>162</v>
      </c>
      <c r="B154" s="100"/>
      <c r="C154" s="100">
        <v>7.6923076923076927E-2</v>
      </c>
      <c r="D154" s="96">
        <v>122400</v>
      </c>
      <c r="E154" s="96">
        <v>3950</v>
      </c>
      <c r="F154" s="96">
        <v>3616</v>
      </c>
      <c r="G154" s="96">
        <v>1037</v>
      </c>
      <c r="H154" s="99" t="s">
        <v>108</v>
      </c>
      <c r="I154" s="99" t="s">
        <v>124</v>
      </c>
      <c r="J154" s="99" t="s">
        <v>105</v>
      </c>
      <c r="K154" s="99"/>
    </row>
    <row r="155" spans="1:12" x14ac:dyDescent="0.25">
      <c r="A155" s="99" t="s">
        <v>27</v>
      </c>
      <c r="B155" s="100">
        <f>0.28</f>
        <v>0.28000000000000003</v>
      </c>
      <c r="C155" s="100"/>
      <c r="D155" s="96">
        <v>30495</v>
      </c>
      <c r="E155" s="96">
        <v>3937</v>
      </c>
      <c r="F155" s="96">
        <v>4232</v>
      </c>
      <c r="G155" s="96"/>
      <c r="H155" s="99" t="s">
        <v>103</v>
      </c>
      <c r="I155" s="99"/>
      <c r="J155" s="99" t="s">
        <v>101</v>
      </c>
      <c r="K155" s="99"/>
      <c r="L155" s="4"/>
    </row>
    <row r="156" spans="1:12" x14ac:dyDescent="0.25">
      <c r="A156" s="99" t="s">
        <v>1</v>
      </c>
      <c r="B156" s="100">
        <f>30/100</f>
        <v>0.3</v>
      </c>
      <c r="C156" s="100"/>
      <c r="D156" s="96">
        <v>32995</v>
      </c>
      <c r="E156" s="96">
        <v>3897</v>
      </c>
      <c r="F156" s="96"/>
      <c r="G156" s="96"/>
      <c r="H156" s="99" t="s">
        <v>100</v>
      </c>
      <c r="I156" s="99"/>
      <c r="J156" s="99" t="s">
        <v>101</v>
      </c>
      <c r="K156" s="99"/>
    </row>
    <row r="157" spans="1:12" x14ac:dyDescent="0.25">
      <c r="A157" s="99" t="s">
        <v>210</v>
      </c>
      <c r="B157" s="100">
        <v>0.28000000000000003</v>
      </c>
      <c r="C157" s="100"/>
      <c r="D157" s="96">
        <v>25120</v>
      </c>
      <c r="E157" s="96">
        <v>3035</v>
      </c>
      <c r="F157" s="96"/>
      <c r="G157" s="96"/>
      <c r="H157" s="99" t="s">
        <v>100</v>
      </c>
      <c r="I157" s="99"/>
      <c r="J157" s="99" t="s">
        <v>101</v>
      </c>
      <c r="K157" s="99"/>
    </row>
    <row r="158" spans="1:12" x14ac:dyDescent="0.25">
      <c r="A158" s="109" t="s">
        <v>205</v>
      </c>
      <c r="B158" s="107">
        <f>0.34</f>
        <v>0.34</v>
      </c>
      <c r="C158" s="100">
        <f>1/99</f>
        <v>1.0101010101010102E-2</v>
      </c>
      <c r="D158" s="96">
        <v>34600</v>
      </c>
      <c r="E158" s="96">
        <v>3000</v>
      </c>
      <c r="F158" s="96"/>
      <c r="G158" s="96"/>
      <c r="H158" s="99" t="s">
        <v>164</v>
      </c>
      <c r="I158" s="99"/>
      <c r="J158" s="99" t="s">
        <v>104</v>
      </c>
      <c r="K158" s="99" t="s">
        <v>168</v>
      </c>
    </row>
    <row r="159" spans="1:12" x14ac:dyDescent="0.25">
      <c r="A159" s="41" t="s">
        <v>171</v>
      </c>
      <c r="B159" s="107">
        <f>0.25</f>
        <v>0.25</v>
      </c>
      <c r="C159" s="100">
        <f>1/133</f>
        <v>7.5187969924812026E-3</v>
      </c>
      <c r="D159" s="96">
        <v>27100</v>
      </c>
      <c r="E159" s="96">
        <v>2474</v>
      </c>
      <c r="F159" s="96">
        <v>4191</v>
      </c>
      <c r="G159" s="96"/>
      <c r="H159" s="99" t="s">
        <v>164</v>
      </c>
      <c r="I159" s="99"/>
      <c r="J159" s="99" t="s">
        <v>104</v>
      </c>
      <c r="K159" s="99" t="s">
        <v>168</v>
      </c>
    </row>
    <row r="160" spans="1:12" x14ac:dyDescent="0.25">
      <c r="A160" s="99" t="s">
        <v>25</v>
      </c>
      <c r="B160" s="100">
        <v>0.71</v>
      </c>
      <c r="C160" s="100">
        <v>2.1739130434782608E-2</v>
      </c>
      <c r="D160" s="96">
        <v>79900</v>
      </c>
      <c r="E160" s="96">
        <v>2111</v>
      </c>
      <c r="F160" s="96"/>
      <c r="G160" s="96"/>
      <c r="H160" s="99" t="s">
        <v>107</v>
      </c>
      <c r="I160" s="99" t="s">
        <v>124</v>
      </c>
      <c r="J160" s="99" t="s">
        <v>104</v>
      </c>
      <c r="K160" s="99" t="s">
        <v>168</v>
      </c>
    </row>
    <row r="161" spans="1:14" x14ac:dyDescent="0.25">
      <c r="A161" s="99" t="s">
        <v>34</v>
      </c>
      <c r="B161" s="100">
        <v>0.6</v>
      </c>
      <c r="C161" s="100">
        <f>1/54</f>
        <v>1.8518518518518517E-2</v>
      </c>
      <c r="D161" s="96">
        <v>67800</v>
      </c>
      <c r="E161" s="96">
        <v>2020</v>
      </c>
      <c r="F161" s="96"/>
      <c r="G161" s="96"/>
      <c r="H161" s="99" t="s">
        <v>107</v>
      </c>
      <c r="I161" s="99" t="s">
        <v>124</v>
      </c>
      <c r="J161" s="99" t="s">
        <v>104</v>
      </c>
      <c r="K161" s="99" t="s">
        <v>168</v>
      </c>
    </row>
    <row r="162" spans="1:14" x14ac:dyDescent="0.25">
      <c r="A162" s="99" t="s">
        <v>35</v>
      </c>
      <c r="B162" s="100">
        <f>31/100</f>
        <v>0.31</v>
      </c>
      <c r="C162" s="100"/>
      <c r="D162" s="96">
        <v>32250</v>
      </c>
      <c r="E162" s="96">
        <v>1728</v>
      </c>
      <c r="F162" s="96"/>
      <c r="G162" s="96"/>
      <c r="H162" s="99" t="s">
        <v>100</v>
      </c>
      <c r="I162" s="99"/>
      <c r="J162" s="99" t="s">
        <v>101</v>
      </c>
      <c r="K162" s="99"/>
    </row>
    <row r="163" spans="1:14" x14ac:dyDescent="0.25">
      <c r="A163" s="99" t="s">
        <v>43</v>
      </c>
      <c r="B163" s="100">
        <v>0.43</v>
      </c>
      <c r="C163" s="100">
        <v>1.3157894736842105E-2</v>
      </c>
      <c r="D163" s="96">
        <v>143499</v>
      </c>
      <c r="E163" s="96">
        <v>1594</v>
      </c>
      <c r="F163" s="96"/>
      <c r="G163" s="96"/>
      <c r="H163" s="99" t="s">
        <v>119</v>
      </c>
      <c r="I163" s="99" t="s">
        <v>124</v>
      </c>
      <c r="J163" s="99" t="s">
        <v>104</v>
      </c>
      <c r="K163" s="99" t="s">
        <v>168</v>
      </c>
    </row>
    <row r="164" spans="1:14" x14ac:dyDescent="0.25">
      <c r="A164" s="41" t="s">
        <v>343</v>
      </c>
      <c r="B164" s="107">
        <f>0.47</f>
        <v>0.47</v>
      </c>
      <c r="C164" s="100">
        <f>1/71</f>
        <v>1.4084507042253521E-2</v>
      </c>
      <c r="D164" s="96">
        <v>43700</v>
      </c>
      <c r="E164" s="96">
        <v>880</v>
      </c>
      <c r="F164" s="96"/>
      <c r="G164" s="96"/>
      <c r="H164" s="99" t="s">
        <v>103</v>
      </c>
      <c r="I164" s="99" t="s">
        <v>124</v>
      </c>
      <c r="J164" s="99" t="s">
        <v>104</v>
      </c>
      <c r="K164" s="99" t="s">
        <v>168</v>
      </c>
    </row>
    <row r="165" spans="1:14" x14ac:dyDescent="0.25">
      <c r="A165" s="99" t="s">
        <v>44</v>
      </c>
      <c r="B165" s="100">
        <v>0.31</v>
      </c>
      <c r="C165" s="100"/>
      <c r="D165" s="96">
        <v>29120</v>
      </c>
      <c r="E165" s="96">
        <v>872</v>
      </c>
      <c r="F165" s="96"/>
      <c r="G165" s="96"/>
      <c r="H165" s="99" t="s">
        <v>103</v>
      </c>
      <c r="I165" s="99"/>
      <c r="J165" s="99" t="s">
        <v>101</v>
      </c>
      <c r="K165" s="99"/>
      <c r="L165" s="4"/>
    </row>
    <row r="166" spans="1:14" x14ac:dyDescent="0.25">
      <c r="A166" s="99" t="s">
        <v>26</v>
      </c>
      <c r="B166" s="100">
        <f>31/100</f>
        <v>0.31</v>
      </c>
      <c r="C166" s="100"/>
      <c r="D166" s="99">
        <v>23800</v>
      </c>
      <c r="E166" s="96">
        <v>657</v>
      </c>
      <c r="F166" s="96"/>
      <c r="G166" s="96"/>
      <c r="H166" s="99" t="s">
        <v>100</v>
      </c>
      <c r="I166" s="99"/>
      <c r="J166" s="99" t="s">
        <v>101</v>
      </c>
      <c r="K166" s="99"/>
    </row>
    <row r="167" spans="1:14" x14ac:dyDescent="0.25">
      <c r="A167" s="103" t="s">
        <v>211</v>
      </c>
      <c r="B167" s="99">
        <v>0.4</v>
      </c>
      <c r="C167" s="99"/>
      <c r="D167" s="96">
        <v>39900</v>
      </c>
      <c r="E167" s="105">
        <v>632</v>
      </c>
      <c r="F167" s="99"/>
      <c r="G167" s="99"/>
      <c r="H167" s="103" t="s">
        <v>100</v>
      </c>
      <c r="I167" s="99" t="s">
        <v>124</v>
      </c>
      <c r="J167" s="103" t="s">
        <v>101</v>
      </c>
      <c r="K167" s="105"/>
      <c r="L167" s="24"/>
    </row>
    <row r="168" spans="1:14" x14ac:dyDescent="0.25">
      <c r="A168" s="99" t="s">
        <v>169</v>
      </c>
      <c r="B168" s="100">
        <f>28/100</f>
        <v>0.28000000000000003</v>
      </c>
      <c r="C168" s="100"/>
      <c r="D168" s="96">
        <v>36620</v>
      </c>
      <c r="E168" s="96">
        <v>579</v>
      </c>
      <c r="F168" s="96"/>
      <c r="G168" s="96"/>
      <c r="H168" s="99" t="s">
        <v>170</v>
      </c>
      <c r="I168" s="99"/>
      <c r="J168" s="99" t="s">
        <v>101</v>
      </c>
      <c r="K168" s="99"/>
      <c r="N168" s="26"/>
    </row>
  </sheetData>
  <autoFilter ref="A2:L168">
    <sortState ref="A3:L168">
      <sortCondition descending="1" ref="E2:E168"/>
    </sortState>
  </autoFilter>
  <hyperlinks>
    <hyperlink ref="O6" r:id="rId1"/>
    <hyperlink ref="O3" r:id="rId2"/>
    <hyperlink ref="O4" r:id="rId3"/>
    <hyperlink ref="O5" r:id="rId4"/>
    <hyperlink ref="O7" r:id="rId5"/>
  </hyperlinks>
  <pageMargins left="0.7" right="0.7" top="0.75" bottom="0.75" header="0.3" footer="0.3"/>
  <drawing r:id="rId6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T40"/>
  <sheetViews>
    <sheetView workbookViewId="0">
      <selection activeCell="L19" sqref="L19"/>
    </sheetView>
  </sheetViews>
  <sheetFormatPr defaultRowHeight="15" x14ac:dyDescent="0.25"/>
  <cols>
    <col min="1" max="1" width="18.85546875" bestFit="1" customWidth="1"/>
    <col min="3" max="3" width="11" bestFit="1" customWidth="1"/>
    <col min="15" max="15" width="10.140625" customWidth="1"/>
    <col min="17" max="17" width="14.7109375" bestFit="1" customWidth="1"/>
    <col min="18" max="18" width="10.140625" customWidth="1"/>
    <col min="19" max="19" width="13.7109375" customWidth="1"/>
  </cols>
  <sheetData>
    <row r="2" spans="1:20" x14ac:dyDescent="0.25">
      <c r="A2" s="1" t="s">
        <v>102</v>
      </c>
      <c r="B2" s="1" t="s">
        <v>165</v>
      </c>
      <c r="C2" s="1" t="s">
        <v>166</v>
      </c>
      <c r="D2" s="2" t="s">
        <v>0</v>
      </c>
      <c r="E2" s="9" t="s">
        <v>111</v>
      </c>
      <c r="F2" s="9" t="s">
        <v>112</v>
      </c>
      <c r="G2" s="9" t="s">
        <v>113</v>
      </c>
      <c r="H2" s="9" t="s">
        <v>233</v>
      </c>
      <c r="I2" s="9" t="s">
        <v>234</v>
      </c>
      <c r="J2" s="9" t="s">
        <v>182</v>
      </c>
      <c r="K2" s="10" t="s">
        <v>98</v>
      </c>
      <c r="L2" s="10" t="s">
        <v>124</v>
      </c>
      <c r="M2" s="3" t="s">
        <v>99</v>
      </c>
      <c r="N2" s="3" t="s">
        <v>168</v>
      </c>
      <c r="O2" s="3" t="s">
        <v>232</v>
      </c>
      <c r="P2" s="23" t="s">
        <v>185</v>
      </c>
      <c r="Q2" s="23" t="s">
        <v>186</v>
      </c>
      <c r="R2" s="23" t="s">
        <v>187</v>
      </c>
      <c r="S2" s="23" t="s">
        <v>208</v>
      </c>
      <c r="T2" s="23" t="s">
        <v>187</v>
      </c>
    </row>
    <row r="3" spans="1:20" x14ac:dyDescent="0.25">
      <c r="A3" s="106" t="s">
        <v>12</v>
      </c>
      <c r="B3" s="110">
        <v>0.32</v>
      </c>
      <c r="C3" s="110"/>
      <c r="D3" s="111">
        <v>68000</v>
      </c>
      <c r="E3" s="105">
        <v>28821</v>
      </c>
      <c r="F3" s="105"/>
      <c r="G3" s="105">
        <v>11326</v>
      </c>
      <c r="H3" s="105">
        <v>7500</v>
      </c>
      <c r="I3" s="105">
        <v>2500</v>
      </c>
      <c r="J3" s="105" t="s">
        <v>183</v>
      </c>
      <c r="K3" s="103" t="s">
        <v>120</v>
      </c>
      <c r="L3" s="106" t="s">
        <v>124</v>
      </c>
      <c r="M3" s="106" t="s">
        <v>101</v>
      </c>
      <c r="N3" s="106"/>
      <c r="O3" s="106">
        <f>E3/SUM(E3:E4)</f>
        <v>0.61304320081679531</v>
      </c>
      <c r="P3" s="106">
        <f>E3/SUM($E$3:$E$4)</f>
        <v>0.61304320081679531</v>
      </c>
      <c r="Q3" s="104">
        <f>P3*D3</f>
        <v>41686.937655542082</v>
      </c>
      <c r="R3" s="104">
        <f>SUM(Q3:Q4)</f>
        <v>72450.003190606847</v>
      </c>
      <c r="S3" s="88">
        <f>B3*$P3</f>
        <v>0.1961738242613745</v>
      </c>
      <c r="T3" s="88">
        <f>SUM(S3:S4)</f>
        <v>0.32</v>
      </c>
    </row>
    <row r="4" spans="1:20" x14ac:dyDescent="0.25">
      <c r="A4" s="106" t="s">
        <v>24</v>
      </c>
      <c r="B4" s="110">
        <v>0.32</v>
      </c>
      <c r="C4" s="110"/>
      <c r="D4" s="105">
        <v>79500</v>
      </c>
      <c r="E4" s="105">
        <v>18192</v>
      </c>
      <c r="F4" s="105"/>
      <c r="G4" s="105">
        <v>6289</v>
      </c>
      <c r="H4" s="105">
        <v>7500</v>
      </c>
      <c r="I4" s="105">
        <v>2500</v>
      </c>
      <c r="J4" s="105" t="s">
        <v>184</v>
      </c>
      <c r="K4" s="106" t="s">
        <v>107</v>
      </c>
      <c r="L4" s="106" t="s">
        <v>124</v>
      </c>
      <c r="M4" s="106" t="s">
        <v>101</v>
      </c>
      <c r="N4" s="106"/>
      <c r="O4" s="106">
        <f>E4/(E3+E4)</f>
        <v>0.38695679918320464</v>
      </c>
      <c r="P4" s="106">
        <f>E4/SUM($E$3:$E$4)</f>
        <v>0.38695679918320464</v>
      </c>
      <c r="Q4" s="104">
        <f t="shared" ref="Q4" si="0">P4*D4</f>
        <v>30763.065535064768</v>
      </c>
      <c r="R4" s="104"/>
      <c r="S4" s="88">
        <f t="shared" ref="S4" si="1">B4*$P4</f>
        <v>0.12382617573862549</v>
      </c>
      <c r="T4" s="88"/>
    </row>
    <row r="5" spans="1:20" x14ac:dyDescent="0.25">
      <c r="E5" s="15"/>
      <c r="P5" s="17"/>
    </row>
    <row r="6" spans="1:20" x14ac:dyDescent="0.25">
      <c r="E6" s="15"/>
      <c r="P6" s="17"/>
    </row>
    <row r="7" spans="1:20" x14ac:dyDescent="0.25">
      <c r="E7" s="15"/>
      <c r="P7" s="17"/>
    </row>
    <row r="8" spans="1:20" x14ac:dyDescent="0.25">
      <c r="P8" s="17"/>
    </row>
    <row r="9" spans="1:20" x14ac:dyDescent="0.25">
      <c r="P9" s="17"/>
    </row>
    <row r="10" spans="1:20" x14ac:dyDescent="0.25">
      <c r="P10" s="17"/>
    </row>
    <row r="11" spans="1:20" x14ac:dyDescent="0.25">
      <c r="P11" s="17"/>
    </row>
    <row r="12" spans="1:20" x14ac:dyDescent="0.25">
      <c r="P12" s="17"/>
    </row>
    <row r="13" spans="1:20" x14ac:dyDescent="0.25">
      <c r="P13" s="17"/>
    </row>
    <row r="14" spans="1:20" x14ac:dyDescent="0.25">
      <c r="P14" s="17"/>
    </row>
    <row r="15" spans="1:20" x14ac:dyDescent="0.25">
      <c r="P15" s="17"/>
    </row>
    <row r="16" spans="1:20" x14ac:dyDescent="0.25">
      <c r="P16" s="17"/>
    </row>
    <row r="17" spans="16:16" x14ac:dyDescent="0.25">
      <c r="P17" s="17"/>
    </row>
    <row r="18" spans="16:16" x14ac:dyDescent="0.25">
      <c r="P18" s="17"/>
    </row>
    <row r="19" spans="16:16" x14ac:dyDescent="0.25">
      <c r="P19" s="17"/>
    </row>
    <row r="20" spans="16:16" x14ac:dyDescent="0.25">
      <c r="P20" s="17"/>
    </row>
    <row r="21" spans="16:16" x14ac:dyDescent="0.25">
      <c r="P21" s="17"/>
    </row>
    <row r="22" spans="16:16" x14ac:dyDescent="0.25">
      <c r="P22" s="17"/>
    </row>
    <row r="23" spans="16:16" x14ac:dyDescent="0.25">
      <c r="P23" s="17"/>
    </row>
    <row r="24" spans="16:16" x14ac:dyDescent="0.25">
      <c r="P24" s="17"/>
    </row>
    <row r="25" spans="16:16" x14ac:dyDescent="0.25">
      <c r="P25" s="17"/>
    </row>
    <row r="26" spans="16:16" x14ac:dyDescent="0.25">
      <c r="P26" s="17"/>
    </row>
    <row r="27" spans="16:16" x14ac:dyDescent="0.25">
      <c r="P27" s="17"/>
    </row>
    <row r="28" spans="16:16" x14ac:dyDescent="0.25">
      <c r="P28" s="17"/>
    </row>
    <row r="29" spans="16:16" x14ac:dyDescent="0.25">
      <c r="P29" s="17"/>
    </row>
    <row r="30" spans="16:16" x14ac:dyDescent="0.25">
      <c r="P30" s="17"/>
    </row>
    <row r="31" spans="16:16" x14ac:dyDescent="0.25">
      <c r="P31" s="17"/>
    </row>
    <row r="32" spans="16:16" x14ac:dyDescent="0.25">
      <c r="P32" s="17"/>
    </row>
    <row r="33" spans="16:16" x14ac:dyDescent="0.25">
      <c r="P33" s="17"/>
    </row>
    <row r="34" spans="16:16" x14ac:dyDescent="0.25">
      <c r="P34" s="17"/>
    </row>
    <row r="35" spans="16:16" x14ac:dyDescent="0.25">
      <c r="P35" s="17"/>
    </row>
    <row r="36" spans="16:16" x14ac:dyDescent="0.25">
      <c r="P36" s="17"/>
    </row>
    <row r="37" spans="16:16" x14ac:dyDescent="0.25">
      <c r="P37" s="17"/>
    </row>
    <row r="38" spans="16:16" x14ac:dyDescent="0.25">
      <c r="P38" s="17"/>
    </row>
    <row r="39" spans="16:16" x14ac:dyDescent="0.25">
      <c r="P39" s="17"/>
    </row>
    <row r="40" spans="16:16" x14ac:dyDescent="0.25">
      <c r="P40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Y47"/>
  <sheetViews>
    <sheetView workbookViewId="0">
      <selection activeCell="S20" sqref="S20"/>
    </sheetView>
  </sheetViews>
  <sheetFormatPr defaultRowHeight="15" x14ac:dyDescent="0.25"/>
  <cols>
    <col min="1" max="1" width="18.85546875" bestFit="1" customWidth="1"/>
    <col min="3" max="3" width="11" bestFit="1" customWidth="1"/>
    <col min="8" max="8" width="13.28515625" bestFit="1" customWidth="1"/>
    <col min="9" max="9" width="13.28515625" customWidth="1"/>
    <col min="10" max="10" width="12.5703125" customWidth="1"/>
    <col min="11" max="11" width="14.140625" customWidth="1"/>
    <col min="13" max="13" width="12.5703125" bestFit="1" customWidth="1"/>
    <col min="19" max="19" width="14.7109375" bestFit="1" customWidth="1"/>
    <col min="20" max="20" width="10.140625" customWidth="1"/>
    <col min="24" max="24" width="23" bestFit="1" customWidth="1"/>
    <col min="25" max="25" width="10.85546875" customWidth="1"/>
  </cols>
  <sheetData>
    <row r="2" spans="1:25" x14ac:dyDescent="0.25">
      <c r="A2" s="1" t="s">
        <v>102</v>
      </c>
      <c r="B2" s="1" t="s">
        <v>165</v>
      </c>
      <c r="C2" s="1" t="s">
        <v>166</v>
      </c>
      <c r="D2" s="2" t="s">
        <v>0</v>
      </c>
      <c r="E2" s="9" t="s">
        <v>111</v>
      </c>
      <c r="F2" s="9" t="s">
        <v>112</v>
      </c>
      <c r="G2" s="9" t="s">
        <v>113</v>
      </c>
      <c r="H2" s="9" t="s">
        <v>238</v>
      </c>
      <c r="I2" s="9" t="s">
        <v>379</v>
      </c>
      <c r="J2" s="9" t="s">
        <v>235</v>
      </c>
      <c r="K2" s="9"/>
      <c r="L2" s="9" t="s">
        <v>182</v>
      </c>
      <c r="M2" s="10" t="s">
        <v>98</v>
      </c>
      <c r="N2" s="10" t="s">
        <v>124</v>
      </c>
      <c r="O2" s="3" t="s">
        <v>99</v>
      </c>
      <c r="P2" s="3" t="s">
        <v>168</v>
      </c>
      <c r="Q2" s="3" t="s">
        <v>232</v>
      </c>
      <c r="R2" s="53" t="s">
        <v>185</v>
      </c>
      <c r="S2" s="53" t="s">
        <v>186</v>
      </c>
      <c r="T2" s="53" t="s">
        <v>187</v>
      </c>
      <c r="U2" s="53" t="s">
        <v>208</v>
      </c>
      <c r="V2" s="53" t="s">
        <v>187</v>
      </c>
    </row>
    <row r="3" spans="1:25" x14ac:dyDescent="0.25">
      <c r="A3" s="19" t="s">
        <v>15</v>
      </c>
      <c r="B3" s="18">
        <v>0.28000000000000003</v>
      </c>
      <c r="C3" s="18"/>
      <c r="D3" s="12">
        <v>42400</v>
      </c>
      <c r="E3" s="12">
        <v>7625</v>
      </c>
      <c r="F3" s="12">
        <v>11024</v>
      </c>
      <c r="G3" s="12">
        <v>5064</v>
      </c>
      <c r="H3" s="42">
        <f>G3/(40347)</f>
        <v>0.12551119042307979</v>
      </c>
      <c r="I3" s="12">
        <v>5064</v>
      </c>
      <c r="J3" s="12">
        <v>7500</v>
      </c>
      <c r="K3" s="12">
        <v>2500</v>
      </c>
      <c r="L3" s="12" t="s">
        <v>183</v>
      </c>
      <c r="M3" s="19" t="s">
        <v>100</v>
      </c>
      <c r="N3" s="19" t="s">
        <v>124</v>
      </c>
      <c r="O3" s="19" t="s">
        <v>101</v>
      </c>
      <c r="P3" s="19"/>
      <c r="Q3" s="19">
        <f t="shared" ref="Q3:Q12" si="0">E3/($F$13+$E$14)</f>
        <v>0.26351257948576168</v>
      </c>
      <c r="R3" s="19">
        <f t="shared" ref="R3:R12" si="1">E3/SUM($E$3:$E$11)</f>
        <v>0.20984698370761778</v>
      </c>
      <c r="S3" s="8">
        <f t="shared" ref="S3:S12" si="2">R3*D3</f>
        <v>8897.5121092029949</v>
      </c>
      <c r="T3" s="104">
        <f>SUM(S3:S11)</f>
        <v>32910.717470277414</v>
      </c>
      <c r="U3" s="88">
        <f t="shared" ref="U3:U12" si="3">B3*$R3</f>
        <v>5.8757155438132987E-2</v>
      </c>
      <c r="V3" s="88">
        <f>SUM(U3:U11)</f>
        <v>0.29254320783795684</v>
      </c>
    </row>
    <row r="4" spans="1:25" x14ac:dyDescent="0.25">
      <c r="A4" s="19" t="s">
        <v>2</v>
      </c>
      <c r="B4" s="18">
        <v>0.3</v>
      </c>
      <c r="C4" s="18"/>
      <c r="D4" s="12">
        <v>30680</v>
      </c>
      <c r="E4" s="12">
        <v>14006</v>
      </c>
      <c r="F4" s="12">
        <v>17269</v>
      </c>
      <c r="G4" s="12"/>
      <c r="H4" s="42">
        <f t="shared" ref="H4:H13" si="4">E4/SUM($E$4:$E$13)*0.4379</f>
        <v>0.20835096647076809</v>
      </c>
      <c r="I4" s="12">
        <f t="shared" ref="I4:I13" si="5">H4*40347</f>
        <v>8406.3364441960803</v>
      </c>
      <c r="J4" s="12">
        <v>7500</v>
      </c>
      <c r="K4" s="12">
        <v>2500</v>
      </c>
      <c r="L4" s="12" t="s">
        <v>183</v>
      </c>
      <c r="M4" s="19" t="s">
        <v>103</v>
      </c>
      <c r="N4" s="19"/>
      <c r="O4" s="19" t="s">
        <v>101</v>
      </c>
      <c r="P4" s="19"/>
      <c r="Q4" s="19">
        <f t="shared" si="0"/>
        <v>0.48403372961017416</v>
      </c>
      <c r="R4" s="19">
        <f t="shared" si="1"/>
        <v>0.38545794804051081</v>
      </c>
      <c r="S4" s="8">
        <f t="shared" si="2"/>
        <v>11825.849845882871</v>
      </c>
      <c r="U4">
        <f t="shared" si="3"/>
        <v>0.11563738441215324</v>
      </c>
    </row>
    <row r="5" spans="1:25" x14ac:dyDescent="0.25">
      <c r="A5" s="19" t="s">
        <v>27</v>
      </c>
      <c r="B5" s="18">
        <v>0.28000000000000003</v>
      </c>
      <c r="C5" s="18"/>
      <c r="D5" s="12">
        <v>30495</v>
      </c>
      <c r="E5" s="12">
        <v>3937</v>
      </c>
      <c r="F5" s="12">
        <v>4232</v>
      </c>
      <c r="G5" s="12"/>
      <c r="H5" s="42">
        <f t="shared" si="4"/>
        <v>5.8566168427489212E-2</v>
      </c>
      <c r="I5" s="12">
        <f t="shared" si="5"/>
        <v>2362.9691975439073</v>
      </c>
      <c r="J5" s="12">
        <v>7500</v>
      </c>
      <c r="K5" s="12">
        <v>2500</v>
      </c>
      <c r="L5" s="12" t="s">
        <v>183</v>
      </c>
      <c r="M5" s="19" t="s">
        <v>103</v>
      </c>
      <c r="N5" s="19"/>
      <c r="O5" s="19" t="s">
        <v>101</v>
      </c>
      <c r="P5" s="19"/>
      <c r="Q5" s="19">
        <f t="shared" si="0"/>
        <v>0.13605888858169754</v>
      </c>
      <c r="R5" s="19">
        <f t="shared" si="1"/>
        <v>0.10834984588287098</v>
      </c>
      <c r="S5" s="8">
        <f t="shared" si="2"/>
        <v>3304.1285501981506</v>
      </c>
      <c r="U5">
        <f t="shared" si="3"/>
        <v>3.0337956847203879E-2</v>
      </c>
      <c r="Y5">
        <f>1-0.5621</f>
        <v>0.43789999999999996</v>
      </c>
    </row>
    <row r="6" spans="1:25" ht="15.75" thickBot="1" x14ac:dyDescent="0.3">
      <c r="A6" s="19" t="s">
        <v>44</v>
      </c>
      <c r="B6" s="18">
        <v>0.31</v>
      </c>
      <c r="C6" s="18"/>
      <c r="D6" s="12">
        <v>29120</v>
      </c>
      <c r="E6" s="12">
        <v>872</v>
      </c>
      <c r="F6" s="12"/>
      <c r="G6" s="12"/>
      <c r="H6" s="42">
        <f t="shared" si="4"/>
        <v>1.2971729456126643E-2</v>
      </c>
      <c r="I6" s="12">
        <f t="shared" si="5"/>
        <v>523.37036836634161</v>
      </c>
      <c r="J6" s="12">
        <v>7500</v>
      </c>
      <c r="K6" s="12">
        <v>2500</v>
      </c>
      <c r="L6" s="12" t="s">
        <v>183</v>
      </c>
      <c r="M6" s="19" t="s">
        <v>103</v>
      </c>
      <c r="N6" s="19"/>
      <c r="O6" s="19" t="s">
        <v>101</v>
      </c>
      <c r="P6" s="19"/>
      <c r="Q6" s="19">
        <f t="shared" si="0"/>
        <v>3.0135471385125796E-2</v>
      </c>
      <c r="R6" s="19">
        <f t="shared" si="1"/>
        <v>2.3998238661382652E-2</v>
      </c>
      <c r="S6" s="8">
        <f t="shared" si="2"/>
        <v>698.8287098194628</v>
      </c>
      <c r="U6">
        <f t="shared" si="3"/>
        <v>7.4394539850286216E-3</v>
      </c>
    </row>
    <row r="7" spans="1:25" x14ac:dyDescent="0.25">
      <c r="A7" s="19" t="s">
        <v>1</v>
      </c>
      <c r="B7" s="18">
        <v>0.3</v>
      </c>
      <c r="C7" s="18"/>
      <c r="D7" s="12">
        <v>32995</v>
      </c>
      <c r="E7" s="12">
        <v>3897</v>
      </c>
      <c r="F7" s="12"/>
      <c r="G7" s="12"/>
      <c r="H7" s="42">
        <f t="shared" si="4"/>
        <v>5.7971134966199003E-2</v>
      </c>
      <c r="I7" s="12">
        <f t="shared" si="5"/>
        <v>2338.9613824812313</v>
      </c>
      <c r="J7" s="12">
        <v>7500</v>
      </c>
      <c r="K7" s="12">
        <v>2500</v>
      </c>
      <c r="L7" s="12" t="s">
        <v>183</v>
      </c>
      <c r="M7" s="19" t="s">
        <v>100</v>
      </c>
      <c r="N7" s="19"/>
      <c r="O7" s="19" t="s">
        <v>101</v>
      </c>
      <c r="P7" s="19"/>
      <c r="Q7" s="19">
        <f t="shared" si="0"/>
        <v>0.13467652750898534</v>
      </c>
      <c r="R7" s="19">
        <f t="shared" si="1"/>
        <v>0.10724900924702774</v>
      </c>
      <c r="S7" s="8">
        <f t="shared" si="2"/>
        <v>3538.68106010568</v>
      </c>
      <c r="U7">
        <f t="shared" si="3"/>
        <v>3.2174702774108319E-2</v>
      </c>
      <c r="X7" s="70" t="s">
        <v>100</v>
      </c>
      <c r="Y7" s="112">
        <f>SUM(H7:H10,H13)</f>
        <v>0.13999649760505486</v>
      </c>
    </row>
    <row r="8" spans="1:25" x14ac:dyDescent="0.25">
      <c r="A8" s="19" t="s">
        <v>14</v>
      </c>
      <c r="B8" s="18">
        <v>0.28000000000000003</v>
      </c>
      <c r="C8" s="18"/>
      <c r="D8" s="12">
        <v>25120</v>
      </c>
      <c r="E8" s="12">
        <v>3035</v>
      </c>
      <c r="F8" s="12"/>
      <c r="G8" s="12"/>
      <c r="H8" s="42">
        <f t="shared" si="4"/>
        <v>4.5148163875394914E-2</v>
      </c>
      <c r="I8" s="12">
        <f t="shared" si="5"/>
        <v>1821.5929678805587</v>
      </c>
      <c r="J8" s="12">
        <v>7500</v>
      </c>
      <c r="K8" s="12">
        <v>2500</v>
      </c>
      <c r="L8" s="12" t="s">
        <v>183</v>
      </c>
      <c r="M8" s="19" t="s">
        <v>100</v>
      </c>
      <c r="N8" s="19"/>
      <c r="O8" s="19" t="s">
        <v>101</v>
      </c>
      <c r="P8" s="19"/>
      <c r="Q8" s="19">
        <f t="shared" si="0"/>
        <v>0.1048866463920376</v>
      </c>
      <c r="R8" s="19">
        <f t="shared" si="1"/>
        <v>8.3525979744605905E-2</v>
      </c>
      <c r="S8" s="8">
        <f t="shared" si="2"/>
        <v>2098.1726111845005</v>
      </c>
      <c r="U8">
        <f t="shared" si="3"/>
        <v>2.3387274328489655E-2</v>
      </c>
      <c r="X8" s="64" t="s">
        <v>103</v>
      </c>
      <c r="Y8" s="113">
        <f>SUM(H4:H6,H11)</f>
        <v>0.28850197370655978</v>
      </c>
    </row>
    <row r="9" spans="1:25" x14ac:dyDescent="0.25">
      <c r="A9" s="19" t="s">
        <v>26</v>
      </c>
      <c r="B9" s="18">
        <v>0.31</v>
      </c>
      <c r="C9" s="18"/>
      <c r="D9" s="8">
        <v>23800</v>
      </c>
      <c r="E9" s="12">
        <v>657</v>
      </c>
      <c r="F9" s="12"/>
      <c r="G9" s="12"/>
      <c r="H9" s="42">
        <f t="shared" si="4"/>
        <v>9.7734246016917495E-3</v>
      </c>
      <c r="I9" s="12">
        <f t="shared" si="5"/>
        <v>394.32836240445704</v>
      </c>
      <c r="J9" s="12">
        <v>7500</v>
      </c>
      <c r="K9" s="12">
        <v>2500</v>
      </c>
      <c r="L9" s="12" t="s">
        <v>183</v>
      </c>
      <c r="M9" s="19" t="s">
        <v>100</v>
      </c>
      <c r="N9" s="19"/>
      <c r="O9" s="19" t="s">
        <v>101</v>
      </c>
      <c r="P9" s="19"/>
      <c r="Q9" s="19">
        <f t="shared" si="0"/>
        <v>2.270528061929776E-2</v>
      </c>
      <c r="R9" s="19">
        <f t="shared" si="1"/>
        <v>1.8081241743725232E-2</v>
      </c>
      <c r="S9" s="8">
        <f t="shared" si="2"/>
        <v>430.33355350066051</v>
      </c>
      <c r="U9">
        <f t="shared" si="3"/>
        <v>5.6051849405548216E-3</v>
      </c>
      <c r="X9" s="64" t="s">
        <v>164</v>
      </c>
      <c r="Y9" s="114"/>
    </row>
    <row r="10" spans="1:25" x14ac:dyDescent="0.25">
      <c r="A10" s="19" t="s">
        <v>35</v>
      </c>
      <c r="B10" s="18">
        <v>0.31</v>
      </c>
      <c r="C10" s="18"/>
      <c r="D10" s="12">
        <v>32250</v>
      </c>
      <c r="E10" s="12">
        <v>1728</v>
      </c>
      <c r="F10" s="12"/>
      <c r="G10" s="12"/>
      <c r="H10" s="42">
        <f t="shared" si="4"/>
        <v>2.5705445527737202E-2</v>
      </c>
      <c r="I10" s="12">
        <f t="shared" si="5"/>
        <v>1037.1376107076128</v>
      </c>
      <c r="J10" s="12">
        <v>7500</v>
      </c>
      <c r="K10" s="12">
        <v>2500</v>
      </c>
      <c r="L10" s="12" t="s">
        <v>183</v>
      </c>
      <c r="M10" s="19" t="s">
        <v>100</v>
      </c>
      <c r="N10" s="19"/>
      <c r="O10" s="19" t="s">
        <v>101</v>
      </c>
      <c r="P10" s="19"/>
      <c r="Q10" s="19">
        <f t="shared" si="0"/>
        <v>5.9717998341166714E-2</v>
      </c>
      <c r="R10" s="19">
        <f t="shared" si="1"/>
        <v>4.7556142668428003E-2</v>
      </c>
      <c r="S10" s="8">
        <f t="shared" si="2"/>
        <v>1533.6856010568031</v>
      </c>
      <c r="U10">
        <f t="shared" si="3"/>
        <v>1.4742404227212682E-2</v>
      </c>
      <c r="X10" s="64" t="s">
        <v>120</v>
      </c>
      <c r="Y10" s="114"/>
    </row>
    <row r="11" spans="1:25" x14ac:dyDescent="0.25">
      <c r="A11" s="19" t="s">
        <v>169</v>
      </c>
      <c r="B11" s="18">
        <v>0.28000000000000003</v>
      </c>
      <c r="C11" s="18"/>
      <c r="D11" s="12">
        <v>36620</v>
      </c>
      <c r="E11" s="12">
        <v>579</v>
      </c>
      <c r="F11" s="12"/>
      <c r="G11" s="12"/>
      <c r="H11" s="42">
        <f t="shared" si="4"/>
        <v>8.6131093521758344E-3</v>
      </c>
      <c r="I11" s="12">
        <f t="shared" si="5"/>
        <v>347.51312303223841</v>
      </c>
      <c r="J11" s="12">
        <v>7500</v>
      </c>
      <c r="K11" s="12">
        <v>2500</v>
      </c>
      <c r="L11" s="12" t="s">
        <v>183</v>
      </c>
      <c r="M11" s="19" t="s">
        <v>103</v>
      </c>
      <c r="N11" s="19"/>
      <c r="O11" s="19" t="s">
        <v>101</v>
      </c>
      <c r="P11" s="19"/>
      <c r="Q11" s="19">
        <f t="shared" si="0"/>
        <v>2.0009676527508985E-2</v>
      </c>
      <c r="R11" s="19">
        <f t="shared" si="1"/>
        <v>1.593461030383091E-2</v>
      </c>
      <c r="S11" s="8">
        <f t="shared" si="2"/>
        <v>583.52542932628796</v>
      </c>
      <c r="U11">
        <f t="shared" si="3"/>
        <v>4.4616908850726548E-3</v>
      </c>
      <c r="X11" s="64" t="s">
        <v>362</v>
      </c>
      <c r="Y11" s="113">
        <f>SUM(H12,H3)</f>
        <v>0.13491271911146516</v>
      </c>
    </row>
    <row r="12" spans="1:25" x14ac:dyDescent="0.25">
      <c r="A12" s="24" t="s">
        <v>211</v>
      </c>
      <c r="B12" s="43">
        <v>0.4</v>
      </c>
      <c r="C12" s="8"/>
      <c r="D12" s="11">
        <v>39900</v>
      </c>
      <c r="E12" s="25">
        <v>632</v>
      </c>
      <c r="F12" s="8"/>
      <c r="G12" s="8"/>
      <c r="H12" s="42">
        <f t="shared" si="4"/>
        <v>9.4015286883853671E-3</v>
      </c>
      <c r="I12" s="12">
        <f t="shared" si="5"/>
        <v>379.3234779902844</v>
      </c>
      <c r="J12" s="12">
        <v>7500</v>
      </c>
      <c r="K12" s="12">
        <v>2500</v>
      </c>
      <c r="L12" s="12" t="s">
        <v>183</v>
      </c>
      <c r="M12" s="24" t="s">
        <v>100</v>
      </c>
      <c r="N12" s="8" t="s">
        <v>124</v>
      </c>
      <c r="O12" s="24" t="s">
        <v>101</v>
      </c>
      <c r="P12" s="8"/>
      <c r="Q12" s="19">
        <f t="shared" si="0"/>
        <v>2.1841304948852641E-2</v>
      </c>
      <c r="R12" s="24">
        <f t="shared" si="1"/>
        <v>1.7393218846323204E-2</v>
      </c>
      <c r="S12" s="8">
        <f t="shared" si="2"/>
        <v>693.98943196829589</v>
      </c>
      <c r="U12">
        <f t="shared" si="3"/>
        <v>6.9572875385292823E-3</v>
      </c>
      <c r="X12" s="64" t="s">
        <v>363</v>
      </c>
      <c r="Y12" s="114"/>
    </row>
    <row r="13" spans="1:25" x14ac:dyDescent="0.25">
      <c r="A13" s="8" t="s">
        <v>372</v>
      </c>
      <c r="B13" s="8"/>
      <c r="C13" s="8"/>
      <c r="D13" s="8"/>
      <c r="E13" s="8">
        <v>94</v>
      </c>
      <c r="F13" s="8">
        <v>115</v>
      </c>
      <c r="G13" s="8"/>
      <c r="H13" s="42">
        <f t="shared" si="4"/>
        <v>1.3983286340320004E-3</v>
      </c>
      <c r="I13" s="12">
        <f t="shared" si="5"/>
        <v>56.418365397289122</v>
      </c>
      <c r="J13" s="8"/>
      <c r="K13" s="8"/>
      <c r="L13" s="8"/>
      <c r="M13" s="8" t="s">
        <v>100</v>
      </c>
      <c r="N13" s="8"/>
      <c r="O13" s="8"/>
      <c r="P13" s="8"/>
      <c r="Q13" s="19"/>
      <c r="R13" s="19"/>
      <c r="S13" s="8"/>
      <c r="X13" s="64" t="s">
        <v>364</v>
      </c>
      <c r="Y13" s="113">
        <f>H14</f>
        <v>0.28071479911765435</v>
      </c>
    </row>
    <row r="14" spans="1:25" x14ac:dyDescent="0.25">
      <c r="A14" s="19" t="s">
        <v>12</v>
      </c>
      <c r="B14" s="18">
        <v>0.32</v>
      </c>
      <c r="C14" s="18"/>
      <c r="D14" s="12">
        <v>68000</v>
      </c>
      <c r="E14" s="12">
        <v>28821</v>
      </c>
      <c r="F14" s="8"/>
      <c r="G14" s="12">
        <v>11326</v>
      </c>
      <c r="H14" s="42">
        <f>G14/40347</f>
        <v>0.28071479911765435</v>
      </c>
      <c r="I14" s="12">
        <v>11326</v>
      </c>
      <c r="J14" s="12">
        <v>7500</v>
      </c>
      <c r="K14" s="12">
        <v>2500</v>
      </c>
      <c r="L14" s="12" t="s">
        <v>183</v>
      </c>
      <c r="M14" s="19" t="s">
        <v>120</v>
      </c>
      <c r="N14" s="19" t="s">
        <v>124</v>
      </c>
      <c r="O14" s="8"/>
      <c r="P14" s="8"/>
      <c r="Q14" s="19"/>
      <c r="R14" s="19"/>
      <c r="S14" s="8"/>
      <c r="X14" s="64" t="s">
        <v>365</v>
      </c>
      <c r="Y14" s="114"/>
    </row>
    <row r="15" spans="1:25" x14ac:dyDescent="0.25">
      <c r="A15" s="19" t="s">
        <v>24</v>
      </c>
      <c r="B15" s="18">
        <v>0.32</v>
      </c>
      <c r="C15" s="18"/>
      <c r="D15" s="12">
        <v>79500</v>
      </c>
      <c r="E15" s="12">
        <v>18192</v>
      </c>
      <c r="F15" s="8"/>
      <c r="G15" s="12">
        <v>6289</v>
      </c>
      <c r="H15" s="42">
        <f>G15/40347</f>
        <v>0.15587280343024265</v>
      </c>
      <c r="I15" s="12">
        <v>6289</v>
      </c>
      <c r="J15" s="12">
        <v>7500</v>
      </c>
      <c r="K15" s="12">
        <v>2500</v>
      </c>
      <c r="L15" s="12" t="s">
        <v>184</v>
      </c>
      <c r="M15" s="19" t="s">
        <v>107</v>
      </c>
      <c r="N15" s="19" t="s">
        <v>124</v>
      </c>
      <c r="O15" s="8"/>
      <c r="P15" s="8"/>
      <c r="Q15" s="8"/>
      <c r="R15" s="19"/>
      <c r="S15" s="8"/>
      <c r="X15" s="64" t="s">
        <v>150</v>
      </c>
      <c r="Y15" s="114"/>
    </row>
    <row r="16" spans="1:25" x14ac:dyDescent="0.25">
      <c r="R16" s="17"/>
      <c r="X16" s="64" t="s">
        <v>106</v>
      </c>
      <c r="Y16" s="114"/>
    </row>
    <row r="17" spans="18:25" x14ac:dyDescent="0.25">
      <c r="R17" s="17"/>
      <c r="X17" s="64" t="s">
        <v>107</v>
      </c>
      <c r="Y17" s="114"/>
    </row>
    <row r="18" spans="18:25" x14ac:dyDescent="0.25">
      <c r="R18" s="17"/>
      <c r="X18" s="64" t="s">
        <v>108</v>
      </c>
      <c r="Y18" s="114"/>
    </row>
    <row r="19" spans="18:25" x14ac:dyDescent="0.25">
      <c r="R19" s="17"/>
      <c r="X19" s="64" t="s">
        <v>366</v>
      </c>
      <c r="Y19" s="114"/>
    </row>
    <row r="20" spans="18:25" x14ac:dyDescent="0.25">
      <c r="R20" s="17"/>
      <c r="X20" s="64" t="s">
        <v>109</v>
      </c>
      <c r="Y20" s="114"/>
    </row>
    <row r="21" spans="18:25" x14ac:dyDescent="0.25">
      <c r="R21" s="17"/>
      <c r="X21" s="64" t="s">
        <v>110</v>
      </c>
      <c r="Y21" s="114"/>
    </row>
    <row r="22" spans="18:25" x14ac:dyDescent="0.25">
      <c r="R22" s="17"/>
      <c r="X22" s="64" t="s">
        <v>367</v>
      </c>
      <c r="Y22" s="114"/>
    </row>
    <row r="23" spans="18:25" x14ac:dyDescent="0.25">
      <c r="R23" s="17"/>
      <c r="X23" s="64" t="s">
        <v>368</v>
      </c>
      <c r="Y23" s="114"/>
    </row>
    <row r="24" spans="18:25" x14ac:dyDescent="0.25">
      <c r="R24" s="17"/>
      <c r="X24" s="64" t="s">
        <v>369</v>
      </c>
      <c r="Y24" s="113">
        <f>H15</f>
        <v>0.15587280343024265</v>
      </c>
    </row>
    <row r="25" spans="18:25" ht="15.75" thickBot="1" x14ac:dyDescent="0.3">
      <c r="R25" s="17"/>
      <c r="X25" s="66" t="s">
        <v>370</v>
      </c>
      <c r="Y25" s="115"/>
    </row>
    <row r="26" spans="18:25" x14ac:dyDescent="0.25">
      <c r="R26" s="17"/>
    </row>
    <row r="27" spans="18:25" x14ac:dyDescent="0.25">
      <c r="R27" s="17"/>
    </row>
    <row r="28" spans="18:25" x14ac:dyDescent="0.25">
      <c r="R28" s="17"/>
    </row>
    <row r="29" spans="18:25" x14ac:dyDescent="0.25">
      <c r="R29" s="17"/>
    </row>
    <row r="30" spans="18:25" x14ac:dyDescent="0.25">
      <c r="R30" s="17"/>
    </row>
    <row r="31" spans="18:25" x14ac:dyDescent="0.25">
      <c r="R31" s="17"/>
    </row>
    <row r="32" spans="18:25" x14ac:dyDescent="0.25">
      <c r="R32" s="17"/>
    </row>
    <row r="33" spans="18:18" x14ac:dyDescent="0.25">
      <c r="R33" s="17"/>
    </row>
    <row r="34" spans="18:18" x14ac:dyDescent="0.25">
      <c r="R34" s="17"/>
    </row>
    <row r="35" spans="18:18" x14ac:dyDescent="0.25">
      <c r="R35" s="17"/>
    </row>
    <row r="36" spans="18:18" x14ac:dyDescent="0.25">
      <c r="R36" s="17"/>
    </row>
    <row r="37" spans="18:18" x14ac:dyDescent="0.25">
      <c r="R37" s="17"/>
    </row>
    <row r="38" spans="18:18" x14ac:dyDescent="0.25">
      <c r="R38" s="17"/>
    </row>
    <row r="39" spans="18:18" x14ac:dyDescent="0.25">
      <c r="R39" s="17"/>
    </row>
    <row r="40" spans="18:18" x14ac:dyDescent="0.25">
      <c r="R40" s="17"/>
    </row>
    <row r="41" spans="18:18" x14ac:dyDescent="0.25">
      <c r="R41" s="17"/>
    </row>
    <row r="42" spans="18:18" x14ac:dyDescent="0.25">
      <c r="R42" s="17"/>
    </row>
    <row r="43" spans="18:18" x14ac:dyDescent="0.25">
      <c r="R43" s="17"/>
    </row>
    <row r="44" spans="18:18" x14ac:dyDescent="0.25">
      <c r="R44" s="17"/>
    </row>
    <row r="45" spans="18:18" x14ac:dyDescent="0.25">
      <c r="R45" s="17"/>
    </row>
    <row r="46" spans="18:18" x14ac:dyDescent="0.25">
      <c r="R46" s="17"/>
    </row>
    <row r="47" spans="18:18" x14ac:dyDescent="0.25">
      <c r="R47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51"/>
  <sheetViews>
    <sheetView topLeftCell="A28" workbookViewId="0">
      <selection activeCell="P3" sqref="P3"/>
    </sheetView>
  </sheetViews>
  <sheetFormatPr defaultRowHeight="15" x14ac:dyDescent="0.25"/>
  <cols>
    <col min="3" max="3" width="11" customWidth="1"/>
    <col min="4" max="4" width="10" customWidth="1"/>
    <col min="12" max="12" width="9.140625" customWidth="1"/>
    <col min="13" max="13" width="23.7109375" customWidth="1"/>
    <col min="15" max="15" width="14.7109375" bestFit="1" customWidth="1"/>
    <col min="16" max="16" width="11" customWidth="1"/>
    <col min="17" max="17" width="20.7109375" bestFit="1" customWidth="1"/>
    <col min="18" max="18" width="12" bestFit="1" customWidth="1"/>
  </cols>
  <sheetData>
    <row r="1" spans="1:21" x14ac:dyDescent="0.25">
      <c r="N1" s="121" t="s">
        <v>228</v>
      </c>
      <c r="O1" s="121"/>
      <c r="P1" s="121"/>
      <c r="Q1" s="121"/>
      <c r="R1" s="121"/>
      <c r="S1" s="23"/>
      <c r="T1" s="23"/>
      <c r="U1" s="23"/>
    </row>
    <row r="2" spans="1:21" x14ac:dyDescent="0.25">
      <c r="A2" s="1" t="s">
        <v>102</v>
      </c>
      <c r="B2" s="1" t="s">
        <v>165</v>
      </c>
      <c r="C2" s="1" t="s">
        <v>166</v>
      </c>
      <c r="D2" s="2" t="s">
        <v>0</v>
      </c>
      <c r="E2" s="9" t="s">
        <v>111</v>
      </c>
      <c r="F2" s="9" t="s">
        <v>112</v>
      </c>
      <c r="G2" s="9" t="s">
        <v>113</v>
      </c>
      <c r="H2" s="9" t="s">
        <v>182</v>
      </c>
      <c r="I2" s="10" t="s">
        <v>98</v>
      </c>
      <c r="J2" s="10" t="s">
        <v>124</v>
      </c>
      <c r="K2" s="3" t="s">
        <v>99</v>
      </c>
      <c r="L2" s="3" t="s">
        <v>168</v>
      </c>
      <c r="M2" s="39" t="s">
        <v>229</v>
      </c>
      <c r="N2" s="23" t="s">
        <v>185</v>
      </c>
      <c r="O2" s="23" t="s">
        <v>186</v>
      </c>
      <c r="P2" s="23" t="s">
        <v>187</v>
      </c>
      <c r="Q2" s="23" t="s">
        <v>206</v>
      </c>
      <c r="R2" s="23" t="s">
        <v>187</v>
      </c>
      <c r="S2" s="23"/>
    </row>
    <row r="3" spans="1:21" x14ac:dyDescent="0.25">
      <c r="A3" s="81" t="s">
        <v>123</v>
      </c>
      <c r="B3" s="82"/>
      <c r="C3" s="83">
        <v>3.4482758620689655E-2</v>
      </c>
      <c r="D3" s="84">
        <v>31200</v>
      </c>
      <c r="E3" s="84">
        <v>31538</v>
      </c>
      <c r="F3" s="84">
        <v>35984</v>
      </c>
      <c r="G3" s="84">
        <v>8404</v>
      </c>
      <c r="H3" s="84" t="s">
        <v>183</v>
      </c>
      <c r="I3" s="85" t="s">
        <v>103</v>
      </c>
      <c r="J3" s="85" t="s">
        <v>124</v>
      </c>
      <c r="K3" s="85" t="s">
        <v>105</v>
      </c>
      <c r="L3" s="85"/>
      <c r="M3" s="85">
        <f>E3/'Data &amp; Source'!$U$23</f>
        <v>4.8036706392120144E-3</v>
      </c>
      <c r="N3" s="85">
        <f t="shared" ref="N3:N49" si="0">E3/SUM($E$3:$E$49)</f>
        <v>5.7063958206413461E-3</v>
      </c>
      <c r="O3" s="75">
        <f t="shared" ref="O3:O49" si="1">N3*D3</f>
        <v>178.03954960401001</v>
      </c>
      <c r="P3" s="75">
        <f>SUM(O3:O49)</f>
        <v>22470.120606371049</v>
      </c>
      <c r="Q3" s="75">
        <f t="shared" ref="Q3:Q49" si="2">C3*N3</f>
        <v>1.967722696772878E-4</v>
      </c>
      <c r="R3" s="88">
        <f>SUM(Q3:Q49)</f>
        <v>3.3543325192637377E-2</v>
      </c>
    </row>
    <row r="4" spans="1:21" x14ac:dyDescent="0.25">
      <c r="A4" s="81" t="s">
        <v>126</v>
      </c>
      <c r="B4" s="82"/>
      <c r="C4" s="83">
        <v>3.4482758620689655E-2</v>
      </c>
      <c r="D4" s="84">
        <v>32400</v>
      </c>
      <c r="E4" s="84">
        <v>25792</v>
      </c>
      <c r="F4" s="84">
        <v>29643</v>
      </c>
      <c r="G4" s="84">
        <v>7152</v>
      </c>
      <c r="H4" s="84" t="s">
        <v>183</v>
      </c>
      <c r="I4" s="85" t="s">
        <v>103</v>
      </c>
      <c r="J4" s="85" t="s">
        <v>124</v>
      </c>
      <c r="K4" s="85" t="s">
        <v>105</v>
      </c>
      <c r="L4" s="85"/>
      <c r="M4" s="85">
        <f>E4/'Data &amp; Source'!$U$23</f>
        <v>3.9284759060991903E-3</v>
      </c>
      <c r="N4" s="85">
        <f t="shared" si="0"/>
        <v>4.6667309596671192E-3</v>
      </c>
      <c r="O4" s="75">
        <f t="shared" si="1"/>
        <v>151.20208309321467</v>
      </c>
      <c r="P4" s="75"/>
      <c r="Q4" s="75">
        <f t="shared" si="2"/>
        <v>1.6092175722990065E-4</v>
      </c>
    </row>
    <row r="5" spans="1:21" x14ac:dyDescent="0.25">
      <c r="A5" s="81" t="s">
        <v>125</v>
      </c>
      <c r="B5" s="82"/>
      <c r="C5" s="83">
        <v>3.5714285714285712E-2</v>
      </c>
      <c r="D5" s="84">
        <v>33150</v>
      </c>
      <c r="E5" s="84">
        <v>15519</v>
      </c>
      <c r="F5" s="84">
        <v>13020</v>
      </c>
      <c r="G5" s="84">
        <v>3381</v>
      </c>
      <c r="H5" s="84" t="s">
        <v>183</v>
      </c>
      <c r="I5" s="85" t="s">
        <v>103</v>
      </c>
      <c r="J5" s="85" t="s">
        <v>124</v>
      </c>
      <c r="K5" s="85" t="s">
        <v>105</v>
      </c>
      <c r="L5" s="85"/>
      <c r="M5" s="85">
        <f>E5/'Data &amp; Source'!$U$23</f>
        <v>2.3637568853424836E-3</v>
      </c>
      <c r="N5" s="85">
        <f t="shared" si="0"/>
        <v>2.8079636229479694E-3</v>
      </c>
      <c r="O5" s="75">
        <f t="shared" si="1"/>
        <v>93.083994100725178</v>
      </c>
      <c r="P5" s="75"/>
      <c r="Q5" s="75">
        <f t="shared" si="2"/>
        <v>1.0028441510528461E-4</v>
      </c>
    </row>
    <row r="6" spans="1:21" x14ac:dyDescent="0.25">
      <c r="A6" s="85" t="s">
        <v>17</v>
      </c>
      <c r="B6" s="86"/>
      <c r="C6" s="86">
        <v>2.7777777777777776E-2</v>
      </c>
      <c r="D6" s="84">
        <v>18740</v>
      </c>
      <c r="E6" s="84">
        <v>366927</v>
      </c>
      <c r="F6" s="84">
        <v>335384</v>
      </c>
      <c r="G6" s="84">
        <v>88390</v>
      </c>
      <c r="H6" s="84" t="s">
        <v>183</v>
      </c>
      <c r="I6" s="85" t="s">
        <v>103</v>
      </c>
      <c r="J6" s="85"/>
      <c r="K6" s="85" t="s">
        <v>105</v>
      </c>
      <c r="L6" s="85"/>
      <c r="M6" s="85">
        <f>E6/'Data &amp; Source'!$U$23</f>
        <v>5.5888022596047519E-2</v>
      </c>
      <c r="N6" s="85">
        <f t="shared" si="0"/>
        <v>6.6390725451216534E-2</v>
      </c>
      <c r="O6" s="75">
        <f t="shared" si="1"/>
        <v>1244.1621949557978</v>
      </c>
      <c r="P6" s="75"/>
      <c r="Q6" s="75">
        <f t="shared" si="2"/>
        <v>1.844186818089348E-3</v>
      </c>
    </row>
    <row r="7" spans="1:21" x14ac:dyDescent="0.25">
      <c r="A7" s="85" t="s">
        <v>4</v>
      </c>
      <c r="B7" s="86"/>
      <c r="C7" s="86">
        <v>3.3333333333333333E-2</v>
      </c>
      <c r="D7" s="84">
        <v>18500</v>
      </c>
      <c r="E7" s="84">
        <v>378210</v>
      </c>
      <c r="F7" s="84">
        <v>368431</v>
      </c>
      <c r="G7" s="84">
        <v>64430</v>
      </c>
      <c r="H7" s="84" t="s">
        <v>183</v>
      </c>
      <c r="I7" s="85" t="s">
        <v>103</v>
      </c>
      <c r="J7" s="85"/>
      <c r="K7" s="85" t="s">
        <v>105</v>
      </c>
      <c r="L7" s="85"/>
      <c r="M7" s="85">
        <f>E7/'Data &amp; Source'!$U$23</f>
        <v>5.7606578491228862E-2</v>
      </c>
      <c r="N7" s="85">
        <f t="shared" si="0"/>
        <v>6.8432239308921408E-2</v>
      </c>
      <c r="O7" s="75">
        <f t="shared" si="1"/>
        <v>1265.996427215046</v>
      </c>
      <c r="P7" s="75"/>
      <c r="Q7" s="75">
        <f t="shared" si="2"/>
        <v>2.2810746436307135E-3</v>
      </c>
    </row>
    <row r="8" spans="1:21" x14ac:dyDescent="0.25">
      <c r="A8" s="85" t="s">
        <v>29</v>
      </c>
      <c r="B8" s="86"/>
      <c r="C8" s="86">
        <v>3.125E-2</v>
      </c>
      <c r="D8" s="84">
        <v>16990</v>
      </c>
      <c r="E8" s="84">
        <v>214709</v>
      </c>
      <c r="F8" s="84">
        <v>203509</v>
      </c>
      <c r="G8" s="84">
        <v>40771</v>
      </c>
      <c r="H8" s="84" t="s">
        <v>183</v>
      </c>
      <c r="I8" s="85" t="s">
        <v>103</v>
      </c>
      <c r="J8" s="85"/>
      <c r="K8" s="85" t="s">
        <v>105</v>
      </c>
      <c r="L8" s="85"/>
      <c r="M8" s="85">
        <f>E8/'Data &amp; Source'!$U$23</f>
        <v>3.270313016914745E-2</v>
      </c>
      <c r="N8" s="85">
        <f t="shared" si="0"/>
        <v>3.884883443002355E-2</v>
      </c>
      <c r="O8" s="75">
        <f t="shared" si="1"/>
        <v>660.04169696610006</v>
      </c>
      <c r="P8" s="75"/>
      <c r="Q8" s="75">
        <f t="shared" si="2"/>
        <v>1.2140260759382359E-3</v>
      </c>
    </row>
    <row r="9" spans="1:21" x14ac:dyDescent="0.25">
      <c r="A9" s="85" t="s">
        <v>36</v>
      </c>
      <c r="B9" s="86"/>
      <c r="C9" s="86">
        <v>2.8571428571428571E-2</v>
      </c>
      <c r="D9" s="84">
        <v>17150</v>
      </c>
      <c r="E9" s="84">
        <v>208319</v>
      </c>
      <c r="F9" s="84">
        <v>241706</v>
      </c>
      <c r="G9" s="84">
        <v>20547</v>
      </c>
      <c r="H9" s="84" t="s">
        <v>183</v>
      </c>
      <c r="I9" s="85" t="s">
        <v>103</v>
      </c>
      <c r="J9" s="85"/>
      <c r="K9" s="85" t="s">
        <v>105</v>
      </c>
      <c r="L9" s="85"/>
      <c r="M9" s="85">
        <f>E9/'Data &amp; Source'!$U$23</f>
        <v>3.1729845389371791E-2</v>
      </c>
      <c r="N9" s="85">
        <f t="shared" si="0"/>
        <v>3.7692646044777241E-2</v>
      </c>
      <c r="O9" s="75">
        <f t="shared" si="1"/>
        <v>646.42887966792966</v>
      </c>
      <c r="P9" s="75"/>
      <c r="Q9" s="75">
        <f t="shared" si="2"/>
        <v>1.0769327441364925E-3</v>
      </c>
    </row>
    <row r="10" spans="1:21" x14ac:dyDescent="0.25">
      <c r="A10" s="85" t="s">
        <v>45</v>
      </c>
      <c r="B10" s="86"/>
      <c r="C10" s="86">
        <v>2.7027027027027029E-2</v>
      </c>
      <c r="D10" s="84">
        <v>16975</v>
      </c>
      <c r="E10" s="84">
        <v>188876</v>
      </c>
      <c r="F10" s="84">
        <v>226602</v>
      </c>
      <c r="G10" s="84"/>
      <c r="H10" s="84" t="s">
        <v>183</v>
      </c>
      <c r="I10" s="85" t="s">
        <v>103</v>
      </c>
      <c r="J10" s="85"/>
      <c r="K10" s="85" t="s">
        <v>105</v>
      </c>
      <c r="L10" s="85"/>
      <c r="M10" s="85">
        <f>E10/'Data &amp; Source'!$U$23</f>
        <v>2.8768409399829043E-2</v>
      </c>
      <c r="N10" s="85">
        <f t="shared" si="0"/>
        <v>3.4174685047227309E-2</v>
      </c>
      <c r="O10" s="75">
        <f t="shared" si="1"/>
        <v>580.1152786766836</v>
      </c>
      <c r="P10" s="75"/>
      <c r="Q10" s="75">
        <f t="shared" si="2"/>
        <v>9.2364013641154893E-4</v>
      </c>
    </row>
    <row r="11" spans="1:21" x14ac:dyDescent="0.25">
      <c r="A11" s="85" t="s">
        <v>52</v>
      </c>
      <c r="B11" s="86"/>
      <c r="C11" s="86">
        <v>2.9411764705882353E-2</v>
      </c>
      <c r="D11" s="84">
        <v>16775</v>
      </c>
      <c r="E11" s="84">
        <v>168789</v>
      </c>
      <c r="F11" s="84">
        <v>202478</v>
      </c>
      <c r="G11" s="84"/>
      <c r="H11" s="84" t="s">
        <v>183</v>
      </c>
      <c r="I11" s="85" t="s">
        <v>103</v>
      </c>
      <c r="J11" s="85"/>
      <c r="K11" s="85" t="s">
        <v>105</v>
      </c>
      <c r="L11" s="85"/>
      <c r="M11" s="85">
        <f>E11/'Data &amp; Source'!$U$23</f>
        <v>2.570888336362346E-2</v>
      </c>
      <c r="N11" s="85">
        <f t="shared" si="0"/>
        <v>3.0540200525405296E-2</v>
      </c>
      <c r="O11" s="75">
        <f t="shared" si="1"/>
        <v>512.31186381367388</v>
      </c>
      <c r="P11" s="75"/>
      <c r="Q11" s="75">
        <f t="shared" si="2"/>
        <v>8.982411919236852E-4</v>
      </c>
    </row>
    <row r="12" spans="1:21" x14ac:dyDescent="0.25">
      <c r="A12" s="85" t="s">
        <v>73</v>
      </c>
      <c r="B12" s="86"/>
      <c r="C12" s="86">
        <v>3.0303030303030304E-2</v>
      </c>
      <c r="D12" s="84">
        <v>17895</v>
      </c>
      <c r="E12" s="84">
        <v>121107</v>
      </c>
      <c r="F12" s="84">
        <v>131109</v>
      </c>
      <c r="G12" s="84"/>
      <c r="H12" s="84" t="s">
        <v>183</v>
      </c>
      <c r="I12" s="85" t="s">
        <v>103</v>
      </c>
      <c r="J12" s="85"/>
      <c r="K12" s="85" t="s">
        <v>105</v>
      </c>
      <c r="L12" s="85"/>
      <c r="M12" s="85">
        <f>E12/'Data &amp; Source'!$U$23</f>
        <v>1.8446259753410153E-2</v>
      </c>
      <c r="N12" s="85">
        <f t="shared" si="0"/>
        <v>2.1912755363384221E-2</v>
      </c>
      <c r="O12" s="75">
        <f t="shared" si="1"/>
        <v>392.12875722776062</v>
      </c>
      <c r="P12" s="75"/>
      <c r="Q12" s="75">
        <f t="shared" si="2"/>
        <v>6.6402288979952183E-4</v>
      </c>
    </row>
    <row r="13" spans="1:21" x14ac:dyDescent="0.25">
      <c r="A13" s="85" t="s">
        <v>79</v>
      </c>
      <c r="B13" s="86"/>
      <c r="C13" s="86">
        <v>3.125E-2</v>
      </c>
      <c r="D13" s="84">
        <v>16600</v>
      </c>
      <c r="E13" s="84">
        <v>103292</v>
      </c>
      <c r="F13" s="84">
        <v>78919</v>
      </c>
      <c r="G13" s="84"/>
      <c r="H13" s="84" t="s">
        <v>183</v>
      </c>
      <c r="I13" s="85" t="s">
        <v>103</v>
      </c>
      <c r="J13" s="85"/>
      <c r="K13" s="85" t="s">
        <v>105</v>
      </c>
      <c r="L13" s="85"/>
      <c r="M13" s="85">
        <f>E13/'Data &amp; Source'!$U$23</f>
        <v>1.573279052779147E-2</v>
      </c>
      <c r="N13" s="85">
        <f t="shared" si="0"/>
        <v>1.8689360045205338E-2</v>
      </c>
      <c r="O13" s="75">
        <f t="shared" si="1"/>
        <v>310.24337675040863</v>
      </c>
      <c r="P13" s="75"/>
      <c r="Q13" s="75">
        <f t="shared" si="2"/>
        <v>5.8404250141266682E-4</v>
      </c>
    </row>
    <row r="14" spans="1:21" x14ac:dyDescent="0.25">
      <c r="A14" s="85" t="s">
        <v>83</v>
      </c>
      <c r="B14" s="86"/>
      <c r="C14" s="86">
        <v>3.125E-2</v>
      </c>
      <c r="D14" s="84">
        <v>17845</v>
      </c>
      <c r="E14" s="84">
        <v>95567</v>
      </c>
      <c r="F14" s="84">
        <v>107884</v>
      </c>
      <c r="G14" s="84"/>
      <c r="H14" s="84" t="s">
        <v>183</v>
      </c>
      <c r="I14" s="85" t="s">
        <v>103</v>
      </c>
      <c r="J14" s="85"/>
      <c r="K14" s="85" t="s">
        <v>105</v>
      </c>
      <c r="L14" s="85"/>
      <c r="M14" s="85">
        <f>E14/'Data &amp; Source'!$U$23</f>
        <v>1.4556166909048594E-2</v>
      </c>
      <c r="N14" s="85">
        <f t="shared" si="0"/>
        <v>1.7291620565388785E-2</v>
      </c>
      <c r="O14" s="75">
        <f t="shared" si="1"/>
        <v>308.56896898936287</v>
      </c>
      <c r="P14" s="75"/>
      <c r="Q14" s="75">
        <f t="shared" si="2"/>
        <v>5.4036314266839953E-4</v>
      </c>
    </row>
    <row r="15" spans="1:21" x14ac:dyDescent="0.25">
      <c r="A15" s="85" t="s">
        <v>86</v>
      </c>
      <c r="B15" s="86"/>
      <c r="C15" s="86">
        <v>3.125E-2</v>
      </c>
      <c r="D15" s="84">
        <v>18395</v>
      </c>
      <c r="E15" s="84">
        <v>88517</v>
      </c>
      <c r="F15" s="84">
        <v>100519</v>
      </c>
      <c r="G15" s="84"/>
      <c r="H15" s="84" t="s">
        <v>183</v>
      </c>
      <c r="I15" s="85" t="s">
        <v>103</v>
      </c>
      <c r="J15" s="85"/>
      <c r="K15" s="85" t="s">
        <v>105</v>
      </c>
      <c r="L15" s="85"/>
      <c r="M15" s="85">
        <f>E15/'Data &amp; Source'!$U$23</f>
        <v>1.3482355062817232E-2</v>
      </c>
      <c r="N15" s="85">
        <f t="shared" si="0"/>
        <v>1.6016013661478534E-2</v>
      </c>
      <c r="O15" s="75">
        <f t="shared" si="1"/>
        <v>294.61457130289762</v>
      </c>
      <c r="P15" s="75"/>
      <c r="Q15" s="75">
        <f t="shared" si="2"/>
        <v>5.0050042692120419E-4</v>
      </c>
    </row>
    <row r="16" spans="1:21" x14ac:dyDescent="0.25">
      <c r="A16" s="85" t="s">
        <v>91</v>
      </c>
      <c r="B16" s="86"/>
      <c r="C16" s="86">
        <v>3.4482758620689655E-2</v>
      </c>
      <c r="D16" s="84">
        <v>19885</v>
      </c>
      <c r="E16" s="84">
        <v>57950</v>
      </c>
      <c r="F16" s="84">
        <v>65308</v>
      </c>
      <c r="G16" s="84"/>
      <c r="H16" s="84" t="s">
        <v>183</v>
      </c>
      <c r="I16" s="85" t="s">
        <v>103</v>
      </c>
      <c r="J16" s="85"/>
      <c r="K16" s="85" t="s">
        <v>105</v>
      </c>
      <c r="L16" s="85"/>
      <c r="M16" s="85">
        <f>E16/'Data &amp; Source'!$U$23</f>
        <v>8.8265810622847433E-3</v>
      </c>
      <c r="N16" s="85">
        <f t="shared" si="0"/>
        <v>1.0485307812992771E-2</v>
      </c>
      <c r="O16" s="75">
        <f t="shared" si="1"/>
        <v>208.50034586136127</v>
      </c>
      <c r="P16" s="75"/>
      <c r="Q16" s="75">
        <f t="shared" si="2"/>
        <v>3.6156233837906105E-4</v>
      </c>
    </row>
    <row r="17" spans="1:17" x14ac:dyDescent="0.25">
      <c r="A17" s="81" t="s">
        <v>50</v>
      </c>
      <c r="B17" s="82"/>
      <c r="C17" s="83">
        <v>3.5714285714285712E-2</v>
      </c>
      <c r="D17" s="84">
        <v>39500</v>
      </c>
      <c r="E17" s="84">
        <v>77167</v>
      </c>
      <c r="F17" s="84">
        <v>86080</v>
      </c>
      <c r="G17" s="84">
        <v>20500</v>
      </c>
      <c r="H17" s="84" t="s">
        <v>183</v>
      </c>
      <c r="I17" s="85" t="s">
        <v>103</v>
      </c>
      <c r="J17" s="85" t="s">
        <v>124</v>
      </c>
      <c r="K17" s="85" t="s">
        <v>105</v>
      </c>
      <c r="L17" s="85"/>
      <c r="M17" s="85">
        <f>E17/'Data &amp; Source'!$U$23</f>
        <v>1.1753594147253266E-2</v>
      </c>
      <c r="N17" s="85">
        <f t="shared" si="0"/>
        <v>1.3962377014757776E-2</v>
      </c>
      <c r="O17" s="75">
        <f t="shared" si="1"/>
        <v>551.51389208293222</v>
      </c>
      <c r="P17" s="75"/>
      <c r="Q17" s="75">
        <f t="shared" si="2"/>
        <v>4.9865632195563489E-4</v>
      </c>
    </row>
    <row r="18" spans="1:17" x14ac:dyDescent="0.25">
      <c r="A18" s="81" t="s">
        <v>64</v>
      </c>
      <c r="B18" s="82"/>
      <c r="C18" s="83">
        <v>2.7777777777777776E-2</v>
      </c>
      <c r="D18" s="84">
        <v>33450</v>
      </c>
      <c r="E18" s="84">
        <v>70458</v>
      </c>
      <c r="F18" s="84">
        <v>94540</v>
      </c>
      <c r="G18" s="84">
        <v>19690</v>
      </c>
      <c r="H18" s="84" t="s">
        <v>183</v>
      </c>
      <c r="I18" s="85" t="s">
        <v>103</v>
      </c>
      <c r="J18" s="85" t="s">
        <v>124</v>
      </c>
      <c r="K18" s="85" t="s">
        <v>105</v>
      </c>
      <c r="L18" s="85"/>
      <c r="M18" s="85">
        <f>E18/'Data &amp; Source'!$U$23</f>
        <v>1.073172128535735E-2</v>
      </c>
      <c r="N18" s="85">
        <f t="shared" si="0"/>
        <v>1.2748469678823895E-2</v>
      </c>
      <c r="O18" s="75">
        <f t="shared" si="1"/>
        <v>426.43631075665928</v>
      </c>
      <c r="P18" s="75"/>
      <c r="Q18" s="75">
        <f t="shared" si="2"/>
        <v>3.5412415774510819E-4</v>
      </c>
    </row>
    <row r="19" spans="1:17" x14ac:dyDescent="0.25">
      <c r="A19" s="81" t="s">
        <v>127</v>
      </c>
      <c r="B19" s="86"/>
      <c r="C19" s="83">
        <v>2.5000000000000001E-2</v>
      </c>
      <c r="D19" s="84">
        <v>38900</v>
      </c>
      <c r="E19" s="84">
        <v>58299</v>
      </c>
      <c r="F19" s="84">
        <v>64969</v>
      </c>
      <c r="G19" s="84">
        <v>12601</v>
      </c>
      <c r="H19" s="84" t="s">
        <v>183</v>
      </c>
      <c r="I19" s="85" t="s">
        <v>114</v>
      </c>
      <c r="J19" s="85" t="s">
        <v>124</v>
      </c>
      <c r="K19" s="85" t="s">
        <v>105</v>
      </c>
      <c r="L19" s="85"/>
      <c r="M19" s="85">
        <f>E19/'Data &amp; Source'!$U$23</f>
        <v>8.8797385565166208E-3</v>
      </c>
      <c r="N19" s="85">
        <f t="shared" si="0"/>
        <v>1.0548454878165065E-2</v>
      </c>
      <c r="O19" s="75">
        <f t="shared" si="1"/>
        <v>410.33489476062107</v>
      </c>
      <c r="P19" s="75"/>
      <c r="Q19" s="75">
        <f t="shared" si="2"/>
        <v>2.6371137195412665E-4</v>
      </c>
    </row>
    <row r="20" spans="1:17" x14ac:dyDescent="0.25">
      <c r="A20" s="81" t="s">
        <v>128</v>
      </c>
      <c r="B20" s="82"/>
      <c r="C20" s="83">
        <v>3.8461538461538464E-2</v>
      </c>
      <c r="D20" s="84">
        <v>37825</v>
      </c>
      <c r="E20" s="84">
        <v>37289</v>
      </c>
      <c r="F20" s="84">
        <v>46430</v>
      </c>
      <c r="G20" s="84">
        <v>11818</v>
      </c>
      <c r="H20" s="84" t="s">
        <v>183</v>
      </c>
      <c r="I20" s="85" t="s">
        <v>103</v>
      </c>
      <c r="J20" s="85" t="s">
        <v>124</v>
      </c>
      <c r="K20" s="85" t="s">
        <v>105</v>
      </c>
      <c r="L20" s="85"/>
      <c r="M20" s="85">
        <f>E20/'Data &amp; Source'!$U$23</f>
        <v>5.6796269410101085E-3</v>
      </c>
      <c r="N20" s="85">
        <f t="shared" si="0"/>
        <v>6.7469653673630278E-3</v>
      </c>
      <c r="O20" s="75">
        <f t="shared" si="1"/>
        <v>255.20396502050653</v>
      </c>
      <c r="P20" s="75"/>
      <c r="Q20" s="75">
        <f t="shared" si="2"/>
        <v>2.5949866797550107E-4</v>
      </c>
    </row>
    <row r="21" spans="1:17" x14ac:dyDescent="0.25">
      <c r="A21" s="81" t="s">
        <v>129</v>
      </c>
      <c r="B21" s="82"/>
      <c r="C21" s="83">
        <v>3.7037037037037035E-2</v>
      </c>
      <c r="D21" s="84">
        <v>41950</v>
      </c>
      <c r="E21" s="84">
        <v>35763</v>
      </c>
      <c r="F21" s="84">
        <v>46069</v>
      </c>
      <c r="G21" s="84">
        <v>10997</v>
      </c>
      <c r="H21" s="84" t="s">
        <v>183</v>
      </c>
      <c r="I21" s="85" t="s">
        <v>119</v>
      </c>
      <c r="J21" s="85" t="s">
        <v>124</v>
      </c>
      <c r="K21" s="85" t="s">
        <v>105</v>
      </c>
      <c r="L21" s="85"/>
      <c r="M21" s="85">
        <f>E21/'Data &amp; Source'!$U$23</f>
        <v>5.4471961782655608E-3</v>
      </c>
      <c r="N21" s="85">
        <f t="shared" si="0"/>
        <v>6.4708552772400427E-3</v>
      </c>
      <c r="O21" s="75">
        <f t="shared" si="1"/>
        <v>271.45237888021978</v>
      </c>
      <c r="P21" s="75"/>
      <c r="Q21" s="75">
        <f t="shared" si="2"/>
        <v>2.3966130656444601E-4</v>
      </c>
    </row>
    <row r="22" spans="1:17" x14ac:dyDescent="0.25">
      <c r="A22" s="81" t="s">
        <v>41</v>
      </c>
      <c r="B22" s="87"/>
      <c r="C22" s="83">
        <v>4.3478260869565216E-2</v>
      </c>
      <c r="D22" s="84">
        <v>27995</v>
      </c>
      <c r="E22" s="84">
        <v>95437</v>
      </c>
      <c r="F22" s="84">
        <v>96633</v>
      </c>
      <c r="G22" s="84">
        <v>8566</v>
      </c>
      <c r="H22" s="84" t="s">
        <v>183</v>
      </c>
      <c r="I22" s="85" t="s">
        <v>120</v>
      </c>
      <c r="J22" s="85"/>
      <c r="K22" s="85" t="s">
        <v>105</v>
      </c>
      <c r="L22" s="85"/>
      <c r="M22" s="85">
        <f>E22/'Data &amp; Source'!$U$23</f>
        <v>1.4536366123231561E-2</v>
      </c>
      <c r="N22" s="85">
        <f t="shared" si="0"/>
        <v>1.726809873595498E-2</v>
      </c>
      <c r="O22" s="75">
        <f t="shared" si="1"/>
        <v>483.42042411305965</v>
      </c>
      <c r="P22" s="75"/>
      <c r="Q22" s="75">
        <f t="shared" si="2"/>
        <v>7.5078690156325995E-4</v>
      </c>
    </row>
    <row r="23" spans="1:17" x14ac:dyDescent="0.25">
      <c r="A23" s="81" t="s">
        <v>121</v>
      </c>
      <c r="B23" s="82"/>
      <c r="C23" s="83">
        <v>4.1666666666666664E-2</v>
      </c>
      <c r="D23" s="84">
        <v>33300</v>
      </c>
      <c r="E23" s="84">
        <v>48080</v>
      </c>
      <c r="F23" s="84">
        <v>60065</v>
      </c>
      <c r="G23" s="84">
        <v>5574</v>
      </c>
      <c r="H23" s="84" t="s">
        <v>183</v>
      </c>
      <c r="I23" s="85" t="s">
        <v>120</v>
      </c>
      <c r="J23" s="85"/>
      <c r="K23" s="85" t="s">
        <v>105</v>
      </c>
      <c r="L23" s="85"/>
      <c r="M23" s="85">
        <f>E23/'Data &amp; Source'!$U$23</f>
        <v>7.3232444775608359E-3</v>
      </c>
      <c r="N23" s="85">
        <f t="shared" si="0"/>
        <v>8.6994581475184195E-3</v>
      </c>
      <c r="O23" s="75">
        <f t="shared" si="1"/>
        <v>289.69195631236335</v>
      </c>
      <c r="P23" s="75"/>
      <c r="Q23" s="75">
        <f t="shared" si="2"/>
        <v>3.6247742281326746E-4</v>
      </c>
    </row>
    <row r="24" spans="1:17" x14ac:dyDescent="0.25">
      <c r="A24" s="81" t="s">
        <v>32</v>
      </c>
      <c r="B24" s="82"/>
      <c r="C24" s="83">
        <v>0.04</v>
      </c>
      <c r="D24" s="84">
        <v>27500</v>
      </c>
      <c r="E24" s="84">
        <v>97006</v>
      </c>
      <c r="F24" s="84">
        <v>116825</v>
      </c>
      <c r="G24" s="84">
        <v>5089</v>
      </c>
      <c r="H24" s="84" t="s">
        <v>183</v>
      </c>
      <c r="I24" s="85" t="s">
        <v>120</v>
      </c>
      <c r="J24" s="85"/>
      <c r="K24" s="85" t="s">
        <v>105</v>
      </c>
      <c r="L24" s="85"/>
      <c r="M24" s="85">
        <f>E24/'Data &amp; Source'!$U$23</f>
        <v>1.4775346376669435E-2</v>
      </c>
      <c r="N24" s="85">
        <f t="shared" si="0"/>
        <v>1.755198912350607E-2</v>
      </c>
      <c r="O24" s="75">
        <f t="shared" si="1"/>
        <v>482.67970089641693</v>
      </c>
      <c r="P24" s="75"/>
      <c r="Q24" s="75">
        <f t="shared" si="2"/>
        <v>7.0207956494024279E-4</v>
      </c>
    </row>
    <row r="25" spans="1:17" x14ac:dyDescent="0.25">
      <c r="A25" s="81" t="s">
        <v>78</v>
      </c>
      <c r="B25" s="82"/>
      <c r="C25" s="83">
        <v>0.04</v>
      </c>
      <c r="D25" s="84">
        <v>32610</v>
      </c>
      <c r="E25" s="84">
        <v>62670</v>
      </c>
      <c r="F25" s="84">
        <v>40359</v>
      </c>
      <c r="G25" s="84">
        <v>3814</v>
      </c>
      <c r="H25" s="84" t="s">
        <v>183</v>
      </c>
      <c r="I25" s="85" t="s">
        <v>120</v>
      </c>
      <c r="J25" s="85"/>
      <c r="K25" s="85" t="s">
        <v>105</v>
      </c>
      <c r="L25" s="85"/>
      <c r="M25" s="85">
        <f>E25/'Data &amp; Source'!$U$23</f>
        <v>9.545501901180066E-3</v>
      </c>
      <c r="N25" s="85">
        <f t="shared" si="0"/>
        <v>1.133933115858942E-2</v>
      </c>
      <c r="O25" s="75">
        <f t="shared" si="1"/>
        <v>369.77558908160103</v>
      </c>
      <c r="P25" s="75"/>
      <c r="Q25" s="75">
        <f t="shared" si="2"/>
        <v>4.5357324634357681E-4</v>
      </c>
    </row>
    <row r="26" spans="1:17" x14ac:dyDescent="0.25">
      <c r="A26" s="81" t="s">
        <v>122</v>
      </c>
      <c r="B26" s="82"/>
      <c r="C26" s="83">
        <v>4.3478260869565216E-2</v>
      </c>
      <c r="D26" s="84">
        <v>35675</v>
      </c>
      <c r="E26" s="84">
        <v>53241</v>
      </c>
      <c r="F26" s="84">
        <v>53025</v>
      </c>
      <c r="G26" s="84">
        <v>3509</v>
      </c>
      <c r="H26" s="84" t="s">
        <v>183</v>
      </c>
      <c r="I26" s="85" t="s">
        <v>120</v>
      </c>
      <c r="J26" s="85"/>
      <c r="K26" s="85" t="s">
        <v>105</v>
      </c>
      <c r="L26" s="85"/>
      <c r="M26" s="85">
        <f>E26/'Data &amp; Source'!$U$23</f>
        <v>8.1093356744970143E-3</v>
      </c>
      <c r="N26" s="85">
        <f t="shared" si="0"/>
        <v>9.633274776040519E-3</v>
      </c>
      <c r="O26" s="75">
        <f t="shared" si="1"/>
        <v>343.66707763524551</v>
      </c>
      <c r="P26" s="75"/>
      <c r="Q26" s="75">
        <f t="shared" si="2"/>
        <v>4.1883803374089212E-4</v>
      </c>
    </row>
    <row r="27" spans="1:17" x14ac:dyDescent="0.25">
      <c r="A27" s="81" t="s">
        <v>21</v>
      </c>
      <c r="B27" s="87"/>
      <c r="C27" s="83">
        <v>3.3333333333333333E-2</v>
      </c>
      <c r="D27" s="84">
        <v>22455</v>
      </c>
      <c r="E27" s="84">
        <v>345225</v>
      </c>
      <c r="F27" s="84">
        <v>355557</v>
      </c>
      <c r="G27" s="84">
        <v>76184</v>
      </c>
      <c r="H27" s="84" t="s">
        <v>183</v>
      </c>
      <c r="I27" s="85" t="s">
        <v>114</v>
      </c>
      <c r="J27" s="85"/>
      <c r="K27" s="85" t="s">
        <v>105</v>
      </c>
      <c r="L27" s="85"/>
      <c r="M27" s="85">
        <f>E27/'Data &amp; Source'!$U$23</f>
        <v>5.2582509874499576E-2</v>
      </c>
      <c r="N27" s="85">
        <f t="shared" si="0"/>
        <v>6.2464027432966855E-2</v>
      </c>
      <c r="O27" s="75">
        <f t="shared" si="1"/>
        <v>1402.6297360072708</v>
      </c>
      <c r="P27" s="75"/>
      <c r="Q27" s="75">
        <f t="shared" si="2"/>
        <v>2.0821342477655618E-3</v>
      </c>
    </row>
    <row r="28" spans="1:17" x14ac:dyDescent="0.25">
      <c r="A28" s="81" t="s">
        <v>9</v>
      </c>
      <c r="B28" s="87"/>
      <c r="C28" s="83">
        <v>3.7037037037037035E-2</v>
      </c>
      <c r="D28" s="84">
        <v>23070</v>
      </c>
      <c r="E28" s="84">
        <v>388618</v>
      </c>
      <c r="F28" s="84">
        <v>429355</v>
      </c>
      <c r="G28" s="84">
        <v>58973</v>
      </c>
      <c r="H28" s="84" t="s">
        <v>183</v>
      </c>
      <c r="I28" s="85" t="s">
        <v>114</v>
      </c>
      <c r="J28" s="85"/>
      <c r="K28" s="85" t="s">
        <v>105</v>
      </c>
      <c r="L28" s="85"/>
      <c r="M28" s="85">
        <f>E28/'Data &amp; Source'!$U$23</f>
        <v>5.9191859866487874E-2</v>
      </c>
      <c r="N28" s="85">
        <f t="shared" si="0"/>
        <v>7.0315433160821825E-2</v>
      </c>
      <c r="O28" s="75">
        <f t="shared" si="1"/>
        <v>1622.1770430201595</v>
      </c>
      <c r="P28" s="75"/>
      <c r="Q28" s="75">
        <f t="shared" si="2"/>
        <v>2.60427530225266E-3</v>
      </c>
    </row>
    <row r="29" spans="1:17" x14ac:dyDescent="0.25">
      <c r="A29" s="81" t="s">
        <v>31</v>
      </c>
      <c r="B29" s="87"/>
      <c r="C29" s="83">
        <v>3.2258064516129031E-2</v>
      </c>
      <c r="D29" s="84">
        <v>22500</v>
      </c>
      <c r="E29" s="84">
        <v>307380</v>
      </c>
      <c r="F29" s="84">
        <v>333398</v>
      </c>
      <c r="G29" s="84">
        <v>32729</v>
      </c>
      <c r="H29" s="84" t="s">
        <v>183</v>
      </c>
      <c r="I29" s="85" t="s">
        <v>114</v>
      </c>
      <c r="J29" s="85"/>
      <c r="K29" s="85" t="s">
        <v>105</v>
      </c>
      <c r="L29" s="85"/>
      <c r="M29" s="85">
        <f>E29/'Data &amp; Source'!$U$23</f>
        <v>4.6818196495687386E-2</v>
      </c>
      <c r="N29" s="85">
        <f t="shared" si="0"/>
        <v>5.5616461010486937E-2</v>
      </c>
      <c r="O29" s="75">
        <f t="shared" si="1"/>
        <v>1251.3703727359562</v>
      </c>
      <c r="P29" s="75"/>
      <c r="Q29" s="75">
        <f t="shared" si="2"/>
        <v>1.7940793874350624E-3</v>
      </c>
    </row>
    <row r="30" spans="1:17" x14ac:dyDescent="0.25">
      <c r="A30" s="81" t="s">
        <v>40</v>
      </c>
      <c r="B30" s="87"/>
      <c r="C30" s="83">
        <v>3.7037037037037035E-2</v>
      </c>
      <c r="D30" s="84">
        <v>22610</v>
      </c>
      <c r="E30" s="84">
        <v>265840</v>
      </c>
      <c r="F30" s="84">
        <v>300170</v>
      </c>
      <c r="G30" s="84">
        <v>29871</v>
      </c>
      <c r="H30" s="84" t="s">
        <v>183</v>
      </c>
      <c r="I30" s="85" t="s">
        <v>114</v>
      </c>
      <c r="J30" s="85"/>
      <c r="K30" s="85" t="s">
        <v>105</v>
      </c>
      <c r="L30" s="85"/>
      <c r="M30" s="85">
        <f>E30/'Data &amp; Source'!$U$23</f>
        <v>4.0491083858460328E-2</v>
      </c>
      <c r="N30" s="85">
        <f t="shared" si="0"/>
        <v>4.8100331820638449E-2</v>
      </c>
      <c r="O30" s="75">
        <f t="shared" si="1"/>
        <v>1087.5485024646352</v>
      </c>
      <c r="P30" s="75"/>
      <c r="Q30" s="75">
        <f t="shared" si="2"/>
        <v>1.7814937711347573E-3</v>
      </c>
    </row>
    <row r="31" spans="1:17" x14ac:dyDescent="0.25">
      <c r="A31" s="81" t="s">
        <v>49</v>
      </c>
      <c r="B31" s="87"/>
      <c r="C31" s="83">
        <v>3.3333333333333333E-2</v>
      </c>
      <c r="D31" s="84">
        <v>21680</v>
      </c>
      <c r="E31" s="84">
        <v>227881</v>
      </c>
      <c r="F31" s="84">
        <v>194854</v>
      </c>
      <c r="G31" s="84"/>
      <c r="H31" s="84" t="s">
        <v>183</v>
      </c>
      <c r="I31" s="85" t="s">
        <v>114</v>
      </c>
      <c r="J31" s="85"/>
      <c r="K31" s="85" t="s">
        <v>105</v>
      </c>
      <c r="L31" s="85"/>
      <c r="M31" s="85">
        <f>E31/'Data &amp; Source'!$U$23</f>
        <v>3.4709406713623978E-2</v>
      </c>
      <c r="N31" s="85">
        <f t="shared" si="0"/>
        <v>4.1232138563116576E-2</v>
      </c>
      <c r="O31" s="75">
        <f t="shared" si="1"/>
        <v>893.91276404836731</v>
      </c>
      <c r="P31" s="75"/>
      <c r="Q31" s="75">
        <f t="shared" si="2"/>
        <v>1.3744046187705525E-3</v>
      </c>
    </row>
    <row r="32" spans="1:17" x14ac:dyDescent="0.25">
      <c r="A32" s="81" t="s">
        <v>56</v>
      </c>
      <c r="B32" s="87"/>
      <c r="C32" s="83">
        <v>3.2258064516129031E-2</v>
      </c>
      <c r="D32" s="84">
        <v>21600</v>
      </c>
      <c r="E32" s="84">
        <v>199416</v>
      </c>
      <c r="F32" s="84">
        <v>213303</v>
      </c>
      <c r="G32" s="84">
        <v>23908</v>
      </c>
      <c r="H32" s="84" t="s">
        <v>183</v>
      </c>
      <c r="I32" s="85" t="s">
        <v>114</v>
      </c>
      <c r="J32" s="85"/>
      <c r="K32" s="85" t="s">
        <v>105</v>
      </c>
      <c r="L32" s="85"/>
      <c r="M32" s="85">
        <f>E32/'Data &amp; Source'!$U$23</f>
        <v>3.0373796188379192E-2</v>
      </c>
      <c r="N32" s="85">
        <f t="shared" si="0"/>
        <v>3.6081762602860508E-2</v>
      </c>
      <c r="O32" s="75">
        <f t="shared" si="1"/>
        <v>779.36607222178702</v>
      </c>
      <c r="P32" s="75"/>
      <c r="Q32" s="75">
        <f t="shared" si="2"/>
        <v>1.1639278258987261E-3</v>
      </c>
    </row>
    <row r="33" spans="1:17" x14ac:dyDescent="0.25">
      <c r="A33" s="81" t="s">
        <v>63</v>
      </c>
      <c r="B33" s="87"/>
      <c r="C33" s="83">
        <v>3.2258064516129031E-2</v>
      </c>
      <c r="D33" s="84">
        <v>22200</v>
      </c>
      <c r="E33" s="84">
        <v>124203</v>
      </c>
      <c r="F33" s="84">
        <v>159414</v>
      </c>
      <c r="G33" s="84"/>
      <c r="H33" s="84" t="s">
        <v>183</v>
      </c>
      <c r="I33" s="85" t="s">
        <v>114</v>
      </c>
      <c r="J33" s="85"/>
      <c r="K33" s="85" t="s">
        <v>105</v>
      </c>
      <c r="L33" s="85"/>
      <c r="M33" s="85">
        <f>E33/'Data &amp; Source'!$U$23</f>
        <v>1.8917823083329628E-2</v>
      </c>
      <c r="N33" s="85">
        <f t="shared" si="0"/>
        <v>2.2472936778207785E-2</v>
      </c>
      <c r="O33" s="75">
        <f t="shared" si="1"/>
        <v>498.89919647621281</v>
      </c>
      <c r="P33" s="75"/>
      <c r="Q33" s="75">
        <f t="shared" si="2"/>
        <v>7.2493344445831562E-4</v>
      </c>
    </row>
    <row r="34" spans="1:17" x14ac:dyDescent="0.25">
      <c r="A34" s="81" t="s">
        <v>70</v>
      </c>
      <c r="B34" s="87"/>
      <c r="C34" s="83">
        <v>3.7037037037037035E-2</v>
      </c>
      <c r="D34" s="84">
        <v>22440</v>
      </c>
      <c r="E34" s="84">
        <v>73002</v>
      </c>
      <c r="F34" s="84">
        <v>78207</v>
      </c>
      <c r="G34" s="84"/>
      <c r="H34" s="84" t="s">
        <v>183</v>
      </c>
      <c r="I34" s="85" t="s">
        <v>114</v>
      </c>
      <c r="J34" s="85"/>
      <c r="K34" s="85" t="s">
        <v>105</v>
      </c>
      <c r="L34" s="85"/>
      <c r="M34" s="85">
        <f>E34/'Data &amp; Source'!$U$23</f>
        <v>1.1119207432422964E-2</v>
      </c>
      <c r="N34" s="85">
        <f t="shared" si="0"/>
        <v>1.3208773787128529E-2</v>
      </c>
      <c r="O34" s="75">
        <f t="shared" si="1"/>
        <v>296.40488378316417</v>
      </c>
      <c r="P34" s="75"/>
      <c r="Q34" s="75">
        <f t="shared" si="2"/>
        <v>4.8921384396772324E-4</v>
      </c>
    </row>
    <row r="35" spans="1:17" x14ac:dyDescent="0.25">
      <c r="A35" s="81" t="s">
        <v>77</v>
      </c>
      <c r="B35" s="87"/>
      <c r="C35" s="83">
        <v>3.4482758620689655E-2</v>
      </c>
      <c r="D35" s="84">
        <v>21995</v>
      </c>
      <c r="E35" s="84">
        <v>65306</v>
      </c>
      <c r="F35" s="84">
        <v>60447</v>
      </c>
      <c r="G35" s="84"/>
      <c r="H35" s="84" t="s">
        <v>183</v>
      </c>
      <c r="I35" s="85" t="s">
        <v>114</v>
      </c>
      <c r="J35" s="85"/>
      <c r="K35" s="85" t="s">
        <v>105</v>
      </c>
      <c r="L35" s="85"/>
      <c r="M35" s="85">
        <f>E35/'Data &amp; Source'!$U$23</f>
        <v>9.9470009120546567E-3</v>
      </c>
      <c r="N35" s="85">
        <f t="shared" si="0"/>
        <v>1.1816281484647211E-2</v>
      </c>
      <c r="O35" s="75">
        <f t="shared" si="1"/>
        <v>259.89911125481541</v>
      </c>
      <c r="P35" s="75"/>
      <c r="Q35" s="75">
        <f t="shared" si="2"/>
        <v>4.0745798222921415E-4</v>
      </c>
    </row>
    <row r="36" spans="1:17" x14ac:dyDescent="0.25">
      <c r="A36" s="81" t="s">
        <v>130</v>
      </c>
      <c r="B36" s="82"/>
      <c r="C36" s="83">
        <v>0.04</v>
      </c>
      <c r="D36" s="84">
        <v>52150</v>
      </c>
      <c r="E36" s="84">
        <v>50896</v>
      </c>
      <c r="F36" s="84">
        <v>55888</v>
      </c>
      <c r="G36" s="84">
        <v>11684</v>
      </c>
      <c r="H36" s="84" t="s">
        <v>183</v>
      </c>
      <c r="I36" s="85" t="s">
        <v>114</v>
      </c>
      <c r="J36" s="85" t="s">
        <v>124</v>
      </c>
      <c r="K36" s="85" t="s">
        <v>105</v>
      </c>
      <c r="L36" s="85"/>
      <c r="M36" s="85">
        <f>E36/'Data &amp; Source'!$U$23</f>
        <v>7.752159961105164E-3</v>
      </c>
      <c r="N36" s="85">
        <f t="shared" si="0"/>
        <v>9.2089771604845563E-3</v>
      </c>
      <c r="O36" s="75">
        <f t="shared" si="1"/>
        <v>480.2481589192696</v>
      </c>
      <c r="P36" s="75"/>
      <c r="Q36" s="75">
        <f t="shared" si="2"/>
        <v>3.6835908641938224E-4</v>
      </c>
    </row>
    <row r="37" spans="1:17" x14ac:dyDescent="0.25">
      <c r="A37" s="81" t="s">
        <v>131</v>
      </c>
      <c r="B37" s="82"/>
      <c r="C37" s="83">
        <v>3.7037037037037035E-2</v>
      </c>
      <c r="D37" s="84">
        <v>51200</v>
      </c>
      <c r="E37" s="84">
        <v>32408</v>
      </c>
      <c r="F37" s="84">
        <v>44162</v>
      </c>
      <c r="G37" s="84">
        <v>10551</v>
      </c>
      <c r="H37" s="84" t="s">
        <v>183</v>
      </c>
      <c r="I37" s="85" t="s">
        <v>114</v>
      </c>
      <c r="J37" s="85" t="s">
        <v>124</v>
      </c>
      <c r="K37" s="85" t="s">
        <v>105</v>
      </c>
      <c r="L37" s="85"/>
      <c r="M37" s="85">
        <f>E37/'Data &amp; Source'!$U$23</f>
        <v>4.9361835904490762E-3</v>
      </c>
      <c r="N37" s="85">
        <f t="shared" si="0"/>
        <v>5.8638111406983558E-3</v>
      </c>
      <c r="O37" s="75">
        <f t="shared" si="1"/>
        <v>300.22713040375584</v>
      </c>
      <c r="P37" s="75"/>
      <c r="Q37" s="75">
        <f t="shared" si="2"/>
        <v>2.171781903962354E-4</v>
      </c>
    </row>
    <row r="38" spans="1:17" x14ac:dyDescent="0.25">
      <c r="A38" s="81" t="s">
        <v>132</v>
      </c>
      <c r="B38" s="82"/>
      <c r="C38" s="87">
        <v>5.8823529411764705E-2</v>
      </c>
      <c r="D38" s="84">
        <v>96600</v>
      </c>
      <c r="E38" s="84">
        <v>18803</v>
      </c>
      <c r="F38" s="84">
        <v>21936</v>
      </c>
      <c r="G38" s="84">
        <v>4725</v>
      </c>
      <c r="H38" s="84" t="s">
        <v>183</v>
      </c>
      <c r="I38" s="85" t="s">
        <v>120</v>
      </c>
      <c r="J38" s="85" t="s">
        <v>124</v>
      </c>
      <c r="K38" s="85" t="s">
        <v>105</v>
      </c>
      <c r="L38" s="85"/>
      <c r="M38" s="85">
        <f>E38/'Data &amp; Source'!$U$23</f>
        <v>2.8639551978281281E-3</v>
      </c>
      <c r="N38" s="85">
        <f t="shared" si="0"/>
        <v>3.402161221875808E-3</v>
      </c>
      <c r="O38" s="75">
        <f t="shared" si="1"/>
        <v>328.64877403320304</v>
      </c>
      <c r="P38" s="75"/>
      <c r="Q38" s="75">
        <f t="shared" si="2"/>
        <v>2.0012713069857694E-4</v>
      </c>
    </row>
    <row r="39" spans="1:17" x14ac:dyDescent="0.25">
      <c r="A39" s="81" t="s">
        <v>133</v>
      </c>
      <c r="B39" s="82"/>
      <c r="C39" s="87">
        <v>5.2631578947368418E-2</v>
      </c>
      <c r="D39" s="84">
        <v>46310</v>
      </c>
      <c r="E39" s="84">
        <v>14878</v>
      </c>
      <c r="F39" s="84">
        <v>23117</v>
      </c>
      <c r="G39" s="84">
        <v>3925</v>
      </c>
      <c r="H39" s="84" t="s">
        <v>183</v>
      </c>
      <c r="I39" s="85" t="s">
        <v>114</v>
      </c>
      <c r="J39" s="85" t="s">
        <v>124</v>
      </c>
      <c r="K39" s="85" t="s">
        <v>105</v>
      </c>
      <c r="L39" s="85"/>
      <c r="M39" s="85">
        <f>E39/'Data &amp; Source'!$U$23</f>
        <v>2.2661237798908091E-3</v>
      </c>
      <c r="N39" s="85">
        <f t="shared" si="0"/>
        <v>2.6919829101243564E-3</v>
      </c>
      <c r="O39" s="75">
        <f t="shared" si="1"/>
        <v>124.66572856785895</v>
      </c>
      <c r="P39" s="75"/>
      <c r="Q39" s="75">
        <f t="shared" si="2"/>
        <v>1.4168331105917663E-4</v>
      </c>
    </row>
    <row r="40" spans="1:17" x14ac:dyDescent="0.25">
      <c r="A40" s="81" t="s">
        <v>22</v>
      </c>
      <c r="B40" s="82"/>
      <c r="C40" s="83">
        <v>4.1666666666666664E-2</v>
      </c>
      <c r="D40" s="84">
        <v>25185</v>
      </c>
      <c r="E40" s="84">
        <v>105932</v>
      </c>
      <c r="F40" s="84">
        <v>122349</v>
      </c>
      <c r="G40" s="84">
        <v>14772</v>
      </c>
      <c r="H40" s="84" t="s">
        <v>183</v>
      </c>
      <c r="I40" s="85" t="s">
        <v>119</v>
      </c>
      <c r="J40" s="85"/>
      <c r="K40" s="85" t="s">
        <v>105</v>
      </c>
      <c r="L40" s="85"/>
      <c r="M40" s="85">
        <f>E40/'Data &amp; Source'!$U$23</f>
        <v>1.6134898793614277E-2</v>
      </c>
      <c r="N40" s="85">
        <f t="shared" si="0"/>
        <v>1.9167034119861089E-2</v>
      </c>
      <c r="O40" s="75">
        <f t="shared" si="1"/>
        <v>482.72175430870152</v>
      </c>
      <c r="P40" s="75"/>
      <c r="Q40" s="75">
        <f t="shared" si="2"/>
        <v>7.9862642166087872E-4</v>
      </c>
    </row>
    <row r="41" spans="1:17" x14ac:dyDescent="0.25">
      <c r="A41" s="81" t="s">
        <v>57</v>
      </c>
      <c r="B41" s="82"/>
      <c r="C41" s="83">
        <v>0.04</v>
      </c>
      <c r="D41" s="84">
        <v>25905</v>
      </c>
      <c r="E41" s="84">
        <v>72705</v>
      </c>
      <c r="F41" s="84">
        <v>77502</v>
      </c>
      <c r="G41" s="84">
        <v>9731</v>
      </c>
      <c r="H41" s="84" t="s">
        <v>183</v>
      </c>
      <c r="I41" s="85" t="s">
        <v>119</v>
      </c>
      <c r="J41" s="85"/>
      <c r="K41" s="85" t="s">
        <v>105</v>
      </c>
      <c r="L41" s="85"/>
      <c r="M41" s="85">
        <f>E41/'Data &amp; Source'!$U$23</f>
        <v>1.1073970252517898E-2</v>
      </c>
      <c r="N41" s="85">
        <f t="shared" si="0"/>
        <v>1.3155035453729758E-2</v>
      </c>
      <c r="O41" s="75">
        <f t="shared" si="1"/>
        <v>340.78119342886936</v>
      </c>
      <c r="P41" s="75"/>
      <c r="Q41" s="75">
        <f t="shared" si="2"/>
        <v>5.2620141814919031E-4</v>
      </c>
    </row>
    <row r="42" spans="1:17" x14ac:dyDescent="0.25">
      <c r="A42" s="81" t="s">
        <v>71</v>
      </c>
      <c r="B42" s="82"/>
      <c r="C42" s="83">
        <v>4.3478260869565216E-2</v>
      </c>
      <c r="D42" s="84">
        <v>26995</v>
      </c>
      <c r="E42" s="84">
        <v>64433</v>
      </c>
      <c r="F42" s="84">
        <v>66377</v>
      </c>
      <c r="G42" s="84">
        <v>8975</v>
      </c>
      <c r="H42" s="84" t="s">
        <v>183</v>
      </c>
      <c r="I42" s="85" t="s">
        <v>119</v>
      </c>
      <c r="J42" s="85"/>
      <c r="K42" s="85" t="s">
        <v>105</v>
      </c>
      <c r="L42" s="85"/>
      <c r="M42" s="85">
        <f>E42/'Data &amp; Source'!$U$23</f>
        <v>9.8140310196064336E-3</v>
      </c>
      <c r="N42" s="85">
        <f t="shared" si="0"/>
        <v>1.1658323353141729E-2</v>
      </c>
      <c r="O42" s="75">
        <f t="shared" si="1"/>
        <v>314.71643891806099</v>
      </c>
      <c r="P42" s="75"/>
      <c r="Q42" s="75">
        <f t="shared" si="2"/>
        <v>5.0688362404964038E-4</v>
      </c>
    </row>
    <row r="43" spans="1:17" x14ac:dyDescent="0.25">
      <c r="A43" s="81" t="s">
        <v>117</v>
      </c>
      <c r="B43" s="82"/>
      <c r="C43" s="83">
        <v>3.2258064516129031E-2</v>
      </c>
      <c r="D43" s="84">
        <v>18100</v>
      </c>
      <c r="E43" s="84">
        <v>30053</v>
      </c>
      <c r="F43" s="84">
        <v>24245</v>
      </c>
      <c r="G43" s="84">
        <v>3450</v>
      </c>
      <c r="H43" s="84" t="s">
        <v>183</v>
      </c>
      <c r="I43" s="85" t="s">
        <v>119</v>
      </c>
      <c r="J43" s="85"/>
      <c r="K43" s="85" t="s">
        <v>105</v>
      </c>
      <c r="L43" s="85"/>
      <c r="M43" s="85">
        <f>E43/'Data &amp; Source'!$U$23</f>
        <v>4.5774847396866849E-3</v>
      </c>
      <c r="N43" s="85">
        <f t="shared" si="0"/>
        <v>5.4377041536474852E-3</v>
      </c>
      <c r="O43" s="75">
        <f t="shared" si="1"/>
        <v>98.422445181019484</v>
      </c>
      <c r="P43" s="75"/>
      <c r="Q43" s="75">
        <f t="shared" si="2"/>
        <v>1.7540981140798338E-4</v>
      </c>
    </row>
    <row r="44" spans="1:17" x14ac:dyDescent="0.25">
      <c r="A44" s="81" t="s">
        <v>118</v>
      </c>
      <c r="B44" s="82"/>
      <c r="C44" s="83">
        <v>3.4482758620689655E-2</v>
      </c>
      <c r="D44" s="84">
        <v>24915</v>
      </c>
      <c r="E44" s="84">
        <v>9465</v>
      </c>
      <c r="F44" s="84">
        <v>8591</v>
      </c>
      <c r="G44" s="84">
        <v>1766</v>
      </c>
      <c r="H44" s="84" t="s">
        <v>183</v>
      </c>
      <c r="I44" s="85" t="s">
        <v>119</v>
      </c>
      <c r="J44" s="85"/>
      <c r="K44" s="85" t="s">
        <v>105</v>
      </c>
      <c r="L44" s="85"/>
      <c r="M44" s="85">
        <f>E44/'Data &amp; Source'!$U$23</f>
        <v>1.441649521216999E-3</v>
      </c>
      <c r="N44" s="85">
        <f t="shared" si="0"/>
        <v>1.7125701199305707E-3</v>
      </c>
      <c r="O44" s="75">
        <f t="shared" si="1"/>
        <v>42.668684538070167</v>
      </c>
      <c r="P44" s="75"/>
      <c r="Q44" s="75">
        <f t="shared" si="2"/>
        <v>5.9054142066571405E-5</v>
      </c>
    </row>
    <row r="45" spans="1:17" x14ac:dyDescent="0.25">
      <c r="A45" s="85" t="s">
        <v>66</v>
      </c>
      <c r="B45" s="86"/>
      <c r="C45" s="86">
        <v>2.9411764705882353E-2</v>
      </c>
      <c r="D45" s="84">
        <v>11990</v>
      </c>
      <c r="E45" s="84">
        <v>132214</v>
      </c>
      <c r="F45" s="84">
        <v>144528</v>
      </c>
      <c r="G45" s="84">
        <v>20748</v>
      </c>
      <c r="H45" s="84" t="s">
        <v>183</v>
      </c>
      <c r="I45" s="85" t="s">
        <v>100</v>
      </c>
      <c r="J45" s="85"/>
      <c r="K45" s="85" t="s">
        <v>105</v>
      </c>
      <c r="L45" s="85"/>
      <c r="M45" s="85">
        <f>E45/'Data &amp; Source'!$U$23</f>
        <v>2.0138008430869974E-2</v>
      </c>
      <c r="N45" s="85">
        <f t="shared" si="0"/>
        <v>2.3922424282778711E-2</v>
      </c>
      <c r="O45" s="75">
        <f t="shared" si="1"/>
        <v>286.82986715051675</v>
      </c>
      <c r="P45" s="75"/>
      <c r="Q45" s="75">
        <f t="shared" si="2"/>
        <v>7.0360071419937388E-4</v>
      </c>
    </row>
    <row r="46" spans="1:17" x14ac:dyDescent="0.25">
      <c r="A46" s="85" t="s">
        <v>59</v>
      </c>
      <c r="B46" s="86"/>
      <c r="C46" s="86">
        <v>3.5714285714285712E-2</v>
      </c>
      <c r="D46" s="84">
        <v>16100</v>
      </c>
      <c r="E46" s="84">
        <v>145768</v>
      </c>
      <c r="F46" s="84">
        <v>147133</v>
      </c>
      <c r="G46" s="84">
        <v>15386</v>
      </c>
      <c r="H46" s="84" t="s">
        <v>183</v>
      </c>
      <c r="I46" s="85" t="s">
        <v>100</v>
      </c>
      <c r="J46" s="85"/>
      <c r="K46" s="85" t="s">
        <v>105</v>
      </c>
      <c r="L46" s="85"/>
      <c r="M46" s="85">
        <f>E46/'Data &amp; Source'!$U$23</f>
        <v>2.2202468822901163E-2</v>
      </c>
      <c r="N46" s="85">
        <f t="shared" si="0"/>
        <v>2.6374846406977227E-2</v>
      </c>
      <c r="O46" s="75">
        <f t="shared" si="1"/>
        <v>424.63502715233335</v>
      </c>
      <c r="P46" s="75"/>
      <c r="Q46" s="75">
        <f t="shared" si="2"/>
        <v>9.4195880024918659E-4</v>
      </c>
    </row>
    <row r="47" spans="1:17" x14ac:dyDescent="0.25">
      <c r="A47" s="85" t="s">
        <v>115</v>
      </c>
      <c r="B47" s="86"/>
      <c r="C47" s="86">
        <v>2.7777777777777776E-2</v>
      </c>
      <c r="D47" s="84">
        <v>16090</v>
      </c>
      <c r="E47" s="84">
        <v>56630</v>
      </c>
      <c r="F47" s="84">
        <v>52724</v>
      </c>
      <c r="G47" s="84">
        <v>11620</v>
      </c>
      <c r="H47" s="84" t="s">
        <v>183</v>
      </c>
      <c r="I47" s="85" t="s">
        <v>100</v>
      </c>
      <c r="J47" s="85"/>
      <c r="K47" s="85" t="s">
        <v>105</v>
      </c>
      <c r="L47" s="85"/>
      <c r="M47" s="85">
        <f>E47/'Data &amp; Source'!$U$23</f>
        <v>8.6255269293733384E-3</v>
      </c>
      <c r="N47" s="85">
        <f t="shared" si="0"/>
        <v>1.0246470775664894E-2</v>
      </c>
      <c r="O47" s="75">
        <f t="shared" si="1"/>
        <v>164.86571478044814</v>
      </c>
      <c r="P47" s="75"/>
      <c r="Q47" s="75">
        <f t="shared" si="2"/>
        <v>2.8462418821291371E-4</v>
      </c>
    </row>
    <row r="48" spans="1:17" x14ac:dyDescent="0.25">
      <c r="A48" s="85" t="s">
        <v>89</v>
      </c>
      <c r="B48" s="86"/>
      <c r="C48" s="86">
        <v>3.2258064516129031E-2</v>
      </c>
      <c r="D48" s="84">
        <v>14745</v>
      </c>
      <c r="E48" s="84">
        <v>79766</v>
      </c>
      <c r="F48" s="84">
        <v>61486</v>
      </c>
      <c r="G48" s="84">
        <v>7734</v>
      </c>
      <c r="H48" s="84" t="s">
        <v>183</v>
      </c>
      <c r="I48" s="85" t="s">
        <v>100</v>
      </c>
      <c r="J48" s="85"/>
      <c r="K48" s="85" t="s">
        <v>105</v>
      </c>
      <c r="L48" s="85"/>
      <c r="M48" s="85">
        <f>E48/'Data &amp; Source'!$U$23</f>
        <v>1.2149457549856855E-2</v>
      </c>
      <c r="N48" s="85">
        <f t="shared" si="0"/>
        <v>1.4432632666284407E-2</v>
      </c>
      <c r="O48" s="75">
        <f t="shared" si="1"/>
        <v>212.80916866436357</v>
      </c>
      <c r="P48" s="75"/>
      <c r="Q48" s="75">
        <f t="shared" si="2"/>
        <v>4.6556879568659373E-4</v>
      </c>
    </row>
    <row r="49" spans="1:17" x14ac:dyDescent="0.25">
      <c r="A49" s="85" t="s">
        <v>116</v>
      </c>
      <c r="B49" s="86"/>
      <c r="C49" s="86">
        <v>2.9411764705882353E-2</v>
      </c>
      <c r="D49" s="84">
        <v>16490</v>
      </c>
      <c r="E49" s="84">
        <v>15437</v>
      </c>
      <c r="F49" s="84">
        <v>23980</v>
      </c>
      <c r="G49" s="84">
        <v>7573</v>
      </c>
      <c r="H49" s="84" t="s">
        <v>183</v>
      </c>
      <c r="I49" s="85" t="s">
        <v>100</v>
      </c>
      <c r="J49" s="85"/>
      <c r="K49" s="85" t="s">
        <v>105</v>
      </c>
      <c r="L49" s="85"/>
      <c r="M49" s="85">
        <f>E49/'Data &amp; Source'!$U$23</f>
        <v>2.3512671589040477E-3</v>
      </c>
      <c r="N49" s="85">
        <f t="shared" si="0"/>
        <v>2.7931267766897225E-3</v>
      </c>
      <c r="O49" s="75">
        <f t="shared" si="1"/>
        <v>46.05866054761352</v>
      </c>
      <c r="P49" s="75"/>
      <c r="Q49" s="75">
        <f t="shared" si="2"/>
        <v>8.2150787549697715E-5</v>
      </c>
    </row>
    <row r="50" spans="1:17" x14ac:dyDescent="0.25">
      <c r="A50" t="s">
        <v>187</v>
      </c>
      <c r="E50" s="15">
        <f>SUM(E3:E49)</f>
        <v>5526781</v>
      </c>
      <c r="M50" s="17">
        <f>E50/'Data &amp; Source'!$U$23</f>
        <v>0.84180466798956222</v>
      </c>
    </row>
    <row r="51" spans="1:17" x14ac:dyDescent="0.25">
      <c r="A51" t="s">
        <v>230</v>
      </c>
      <c r="E51" s="15">
        <f>'Data &amp; Source'!U23-'ICV Car'!E50</f>
        <v>1038615</v>
      </c>
      <c r="M51" s="17">
        <f>E51/'Data &amp; Source'!$U$23</f>
        <v>0.15819533201043776</v>
      </c>
    </row>
  </sheetData>
  <mergeCells count="1">
    <mergeCell ref="N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R82"/>
  <sheetViews>
    <sheetView workbookViewId="0">
      <selection activeCell="R3" sqref="R3"/>
    </sheetView>
  </sheetViews>
  <sheetFormatPr defaultRowHeight="15" x14ac:dyDescent="0.25"/>
  <cols>
    <col min="13" max="13" width="14" customWidth="1"/>
    <col min="15" max="15" width="14.7109375" bestFit="1" customWidth="1"/>
    <col min="16" max="16" width="11.28515625" customWidth="1"/>
    <col min="17" max="17" width="22.7109375" bestFit="1" customWidth="1"/>
  </cols>
  <sheetData>
    <row r="2" spans="1:18" x14ac:dyDescent="0.25">
      <c r="A2" s="1" t="s">
        <v>102</v>
      </c>
      <c r="B2" s="1" t="s">
        <v>165</v>
      </c>
      <c r="C2" s="1" t="s">
        <v>166</v>
      </c>
      <c r="D2" s="2" t="s">
        <v>0</v>
      </c>
      <c r="E2" s="9" t="s">
        <v>111</v>
      </c>
      <c r="F2" s="9" t="s">
        <v>112</v>
      </c>
      <c r="G2" s="9" t="s">
        <v>113</v>
      </c>
      <c r="H2" s="9" t="s">
        <v>182</v>
      </c>
      <c r="I2" s="10" t="s">
        <v>98</v>
      </c>
      <c r="J2" s="10" t="s">
        <v>124</v>
      </c>
      <c r="K2" s="3" t="s">
        <v>99</v>
      </c>
      <c r="L2" s="3" t="s">
        <v>168</v>
      </c>
      <c r="M2" s="3" t="s">
        <v>232</v>
      </c>
      <c r="N2" s="23" t="s">
        <v>185</v>
      </c>
      <c r="O2" s="23" t="s">
        <v>186</v>
      </c>
      <c r="P2" s="23" t="s">
        <v>187</v>
      </c>
      <c r="Q2" s="23" t="s">
        <v>207</v>
      </c>
      <c r="R2" s="23" t="s">
        <v>187</v>
      </c>
    </row>
    <row r="3" spans="1:18" x14ac:dyDescent="0.25">
      <c r="A3" s="17" t="s">
        <v>10</v>
      </c>
      <c r="B3" s="16"/>
      <c r="C3" s="16">
        <v>0.04</v>
      </c>
      <c r="D3" s="12">
        <v>35285</v>
      </c>
      <c r="E3" s="12">
        <v>109435</v>
      </c>
      <c r="F3" s="12">
        <v>100610</v>
      </c>
      <c r="G3" s="12">
        <v>11674</v>
      </c>
      <c r="H3" s="12" t="s">
        <v>184</v>
      </c>
      <c r="I3" s="17" t="s">
        <v>106</v>
      </c>
      <c r="J3" s="17" t="s">
        <v>124</v>
      </c>
      <c r="K3" s="17" t="s">
        <v>105</v>
      </c>
      <c r="L3" s="17"/>
      <c r="M3" s="17">
        <f>E3/'Data &amp; Source'!$U$24</f>
        <v>1.0477537704439321E-2</v>
      </c>
      <c r="N3" s="17">
        <f>E3/SUM($E$3:$E$80)</f>
        <v>1.1251883753600042E-2</v>
      </c>
      <c r="O3">
        <f>N3*D3</f>
        <v>397.02271824577753</v>
      </c>
      <c r="P3" s="120">
        <f>SUM(O3:O80)</f>
        <v>28326.595452546579</v>
      </c>
      <c r="Q3" s="120">
        <f>C3*N3</f>
        <v>4.5007535014400171E-4</v>
      </c>
      <c r="R3" s="120">
        <f>SUM(Q3:Q80)</f>
        <v>4.4679134171938556E-2</v>
      </c>
    </row>
    <row r="4" spans="1:18" x14ac:dyDescent="0.25">
      <c r="A4" s="17" t="s">
        <v>151</v>
      </c>
      <c r="B4" s="16"/>
      <c r="C4" s="16">
        <v>4.1666666666666664E-2</v>
      </c>
      <c r="D4" s="12">
        <v>39150</v>
      </c>
      <c r="E4" s="12">
        <v>47872</v>
      </c>
      <c r="F4" s="12">
        <v>27902</v>
      </c>
      <c r="G4" s="12">
        <v>10155</v>
      </c>
      <c r="H4" s="12" t="s">
        <v>184</v>
      </c>
      <c r="I4" s="17" t="s">
        <v>106</v>
      </c>
      <c r="J4" s="17" t="s">
        <v>124</v>
      </c>
      <c r="K4" s="17" t="s">
        <v>105</v>
      </c>
      <c r="L4" s="17"/>
      <c r="M4" s="17">
        <f>E4/'Data &amp; Source'!$U$24</f>
        <v>4.5833662446833207E-3</v>
      </c>
      <c r="N4" s="17">
        <f t="shared" ref="N4:N67" si="0">E4/SUM($E$3:$E$80)</f>
        <v>4.9221015127915314E-3</v>
      </c>
      <c r="O4">
        <f t="shared" ref="O4:O67" si="1">N4*D4</f>
        <v>192.70027422578846</v>
      </c>
      <c r="Q4">
        <f t="shared" ref="Q4:Q67" si="2">C4*N4</f>
        <v>2.0508756303298046E-4</v>
      </c>
    </row>
    <row r="5" spans="1:18" x14ac:dyDescent="0.25">
      <c r="A5" s="17" t="s">
        <v>152</v>
      </c>
      <c r="B5" s="16"/>
      <c r="C5" s="16">
        <v>4.5454545454545456E-2</v>
      </c>
      <c r="D5" s="12">
        <v>40900</v>
      </c>
      <c r="E5" s="12">
        <v>49550</v>
      </c>
      <c r="F5" s="12">
        <v>52006</v>
      </c>
      <c r="G5" s="12">
        <v>9280</v>
      </c>
      <c r="H5" s="12" t="s">
        <v>184</v>
      </c>
      <c r="I5" s="17" t="s">
        <v>106</v>
      </c>
      <c r="J5" s="17" t="s">
        <v>124</v>
      </c>
      <c r="K5" s="17" t="s">
        <v>105</v>
      </c>
      <c r="L5" s="17"/>
      <c r="M5" s="17">
        <f>E5/'Data &amp; Source'!$U$24</f>
        <v>4.7440215036776935E-3</v>
      </c>
      <c r="N5" s="17">
        <f t="shared" si="0"/>
        <v>5.0946300542868564E-3</v>
      </c>
      <c r="O5">
        <f t="shared" si="1"/>
        <v>208.37036922033244</v>
      </c>
      <c r="Q5">
        <f t="shared" si="2"/>
        <v>2.315740933766753E-4</v>
      </c>
    </row>
    <row r="6" spans="1:18" x14ac:dyDescent="0.25">
      <c r="A6" s="17" t="s">
        <v>153</v>
      </c>
      <c r="B6" s="16"/>
      <c r="C6" s="16">
        <v>4.3478260869565216E-2</v>
      </c>
      <c r="D6" s="12">
        <v>35670</v>
      </c>
      <c r="E6" s="12">
        <v>52361</v>
      </c>
      <c r="F6" s="12">
        <v>51026</v>
      </c>
      <c r="G6" s="12">
        <v>7522</v>
      </c>
      <c r="H6" s="12" t="s">
        <v>184</v>
      </c>
      <c r="I6" s="17" t="s">
        <v>106</v>
      </c>
      <c r="J6" s="17" t="s">
        <v>124</v>
      </c>
      <c r="K6" s="17" t="s">
        <v>105</v>
      </c>
      <c r="L6" s="17"/>
      <c r="M6" s="17">
        <f>E6/'Data &amp; Source'!$U$24</f>
        <v>5.0131525722314375E-3</v>
      </c>
      <c r="N6" s="17">
        <f t="shared" si="0"/>
        <v>5.3836513475784883E-3</v>
      </c>
      <c r="O6">
        <f t="shared" si="1"/>
        <v>192.03484356812467</v>
      </c>
      <c r="Q6">
        <f t="shared" si="2"/>
        <v>2.3407179772080383E-4</v>
      </c>
    </row>
    <row r="7" spans="1:18" x14ac:dyDescent="0.25">
      <c r="A7" s="17" t="s">
        <v>154</v>
      </c>
      <c r="B7" s="16"/>
      <c r="C7" s="16">
        <v>4.1666666666666664E-2</v>
      </c>
      <c r="D7" s="12">
        <v>40050</v>
      </c>
      <c r="E7" s="12">
        <v>44196</v>
      </c>
      <c r="F7" s="12">
        <v>31924</v>
      </c>
      <c r="G7" s="12">
        <v>6989</v>
      </c>
      <c r="H7" s="12" t="s">
        <v>184</v>
      </c>
      <c r="I7" s="17" t="s">
        <v>106</v>
      </c>
      <c r="J7" s="17" t="s">
        <v>124</v>
      </c>
      <c r="K7" s="17" t="s">
        <v>105</v>
      </c>
      <c r="L7" s="17"/>
      <c r="M7" s="17">
        <f>E7/'Data &amp; Source'!$U$24</f>
        <v>4.2314182517969598E-3</v>
      </c>
      <c r="N7" s="17">
        <f t="shared" si="0"/>
        <v>4.5441426817207243E-3</v>
      </c>
      <c r="O7">
        <f t="shared" si="1"/>
        <v>181.99291440291501</v>
      </c>
      <c r="Q7">
        <f t="shared" si="2"/>
        <v>1.8933927840503016E-4</v>
      </c>
    </row>
    <row r="8" spans="1:18" x14ac:dyDescent="0.25">
      <c r="A8" s="19" t="s">
        <v>5</v>
      </c>
      <c r="B8" s="18"/>
      <c r="C8" s="18">
        <v>3.4482758620689655E-2</v>
      </c>
      <c r="D8" s="12">
        <v>24045</v>
      </c>
      <c r="E8" s="12">
        <v>357335</v>
      </c>
      <c r="F8" s="12">
        <v>345647</v>
      </c>
      <c r="G8" s="12">
        <v>41196</v>
      </c>
      <c r="H8" s="12" t="s">
        <v>184</v>
      </c>
      <c r="I8" s="17" t="s">
        <v>106</v>
      </c>
      <c r="J8" s="19"/>
      <c r="K8" s="17" t="s">
        <v>105</v>
      </c>
      <c r="L8" s="17"/>
      <c r="M8" s="17">
        <f>E8/'Data &amp; Source'!$U$24</f>
        <v>3.4212006539186046E-2</v>
      </c>
      <c r="N8" s="17">
        <f t="shared" si="0"/>
        <v>3.6740456719446896E-2</v>
      </c>
      <c r="O8">
        <f t="shared" si="1"/>
        <v>883.42428181910066</v>
      </c>
      <c r="Q8">
        <f t="shared" si="2"/>
        <v>1.2669123006705826E-3</v>
      </c>
    </row>
    <row r="9" spans="1:18" x14ac:dyDescent="0.25">
      <c r="A9" s="19" t="s">
        <v>18</v>
      </c>
      <c r="B9" s="18"/>
      <c r="C9" s="18">
        <v>3.125E-2</v>
      </c>
      <c r="D9" s="12">
        <v>24410</v>
      </c>
      <c r="E9" s="12">
        <v>352154</v>
      </c>
      <c r="F9" s="12">
        <v>315412</v>
      </c>
      <c r="G9" s="12">
        <v>39961</v>
      </c>
      <c r="H9" s="12" t="s">
        <v>184</v>
      </c>
      <c r="I9" s="17" t="s">
        <v>106</v>
      </c>
      <c r="J9" s="19"/>
      <c r="K9" s="17" t="s">
        <v>105</v>
      </c>
      <c r="L9" s="17"/>
      <c r="M9" s="17">
        <f>E9/'Data &amp; Source'!$U$24</f>
        <v>3.3715966672171839E-2</v>
      </c>
      <c r="N9" s="17">
        <f t="shared" si="0"/>
        <v>3.6207756854436599E-2</v>
      </c>
      <c r="O9">
        <f t="shared" si="1"/>
        <v>883.83134481679735</v>
      </c>
      <c r="Q9">
        <f t="shared" si="2"/>
        <v>1.1314924017011437E-3</v>
      </c>
    </row>
    <row r="10" spans="1:18" x14ac:dyDescent="0.25">
      <c r="A10" s="19" t="s">
        <v>30</v>
      </c>
      <c r="B10" s="18"/>
      <c r="C10" s="18">
        <v>2.9411764705882353E-2</v>
      </c>
      <c r="D10" s="12">
        <v>23820</v>
      </c>
      <c r="E10" s="12">
        <v>329904</v>
      </c>
      <c r="F10" s="12">
        <v>287190</v>
      </c>
      <c r="G10" s="12">
        <v>28482</v>
      </c>
      <c r="H10" s="12" t="s">
        <v>184</v>
      </c>
      <c r="I10" s="17" t="s">
        <v>106</v>
      </c>
      <c r="J10" s="19"/>
      <c r="K10" s="17" t="s">
        <v>105</v>
      </c>
      <c r="L10" s="17"/>
      <c r="M10" s="17">
        <f>E10/'Data &amp; Source'!$U$24</f>
        <v>3.1585704745696989E-2</v>
      </c>
      <c r="N10" s="17">
        <f t="shared" si="0"/>
        <v>3.3920057183238164E-2</v>
      </c>
      <c r="O10">
        <f t="shared" si="1"/>
        <v>807.97576210473312</v>
      </c>
      <c r="Q10">
        <f t="shared" si="2"/>
        <v>9.9764874068347534E-4</v>
      </c>
    </row>
    <row r="11" spans="1:18" x14ac:dyDescent="0.25">
      <c r="A11" s="19" t="s">
        <v>37</v>
      </c>
      <c r="B11" s="18"/>
      <c r="C11" s="18">
        <v>3.8461538461538464E-2</v>
      </c>
      <c r="D11" s="12">
        <v>23750</v>
      </c>
      <c r="E11" s="12">
        <v>307069</v>
      </c>
      <c r="F11" s="12">
        <v>306492</v>
      </c>
      <c r="G11" s="12"/>
      <c r="H11" s="12" t="s">
        <v>184</v>
      </c>
      <c r="I11" s="17" t="s">
        <v>106</v>
      </c>
      <c r="J11" s="19"/>
      <c r="K11" s="17" t="s">
        <v>105</v>
      </c>
      <c r="L11" s="17"/>
      <c r="M11" s="17">
        <f>E11/'Data &amp; Source'!$U$24</f>
        <v>2.9399433685424938E-2</v>
      </c>
      <c r="N11" s="17">
        <f t="shared" si="0"/>
        <v>3.157220900383069E-2</v>
      </c>
      <c r="O11">
        <f t="shared" si="1"/>
        <v>749.83996384097884</v>
      </c>
      <c r="Q11">
        <f t="shared" si="2"/>
        <v>1.214315730916565E-3</v>
      </c>
    </row>
    <row r="12" spans="1:18" x14ac:dyDescent="0.25">
      <c r="A12" s="6" t="s">
        <v>46</v>
      </c>
      <c r="B12" s="18"/>
      <c r="C12" s="18">
        <v>0.04</v>
      </c>
      <c r="D12" s="12">
        <v>23100</v>
      </c>
      <c r="E12" s="12">
        <v>242195</v>
      </c>
      <c r="F12" s="12">
        <v>277589</v>
      </c>
      <c r="G12" s="12"/>
      <c r="H12" s="12" t="s">
        <v>184</v>
      </c>
      <c r="I12" s="17" t="s">
        <v>106</v>
      </c>
      <c r="J12" s="19"/>
      <c r="K12" s="17" t="s">
        <v>105</v>
      </c>
      <c r="L12" s="17"/>
      <c r="M12" s="17">
        <f>E12/'Data &amp; Source'!$U$24</f>
        <v>2.318826010258767E-2</v>
      </c>
      <c r="N12" s="17">
        <f t="shared" si="0"/>
        <v>2.49019964883553E-2</v>
      </c>
      <c r="O12">
        <f t="shared" si="1"/>
        <v>575.23611888100743</v>
      </c>
      <c r="Q12">
        <f t="shared" si="2"/>
        <v>9.9607985953421201E-4</v>
      </c>
    </row>
    <row r="13" spans="1:18" x14ac:dyDescent="0.25">
      <c r="A13" s="6" t="s">
        <v>53</v>
      </c>
      <c r="B13" s="18"/>
      <c r="C13" s="18">
        <v>0.04</v>
      </c>
      <c r="D13" s="12">
        <v>23495</v>
      </c>
      <c r="E13" s="12">
        <v>199736</v>
      </c>
      <c r="F13" s="12">
        <v>220744</v>
      </c>
      <c r="G13" s="12"/>
      <c r="H13" s="12" t="s">
        <v>184</v>
      </c>
      <c r="I13" s="17" t="s">
        <v>106</v>
      </c>
      <c r="J13" s="19"/>
      <c r="K13" s="17" t="s">
        <v>105</v>
      </c>
      <c r="L13" s="17"/>
      <c r="M13" s="17">
        <f>E13/'Data &amp; Source'!$U$24</f>
        <v>1.9123145894219332E-2</v>
      </c>
      <c r="N13" s="17">
        <f t="shared" si="0"/>
        <v>2.0536448607932179E-2</v>
      </c>
      <c r="O13">
        <f t="shared" si="1"/>
        <v>482.50386004336656</v>
      </c>
      <c r="Q13">
        <f t="shared" si="2"/>
        <v>8.2145794431728717E-4</v>
      </c>
    </row>
    <row r="14" spans="1:18" x14ac:dyDescent="0.25">
      <c r="A14" s="6" t="s">
        <v>60</v>
      </c>
      <c r="B14" s="18"/>
      <c r="C14" s="18">
        <v>5.5555555555555552E-2</v>
      </c>
      <c r="D14" s="12">
        <v>23995</v>
      </c>
      <c r="E14" s="12">
        <v>191774</v>
      </c>
      <c r="F14" s="12">
        <v>202266</v>
      </c>
      <c r="G14" s="12"/>
      <c r="H14" s="12" t="s">
        <v>184</v>
      </c>
      <c r="I14" s="17" t="s">
        <v>106</v>
      </c>
      <c r="J14" s="19"/>
      <c r="K14" s="17" t="s">
        <v>105</v>
      </c>
      <c r="L14" s="17"/>
      <c r="M14" s="17">
        <f>E14/'Data &amp; Source'!$U$24</f>
        <v>1.8360847221923028E-2</v>
      </c>
      <c r="N14" s="17">
        <f t="shared" si="0"/>
        <v>1.9717811988512766E-2</v>
      </c>
      <c r="O14">
        <f t="shared" si="1"/>
        <v>473.12889866436382</v>
      </c>
      <c r="Q14">
        <f t="shared" si="2"/>
        <v>1.0954339993618203E-3</v>
      </c>
    </row>
    <row r="15" spans="1:18" x14ac:dyDescent="0.25">
      <c r="A15" s="6" t="s">
        <v>67</v>
      </c>
      <c r="B15" s="18"/>
      <c r="C15" s="18">
        <v>3.5714285714285712E-2</v>
      </c>
      <c r="D15" s="12">
        <v>22595</v>
      </c>
      <c r="E15" s="12">
        <v>178593</v>
      </c>
      <c r="F15" s="12">
        <v>175192</v>
      </c>
      <c r="G15" s="12">
        <v>18252</v>
      </c>
      <c r="H15" s="12" t="s">
        <v>184</v>
      </c>
      <c r="I15" s="17" t="s">
        <v>106</v>
      </c>
      <c r="J15" s="19"/>
      <c r="K15" s="17" t="s">
        <v>105</v>
      </c>
      <c r="L15" s="17"/>
      <c r="M15" s="17">
        <f>E15/'Data &amp; Source'!$U$24</f>
        <v>1.7098870482468422E-2</v>
      </c>
      <c r="N15" s="17">
        <f t="shared" si="0"/>
        <v>1.8362568421498537E-2</v>
      </c>
      <c r="O15">
        <f t="shared" si="1"/>
        <v>414.90223348375946</v>
      </c>
      <c r="Q15">
        <f t="shared" si="2"/>
        <v>6.5580601505351918E-4</v>
      </c>
    </row>
    <row r="16" spans="1:18" x14ac:dyDescent="0.25">
      <c r="A16" s="6" t="s">
        <v>80</v>
      </c>
      <c r="B16" s="18"/>
      <c r="C16" s="18">
        <v>0.04</v>
      </c>
      <c r="D16" s="12">
        <v>18040</v>
      </c>
      <c r="E16" s="12">
        <v>121926</v>
      </c>
      <c r="F16" s="12">
        <v>121274</v>
      </c>
      <c r="G16" s="12"/>
      <c r="H16" s="12" t="s">
        <v>184</v>
      </c>
      <c r="I16" s="17" t="s">
        <v>106</v>
      </c>
      <c r="J16" s="19"/>
      <c r="K16" s="17" t="s">
        <v>105</v>
      </c>
      <c r="L16" s="17"/>
      <c r="M16" s="17">
        <f>E16/'Data &amp; Source'!$U$24</f>
        <v>1.1673452388645943E-2</v>
      </c>
      <c r="N16" s="17">
        <f t="shared" si="0"/>
        <v>1.2536182926316433E-2</v>
      </c>
      <c r="O16">
        <f t="shared" si="1"/>
        <v>226.15273999074844</v>
      </c>
      <c r="Q16">
        <f t="shared" si="2"/>
        <v>5.0144731705265737E-4</v>
      </c>
    </row>
    <row r="17" spans="1:17" x14ac:dyDescent="0.25">
      <c r="A17" s="22" t="s">
        <v>84</v>
      </c>
      <c r="B17" s="16"/>
      <c r="C17" s="16">
        <v>3.7037037037037035E-2</v>
      </c>
      <c r="D17" s="12">
        <v>24045</v>
      </c>
      <c r="E17" s="12">
        <v>112235</v>
      </c>
      <c r="F17" s="12">
        <v>111450</v>
      </c>
      <c r="G17" s="12">
        <v>17405</v>
      </c>
      <c r="H17" s="12" t="s">
        <v>184</v>
      </c>
      <c r="I17" s="17" t="s">
        <v>106</v>
      </c>
      <c r="J17" s="17"/>
      <c r="K17" s="17" t="s">
        <v>105</v>
      </c>
      <c r="L17" s="17"/>
      <c r="M17" s="17">
        <f>E17/'Data &amp; Source'!$U$24</f>
        <v>1.0745615609793461E-2</v>
      </c>
      <c r="N17" s="17">
        <f t="shared" si="0"/>
        <v>1.1539774049301418E-2</v>
      </c>
      <c r="O17">
        <f t="shared" si="1"/>
        <v>277.47386701545258</v>
      </c>
      <c r="Q17">
        <f t="shared" si="2"/>
        <v>4.2739903886301547E-4</v>
      </c>
    </row>
    <row r="18" spans="1:17" x14ac:dyDescent="0.25">
      <c r="A18" s="22" t="s">
        <v>90</v>
      </c>
      <c r="B18" s="16"/>
      <c r="C18" s="16">
        <v>3.4482758620689655E-2</v>
      </c>
      <c r="D18" s="12">
        <v>21695</v>
      </c>
      <c r="E18" s="12">
        <v>95677</v>
      </c>
      <c r="F18" s="12">
        <v>88927</v>
      </c>
      <c r="G18" s="12"/>
      <c r="H18" s="12" t="s">
        <v>184</v>
      </c>
      <c r="I18" s="17" t="s">
        <v>106</v>
      </c>
      <c r="J18" s="17"/>
      <c r="K18" s="17" t="s">
        <v>105</v>
      </c>
      <c r="L18" s="17"/>
      <c r="M18" s="17">
        <f>E18/'Data &amp; Source'!$U$24</f>
        <v>9.1603177680599536E-3</v>
      </c>
      <c r="N18" s="17">
        <f t="shared" si="0"/>
        <v>9.8373142220787805E-3</v>
      </c>
      <c r="O18">
        <f t="shared" si="1"/>
        <v>213.42053204799913</v>
      </c>
      <c r="Q18">
        <f t="shared" si="2"/>
        <v>3.3921773179582002E-4</v>
      </c>
    </row>
    <row r="19" spans="1:17" x14ac:dyDescent="0.25">
      <c r="A19" s="22" t="s">
        <v>92</v>
      </c>
      <c r="B19" s="16"/>
      <c r="C19" s="16">
        <v>3.8461538461538464E-2</v>
      </c>
      <c r="D19" s="12">
        <v>19940</v>
      </c>
      <c r="E19" s="12">
        <v>94061</v>
      </c>
      <c r="F19" s="12">
        <v>71448</v>
      </c>
      <c r="G19" s="12"/>
      <c r="H19" s="12" t="s">
        <v>184</v>
      </c>
      <c r="I19" s="17" t="s">
        <v>106</v>
      </c>
      <c r="J19" s="17"/>
      <c r="K19" s="17" t="s">
        <v>105</v>
      </c>
      <c r="L19" s="17"/>
      <c r="M19" s="17">
        <f>E19/'Data &amp; Source'!$U$24</f>
        <v>9.005598519826994E-3</v>
      </c>
      <c r="N19" s="17">
        <f t="shared" si="0"/>
        <v>9.6711603942739848E-3</v>
      </c>
      <c r="O19">
        <f t="shared" si="1"/>
        <v>192.84293826182326</v>
      </c>
      <c r="Q19">
        <f t="shared" si="2"/>
        <v>3.7196770747207638E-4</v>
      </c>
    </row>
    <row r="20" spans="1:17" x14ac:dyDescent="0.25">
      <c r="A20" s="22" t="s">
        <v>93</v>
      </c>
      <c r="B20" s="16"/>
      <c r="C20" s="16">
        <v>3.5714285714285712E-2</v>
      </c>
      <c r="D20" s="12">
        <v>22700</v>
      </c>
      <c r="E20" s="12">
        <v>89713</v>
      </c>
      <c r="F20" s="12">
        <v>63591</v>
      </c>
      <c r="G20" s="12"/>
      <c r="H20" s="12" t="s">
        <v>184</v>
      </c>
      <c r="I20" s="17" t="s">
        <v>106</v>
      </c>
      <c r="J20" s="17"/>
      <c r="K20" s="17" t="s">
        <v>105</v>
      </c>
      <c r="L20" s="17"/>
      <c r="M20" s="17">
        <f>E20/'Data &amp; Source'!$U$24</f>
        <v>8.5893118296556398E-3</v>
      </c>
      <c r="N20" s="17">
        <f t="shared" si="0"/>
        <v>9.224107892234849E-3</v>
      </c>
      <c r="O20">
        <f t="shared" si="1"/>
        <v>209.38724915373106</v>
      </c>
      <c r="Q20">
        <f t="shared" si="2"/>
        <v>3.2943242472267315E-4</v>
      </c>
    </row>
    <row r="21" spans="1:17" x14ac:dyDescent="0.25">
      <c r="A21" s="22" t="s">
        <v>94</v>
      </c>
      <c r="B21" s="16"/>
      <c r="C21" s="16">
        <v>0.04</v>
      </c>
      <c r="D21" s="12">
        <v>24070</v>
      </c>
      <c r="E21" s="12">
        <v>87925</v>
      </c>
      <c r="F21" s="12">
        <v>112030</v>
      </c>
      <c r="G21" s="12"/>
      <c r="H21" s="12" t="s">
        <v>184</v>
      </c>
      <c r="I21" s="17" t="s">
        <v>106</v>
      </c>
      <c r="J21" s="17"/>
      <c r="K21" s="17" t="s">
        <v>105</v>
      </c>
      <c r="L21" s="17"/>
      <c r="M21" s="17">
        <f>E21/'Data &amp; Source'!$U$24</f>
        <v>8.4181249386652106E-3</v>
      </c>
      <c r="N21" s="17">
        <f t="shared" si="0"/>
        <v>9.0402693748369688E-3</v>
      </c>
      <c r="O21">
        <f t="shared" si="1"/>
        <v>217.59928385232584</v>
      </c>
      <c r="Q21">
        <f t="shared" si="2"/>
        <v>3.6161077499347874E-4</v>
      </c>
    </row>
    <row r="22" spans="1:17" x14ac:dyDescent="0.25">
      <c r="A22" s="22" t="s">
        <v>95</v>
      </c>
      <c r="B22" s="16"/>
      <c r="C22" s="16">
        <v>3.8461538461538464E-2</v>
      </c>
      <c r="D22" s="12">
        <v>23200</v>
      </c>
      <c r="E22" s="12">
        <v>81066</v>
      </c>
      <c r="F22" s="12">
        <v>53739</v>
      </c>
      <c r="G22" s="12"/>
      <c r="H22" s="12" t="s">
        <v>184</v>
      </c>
      <c r="I22" s="17" t="s">
        <v>106</v>
      </c>
      <c r="J22" s="17"/>
      <c r="K22" s="17" t="s">
        <v>105</v>
      </c>
      <c r="L22" s="17"/>
      <c r="M22" s="17">
        <f>E22/'Data &amp; Source'!$U$24</f>
        <v>7.761429812656628E-3</v>
      </c>
      <c r="N22" s="17">
        <f t="shared" si="0"/>
        <v>8.3350409683313476E-3</v>
      </c>
      <c r="O22">
        <f t="shared" si="1"/>
        <v>193.37295046528726</v>
      </c>
      <c r="Q22">
        <f t="shared" si="2"/>
        <v>3.2057849878197494E-4</v>
      </c>
    </row>
    <row r="23" spans="1:17" x14ac:dyDescent="0.25">
      <c r="A23" s="17" t="s">
        <v>11</v>
      </c>
      <c r="B23" s="16"/>
      <c r="C23" s="16">
        <v>5.2631578947368418E-2</v>
      </c>
      <c r="D23" s="20">
        <v>27110</v>
      </c>
      <c r="E23" s="12">
        <v>820799</v>
      </c>
      <c r="F23" s="12">
        <v>780354</v>
      </c>
      <c r="G23" s="12">
        <v>49873</v>
      </c>
      <c r="H23" s="12" t="s">
        <v>184</v>
      </c>
      <c r="I23" s="17" t="s">
        <v>167</v>
      </c>
      <c r="J23" s="17"/>
      <c r="K23" s="17" t="s">
        <v>105</v>
      </c>
      <c r="L23" s="17"/>
      <c r="M23" s="17">
        <f>E23/'Data &amp; Source'!$U$24</f>
        <v>7.8585027370275423E-2</v>
      </c>
      <c r="N23" s="17">
        <f t="shared" si="0"/>
        <v>8.439288100764071E-2</v>
      </c>
      <c r="O23">
        <f t="shared" si="1"/>
        <v>2287.8910041171398</v>
      </c>
      <c r="Q23">
        <f t="shared" si="2"/>
        <v>4.4417305793495107E-3</v>
      </c>
    </row>
    <row r="24" spans="1:17" x14ac:dyDescent="0.25">
      <c r="A24" s="17" t="s">
        <v>23</v>
      </c>
      <c r="B24" s="17"/>
      <c r="C24" s="16">
        <v>0.05</v>
      </c>
      <c r="D24" s="20">
        <v>27785</v>
      </c>
      <c r="E24" s="12">
        <v>574876</v>
      </c>
      <c r="F24" s="12">
        <v>600544</v>
      </c>
      <c r="G24" s="12">
        <v>41331</v>
      </c>
      <c r="H24" s="12" t="s">
        <v>184</v>
      </c>
      <c r="I24" s="17" t="s">
        <v>167</v>
      </c>
      <c r="J24" s="17"/>
      <c r="K24" s="17" t="s">
        <v>105</v>
      </c>
      <c r="L24" s="17"/>
      <c r="M24" s="17">
        <f>E24/'Data &amp; Source'!$U$24</f>
        <v>5.5039840685130535E-2</v>
      </c>
      <c r="N24" s="17">
        <f t="shared" si="0"/>
        <v>5.9107579154151581E-2</v>
      </c>
      <c r="O24">
        <f t="shared" si="1"/>
        <v>1642.3040867981017</v>
      </c>
      <c r="Q24">
        <f t="shared" si="2"/>
        <v>2.9553789577075793E-3</v>
      </c>
    </row>
    <row r="25" spans="1:17" x14ac:dyDescent="0.25">
      <c r="A25" s="17" t="s">
        <v>33</v>
      </c>
      <c r="B25" s="16"/>
      <c r="C25" s="16">
        <v>5.8823529411764705E-2</v>
      </c>
      <c r="D25" s="20">
        <v>26495</v>
      </c>
      <c r="E25" s="12">
        <v>489418</v>
      </c>
      <c r="F25" s="12">
        <v>450122</v>
      </c>
      <c r="G25" s="12">
        <v>31588</v>
      </c>
      <c r="H25" s="12" t="s">
        <v>184</v>
      </c>
      <c r="I25" s="17" t="s">
        <v>167</v>
      </c>
      <c r="J25" s="17"/>
      <c r="K25" s="17" t="s">
        <v>105</v>
      </c>
      <c r="L25" s="17"/>
      <c r="M25" s="17">
        <f>E25/'Data &amp; Source'!$U$24</f>
        <v>4.685791152950413E-2</v>
      </c>
      <c r="N25" s="17">
        <f t="shared" si="0"/>
        <v>5.0320961693420069E-2</v>
      </c>
      <c r="O25">
        <f t="shared" si="1"/>
        <v>1333.2538800671648</v>
      </c>
      <c r="Q25">
        <f t="shared" si="2"/>
        <v>2.9600565702011805E-3</v>
      </c>
    </row>
    <row r="26" spans="1:17" x14ac:dyDescent="0.25">
      <c r="A26" s="17" t="s">
        <v>58</v>
      </c>
      <c r="B26" s="16"/>
      <c r="C26" s="16">
        <v>6.25E-2</v>
      </c>
      <c r="D26" s="20">
        <v>30120</v>
      </c>
      <c r="E26" s="12">
        <v>115489</v>
      </c>
      <c r="F26" s="12">
        <v>118880</v>
      </c>
      <c r="G26" s="12">
        <v>14727</v>
      </c>
      <c r="H26" s="12" t="s">
        <v>184</v>
      </c>
      <c r="I26" s="17" t="s">
        <v>167</v>
      </c>
      <c r="J26" s="17"/>
      <c r="K26" s="17" t="s">
        <v>105</v>
      </c>
      <c r="L26" s="17"/>
      <c r="M26" s="17">
        <f>E26/'Data &amp; Source'!$U$24</f>
        <v>1.1057160432658591E-2</v>
      </c>
      <c r="N26" s="17">
        <f t="shared" si="0"/>
        <v>1.1874343700091518E-2</v>
      </c>
      <c r="O26">
        <f t="shared" si="1"/>
        <v>357.65523224675655</v>
      </c>
      <c r="Q26">
        <f t="shared" si="2"/>
        <v>7.4214648125571991E-4</v>
      </c>
    </row>
    <row r="27" spans="1:17" x14ac:dyDescent="0.25">
      <c r="A27" s="17" t="s">
        <v>42</v>
      </c>
      <c r="B27" s="16"/>
      <c r="C27" s="16">
        <v>0.05</v>
      </c>
      <c r="D27" s="12">
        <v>28405</v>
      </c>
      <c r="E27" s="12">
        <v>221680</v>
      </c>
      <c r="F27" s="12">
        <v>224139</v>
      </c>
      <c r="G27" s="12">
        <v>14176</v>
      </c>
      <c r="H27" s="12" t="s">
        <v>184</v>
      </c>
      <c r="I27" s="17" t="s">
        <v>167</v>
      </c>
      <c r="J27" s="17"/>
      <c r="K27" s="17" t="s">
        <v>105</v>
      </c>
      <c r="L27" s="17"/>
      <c r="M27" s="17">
        <f>E27/'Data &amp; Source'!$U$24</f>
        <v>2.1224110735323334E-2</v>
      </c>
      <c r="N27" s="17">
        <f t="shared" si="0"/>
        <v>2.2792685982528964E-2</v>
      </c>
      <c r="O27">
        <f t="shared" si="1"/>
        <v>647.42624533373521</v>
      </c>
      <c r="Q27">
        <f t="shared" si="2"/>
        <v>1.1396342991264483E-3</v>
      </c>
    </row>
    <row r="28" spans="1:17" x14ac:dyDescent="0.25">
      <c r="A28" s="17" t="s">
        <v>163</v>
      </c>
      <c r="B28" s="16"/>
      <c r="C28" s="16">
        <v>5.2631578947368418E-2</v>
      </c>
      <c r="D28" s="12">
        <v>67050</v>
      </c>
      <c r="E28" s="12">
        <v>30442</v>
      </c>
      <c r="F28" s="12">
        <v>27707</v>
      </c>
      <c r="G28" s="12">
        <v>5032</v>
      </c>
      <c r="H28" s="12" t="s">
        <v>184</v>
      </c>
      <c r="I28" s="17" t="s">
        <v>108</v>
      </c>
      <c r="J28" s="17" t="s">
        <v>124</v>
      </c>
      <c r="K28" s="17" t="s">
        <v>105</v>
      </c>
      <c r="L28" s="17"/>
      <c r="M28" s="17">
        <f>E28/'Data &amp; Source'!$U$24</f>
        <v>2.9145812838538114E-3</v>
      </c>
      <c r="N28" s="17">
        <f t="shared" si="0"/>
        <v>3.1299844220504637E-3</v>
      </c>
      <c r="O28">
        <f t="shared" si="1"/>
        <v>209.86545549848358</v>
      </c>
      <c r="Q28">
        <f t="shared" si="2"/>
        <v>1.6473602221318229E-4</v>
      </c>
    </row>
    <row r="29" spans="1:17" x14ac:dyDescent="0.25">
      <c r="A29" s="17" t="s">
        <v>159</v>
      </c>
      <c r="B29" s="16"/>
      <c r="C29" s="16">
        <v>5.8823529411764705E-2</v>
      </c>
      <c r="D29" s="12">
        <v>73395</v>
      </c>
      <c r="E29" s="12">
        <v>39092</v>
      </c>
      <c r="F29" s="12">
        <v>35923</v>
      </c>
      <c r="G29" s="12">
        <v>4553</v>
      </c>
      <c r="H29" s="12" t="s">
        <v>184</v>
      </c>
      <c r="I29" s="17" t="s">
        <v>108</v>
      </c>
      <c r="J29" s="17" t="s">
        <v>124</v>
      </c>
      <c r="K29" s="17" t="s">
        <v>105</v>
      </c>
      <c r="L29" s="17"/>
      <c r="M29" s="17">
        <f>E29/'Data &amp; Source'!$U$24</f>
        <v>3.742750527179988E-3</v>
      </c>
      <c r="N29" s="17">
        <f t="shared" si="0"/>
        <v>4.0193597998422152E-3</v>
      </c>
      <c r="O29">
        <f t="shared" si="1"/>
        <v>295.00091250941938</v>
      </c>
      <c r="Q29">
        <f t="shared" si="2"/>
        <v>2.3643292940248324E-4</v>
      </c>
    </row>
    <row r="30" spans="1:17" x14ac:dyDescent="0.25">
      <c r="A30" s="17" t="s">
        <v>160</v>
      </c>
      <c r="B30" s="16"/>
      <c r="C30" s="16">
        <v>4.5454545454545456E-2</v>
      </c>
      <c r="D30" s="12">
        <v>85650</v>
      </c>
      <c r="E30" s="12">
        <v>21612</v>
      </c>
      <c r="F30" s="12">
        <v>21459</v>
      </c>
      <c r="G30" s="12">
        <v>3422</v>
      </c>
      <c r="H30" s="12" t="s">
        <v>184</v>
      </c>
      <c r="I30" s="17" t="s">
        <v>108</v>
      </c>
      <c r="J30" s="17" t="s">
        <v>124</v>
      </c>
      <c r="K30" s="17" t="s">
        <v>105</v>
      </c>
      <c r="L30" s="17"/>
      <c r="M30" s="17">
        <f>E30/'Data &amp; Source'!$U$24</f>
        <v>2.0691784608977259E-3</v>
      </c>
      <c r="N30" s="17">
        <f t="shared" si="0"/>
        <v>2.2221018109636233E-3</v>
      </c>
      <c r="O30">
        <f t="shared" si="1"/>
        <v>190.32302010903433</v>
      </c>
      <c r="Q30">
        <f t="shared" si="2"/>
        <v>1.0100462777107378E-4</v>
      </c>
    </row>
    <row r="31" spans="1:17" x14ac:dyDescent="0.25">
      <c r="A31" s="17" t="s">
        <v>161</v>
      </c>
      <c r="B31" s="16"/>
      <c r="C31" s="16">
        <v>6.25E-2</v>
      </c>
      <c r="D31" s="12">
        <v>63850</v>
      </c>
      <c r="E31" s="12">
        <v>16772</v>
      </c>
      <c r="F31" s="12">
        <v>15646</v>
      </c>
      <c r="G31" s="12">
        <v>1221</v>
      </c>
      <c r="H31" s="12" t="s">
        <v>184</v>
      </c>
      <c r="I31" s="17" t="s">
        <v>108</v>
      </c>
      <c r="J31" s="17" t="s">
        <v>124</v>
      </c>
      <c r="K31" s="17" t="s">
        <v>105</v>
      </c>
      <c r="L31" s="17"/>
      <c r="M31" s="17">
        <f>E31/'Data &amp; Source'!$U$24</f>
        <v>1.6057866530712873E-3</v>
      </c>
      <c r="N31" s="17">
        <f t="shared" si="0"/>
        <v>1.7244628712512443E-3</v>
      </c>
      <c r="O31">
        <f t="shared" si="1"/>
        <v>110.10695432939195</v>
      </c>
      <c r="Q31">
        <f t="shared" si="2"/>
        <v>1.0777892945320277E-4</v>
      </c>
    </row>
    <row r="32" spans="1:17" x14ac:dyDescent="0.25">
      <c r="A32" s="17" t="s">
        <v>162</v>
      </c>
      <c r="B32" s="16"/>
      <c r="C32" s="16">
        <v>7.6923076923076927E-2</v>
      </c>
      <c r="D32" s="12">
        <v>122400</v>
      </c>
      <c r="E32" s="12">
        <v>3950</v>
      </c>
      <c r="F32" s="12">
        <v>3616</v>
      </c>
      <c r="G32" s="12">
        <v>1037</v>
      </c>
      <c r="H32" s="12" t="s">
        <v>184</v>
      </c>
      <c r="I32" s="17" t="s">
        <v>108</v>
      </c>
      <c r="J32" s="17" t="s">
        <v>124</v>
      </c>
      <c r="K32" s="17" t="s">
        <v>105</v>
      </c>
      <c r="L32" s="17"/>
      <c r="M32" s="17">
        <f>E32/'Data &amp; Source'!$U$24</f>
        <v>3.781813307674448E-4</v>
      </c>
      <c r="N32" s="17">
        <f t="shared" si="0"/>
        <v>4.0613095286444164E-4</v>
      </c>
      <c r="O32">
        <f t="shared" si="1"/>
        <v>49.710428630607659</v>
      </c>
      <c r="Q32">
        <f t="shared" si="2"/>
        <v>3.1240842528033972E-5</v>
      </c>
    </row>
    <row r="33" spans="1:17" x14ac:dyDescent="0.25">
      <c r="A33" s="22" t="s">
        <v>69</v>
      </c>
      <c r="B33" s="16"/>
      <c r="C33" s="16">
        <v>5.2631578947368418E-2</v>
      </c>
      <c r="D33" s="12">
        <v>47215</v>
      </c>
      <c r="E33" s="12">
        <v>103306</v>
      </c>
      <c r="F33" s="12">
        <v>88342</v>
      </c>
      <c r="G33" s="12">
        <v>8679</v>
      </c>
      <c r="H33" s="12" t="s">
        <v>184</v>
      </c>
      <c r="I33" s="17" t="s">
        <v>108</v>
      </c>
      <c r="J33" s="17"/>
      <c r="K33" s="17" t="s">
        <v>105</v>
      </c>
      <c r="L33" s="17"/>
      <c r="M33" s="17">
        <f>E33/'Data &amp; Source'!$U$24</f>
        <v>9.8907343180409252E-3</v>
      </c>
      <c r="N33" s="17">
        <f t="shared" si="0"/>
        <v>1.062171245990228E-2</v>
      </c>
      <c r="O33">
        <f t="shared" si="1"/>
        <v>501.50415379428614</v>
      </c>
      <c r="Q33">
        <f t="shared" si="2"/>
        <v>5.5903749788959367E-4</v>
      </c>
    </row>
    <row r="34" spans="1:17" x14ac:dyDescent="0.25">
      <c r="A34" s="22" t="s">
        <v>142</v>
      </c>
      <c r="B34" s="16"/>
      <c r="C34" s="16">
        <v>5.2631578947368418E-2</v>
      </c>
      <c r="D34" s="12">
        <v>49915</v>
      </c>
      <c r="E34" s="12">
        <v>60082</v>
      </c>
      <c r="F34" s="12">
        <v>50866</v>
      </c>
      <c r="G34" s="12">
        <v>4454</v>
      </c>
      <c r="H34" s="12" t="s">
        <v>184</v>
      </c>
      <c r="I34" s="17" t="s">
        <v>108</v>
      </c>
      <c r="J34" s="17"/>
      <c r="K34" s="17" t="s">
        <v>105</v>
      </c>
      <c r="L34" s="17"/>
      <c r="M34" s="17">
        <f>E34/'Data &amp; Source'!$U$24</f>
        <v>5.7523773962454734E-3</v>
      </c>
      <c r="N34" s="17">
        <f t="shared" si="0"/>
        <v>6.1775088379750331E-3</v>
      </c>
      <c r="O34">
        <f t="shared" si="1"/>
        <v>308.35035364752378</v>
      </c>
      <c r="Q34">
        <f t="shared" si="2"/>
        <v>3.2513204410394907E-4</v>
      </c>
    </row>
    <row r="35" spans="1:17" x14ac:dyDescent="0.25">
      <c r="A35" s="22" t="s">
        <v>143</v>
      </c>
      <c r="B35" s="16"/>
      <c r="C35" s="16">
        <v>5.2631578947368418E-2</v>
      </c>
      <c r="D35" s="12">
        <v>48530</v>
      </c>
      <c r="E35" s="12">
        <v>53447</v>
      </c>
      <c r="F35" s="12">
        <v>42732</v>
      </c>
      <c r="G35" s="12">
        <v>4100</v>
      </c>
      <c r="H35" s="12" t="s">
        <v>184</v>
      </c>
      <c r="I35" s="17" t="s">
        <v>108</v>
      </c>
      <c r="J35" s="17"/>
      <c r="K35" s="17" t="s">
        <v>105</v>
      </c>
      <c r="L35" s="17"/>
      <c r="M35" s="17">
        <f>E35/'Data &amp; Source'!$U$24</f>
        <v>5.1171285026652214E-3</v>
      </c>
      <c r="N35" s="17">
        <f t="shared" si="0"/>
        <v>5.4953116551255217E-3</v>
      </c>
      <c r="O35">
        <f t="shared" si="1"/>
        <v>266.68747462324154</v>
      </c>
      <c r="Q35">
        <f t="shared" si="2"/>
        <v>2.8922692921713272E-4</v>
      </c>
    </row>
    <row r="36" spans="1:17" x14ac:dyDescent="0.25">
      <c r="A36" s="22" t="s">
        <v>144</v>
      </c>
      <c r="B36" s="16"/>
      <c r="C36" s="16">
        <v>5.2631578947368418E-2</v>
      </c>
      <c r="D36" s="12">
        <v>30025</v>
      </c>
      <c r="E36" s="12">
        <v>22668</v>
      </c>
      <c r="F36" s="12">
        <v>19570</v>
      </c>
      <c r="G36" s="12">
        <v>3987</v>
      </c>
      <c r="H36" s="12" t="s">
        <v>184</v>
      </c>
      <c r="I36" s="17" t="s">
        <v>108</v>
      </c>
      <c r="J36" s="17"/>
      <c r="K36" s="17" t="s">
        <v>105</v>
      </c>
      <c r="L36" s="17"/>
      <c r="M36" s="17">
        <f>E36/'Data &amp; Source'!$U$24</f>
        <v>2.1702821280598578E-3</v>
      </c>
      <c r="N36" s="17">
        <f t="shared" si="0"/>
        <v>2.3306775796281425E-3</v>
      </c>
      <c r="O36">
        <f t="shared" si="1"/>
        <v>69.978594328334978</v>
      </c>
      <c r="Q36">
        <f t="shared" si="2"/>
        <v>1.2266724103306013E-4</v>
      </c>
    </row>
    <row r="37" spans="1:17" x14ac:dyDescent="0.25">
      <c r="A37" s="22" t="s">
        <v>145</v>
      </c>
      <c r="B37" s="16"/>
      <c r="C37" s="16">
        <v>5.2631578947368418E-2</v>
      </c>
      <c r="D37" s="12">
        <v>51230</v>
      </c>
      <c r="E37" s="12">
        <v>37054</v>
      </c>
      <c r="F37" s="12">
        <v>31334</v>
      </c>
      <c r="G37" s="12">
        <v>3368</v>
      </c>
      <c r="H37" s="12" t="s">
        <v>184</v>
      </c>
      <c r="I37" s="17" t="s">
        <v>108</v>
      </c>
      <c r="J37" s="17"/>
      <c r="K37" s="17" t="s">
        <v>105</v>
      </c>
      <c r="L37" s="17"/>
      <c r="M37" s="17">
        <f>E37/'Data &amp; Source'!$U$24</f>
        <v>3.5476281089257974E-3</v>
      </c>
      <c r="N37" s="17">
        <f t="shared" si="0"/>
        <v>3.8098167917567137E-3</v>
      </c>
      <c r="O37">
        <f t="shared" si="1"/>
        <v>195.17691424169644</v>
      </c>
      <c r="Q37">
        <f t="shared" si="2"/>
        <v>2.0051667325035334E-4</v>
      </c>
    </row>
    <row r="38" spans="1:17" x14ac:dyDescent="0.25">
      <c r="A38" s="22" t="s">
        <v>81</v>
      </c>
      <c r="B38" s="16"/>
      <c r="C38" s="16">
        <v>4.7619047619047616E-2</v>
      </c>
      <c r="D38" s="12">
        <v>29995</v>
      </c>
      <c r="E38" s="12">
        <v>68474</v>
      </c>
      <c r="F38" s="12">
        <v>64723</v>
      </c>
      <c r="G38" s="12"/>
      <c r="H38" s="12" t="s">
        <v>184</v>
      </c>
      <c r="I38" s="17" t="s">
        <v>108</v>
      </c>
      <c r="J38" s="17"/>
      <c r="K38" s="17" t="s">
        <v>105</v>
      </c>
      <c r="L38" s="17"/>
      <c r="M38" s="17">
        <f>E38/'Data &amp; Source'!$U$24</f>
        <v>6.5558451754354468E-3</v>
      </c>
      <c r="N38" s="17">
        <f t="shared" si="0"/>
        <v>7.0403571813771578E-3</v>
      </c>
      <c r="O38">
        <f t="shared" si="1"/>
        <v>211.17551365540785</v>
      </c>
      <c r="Q38">
        <f t="shared" si="2"/>
        <v>3.3525510387510271E-4</v>
      </c>
    </row>
    <row r="39" spans="1:17" x14ac:dyDescent="0.25">
      <c r="A39" s="22" t="s">
        <v>178</v>
      </c>
      <c r="B39" s="21"/>
      <c r="C39" s="16">
        <v>4.3478260869565216E-2</v>
      </c>
      <c r="D39" s="12">
        <v>32560</v>
      </c>
      <c r="E39" s="12">
        <v>143244</v>
      </c>
      <c r="F39" s="12">
        <v>117577</v>
      </c>
      <c r="G39" s="12">
        <v>15519</v>
      </c>
      <c r="H39" s="12" t="s">
        <v>184</v>
      </c>
      <c r="I39" s="17" t="s">
        <v>110</v>
      </c>
      <c r="J39" s="17"/>
      <c r="K39" s="17" t="s">
        <v>105</v>
      </c>
      <c r="L39" s="17"/>
      <c r="M39" s="17">
        <f>E39/'Data &amp; Source'!$U$24</f>
        <v>1.3714482669481484E-2</v>
      </c>
      <c r="N39" s="17">
        <f t="shared" si="0"/>
        <v>1.4728056256231411E-2</v>
      </c>
      <c r="O39">
        <f t="shared" si="1"/>
        <v>479.54551170289471</v>
      </c>
      <c r="Q39">
        <f t="shared" si="2"/>
        <v>6.4035027201006132E-4</v>
      </c>
    </row>
    <row r="40" spans="1:17" x14ac:dyDescent="0.25">
      <c r="A40" s="22" t="s">
        <v>138</v>
      </c>
      <c r="B40" s="21"/>
      <c r="C40" s="16">
        <v>0.04</v>
      </c>
      <c r="D40" s="12">
        <v>33800</v>
      </c>
      <c r="E40" s="12">
        <v>17873</v>
      </c>
      <c r="F40" s="12">
        <v>16958</v>
      </c>
      <c r="G40" s="12">
        <v>5002</v>
      </c>
      <c r="H40" s="12" t="s">
        <v>184</v>
      </c>
      <c r="I40" s="17" t="s">
        <v>110</v>
      </c>
      <c r="J40" s="17"/>
      <c r="K40" s="17" t="s">
        <v>105</v>
      </c>
      <c r="L40" s="17"/>
      <c r="M40" s="17">
        <f>E40/'Data &amp; Source'!$U$24</f>
        <v>1.7111987151408965E-3</v>
      </c>
      <c r="N40" s="17">
        <f t="shared" si="0"/>
        <v>1.8376654482395354E-3</v>
      </c>
      <c r="O40">
        <f t="shared" si="1"/>
        <v>62.113092150496293</v>
      </c>
      <c r="Q40">
        <f t="shared" si="2"/>
        <v>7.3506617929581416E-5</v>
      </c>
    </row>
    <row r="41" spans="1:17" x14ac:dyDescent="0.25">
      <c r="A41" s="22" t="s">
        <v>139</v>
      </c>
      <c r="B41" s="21"/>
      <c r="C41" s="16">
        <v>5.7803468208092484E-2</v>
      </c>
      <c r="D41" s="12">
        <v>32495</v>
      </c>
      <c r="E41" s="12">
        <v>34304</v>
      </c>
      <c r="F41" s="12">
        <v>29889</v>
      </c>
      <c r="G41" s="12">
        <v>4761</v>
      </c>
      <c r="H41" s="12" t="s">
        <v>184</v>
      </c>
      <c r="I41" s="17" t="s">
        <v>110</v>
      </c>
      <c r="J41" s="17"/>
      <c r="K41" s="17" t="s">
        <v>105</v>
      </c>
      <c r="L41" s="17"/>
      <c r="M41" s="17">
        <f>E41/'Data &amp; Source'!$U$24</f>
        <v>3.284337309024412E-3</v>
      </c>
      <c r="N41" s="17">
        <f t="shared" si="0"/>
        <v>3.527067394192862E-3</v>
      </c>
      <c r="O41">
        <f t="shared" si="1"/>
        <v>114.61205497429705</v>
      </c>
      <c r="Q41">
        <f t="shared" si="2"/>
        <v>2.0387672798802671E-4</v>
      </c>
    </row>
    <row r="42" spans="1:17" x14ac:dyDescent="0.25">
      <c r="A42" s="22" t="s">
        <v>85</v>
      </c>
      <c r="B42" s="21"/>
      <c r="C42" s="16">
        <v>7.6923076923076927E-2</v>
      </c>
      <c r="D42" s="12">
        <v>30745</v>
      </c>
      <c r="E42" s="12">
        <v>68007</v>
      </c>
      <c r="F42" s="12">
        <v>63382</v>
      </c>
      <c r="G42" s="12">
        <v>3837</v>
      </c>
      <c r="H42" s="12" t="s">
        <v>184</v>
      </c>
      <c r="I42" s="17" t="s">
        <v>110</v>
      </c>
      <c r="J42" s="17"/>
      <c r="K42" s="17" t="s">
        <v>105</v>
      </c>
      <c r="L42" s="17"/>
      <c r="M42" s="17">
        <f>E42/'Data &amp; Source'!$U$24</f>
        <v>6.5111336105067395E-3</v>
      </c>
      <c r="N42" s="17">
        <f t="shared" si="0"/>
        <v>6.9923411927726789E-3</v>
      </c>
      <c r="O42">
        <f t="shared" si="1"/>
        <v>214.97952997179601</v>
      </c>
      <c r="Q42">
        <f t="shared" si="2"/>
        <v>5.3787239944405227E-4</v>
      </c>
    </row>
    <row r="43" spans="1:17" x14ac:dyDescent="0.25">
      <c r="A43" s="22" t="s">
        <v>140</v>
      </c>
      <c r="B43" s="21"/>
      <c r="C43" s="16">
        <v>4.1666666666666664E-2</v>
      </c>
      <c r="D43" s="12">
        <v>29995</v>
      </c>
      <c r="E43" s="12">
        <v>40440</v>
      </c>
      <c r="F43" s="12">
        <v>27812</v>
      </c>
      <c r="G43" s="12">
        <v>3265</v>
      </c>
      <c r="H43" s="12" t="s">
        <v>184</v>
      </c>
      <c r="I43" s="17" t="s">
        <v>110</v>
      </c>
      <c r="J43" s="17"/>
      <c r="K43" s="17" t="s">
        <v>105</v>
      </c>
      <c r="L43" s="17"/>
      <c r="M43" s="17">
        <f>E43/'Data &amp; Source'!$U$24</f>
        <v>3.8718108901861946E-3</v>
      </c>
      <c r="N43" s="17">
        <f t="shared" si="0"/>
        <v>4.1579584136298784E-3</v>
      </c>
      <c r="O43">
        <f t="shared" si="1"/>
        <v>124.7179626168282</v>
      </c>
      <c r="Q43">
        <f t="shared" si="2"/>
        <v>1.7324826723457825E-4</v>
      </c>
    </row>
    <row r="44" spans="1:17" x14ac:dyDescent="0.25">
      <c r="A44" s="17" t="s">
        <v>51</v>
      </c>
      <c r="B44" s="16"/>
      <c r="C44" s="16">
        <v>4.7619047619047616E-2</v>
      </c>
      <c r="D44" s="12">
        <v>24575</v>
      </c>
      <c r="E44" s="12">
        <v>191631</v>
      </c>
      <c r="F44" s="12">
        <v>179562</v>
      </c>
      <c r="G44" s="12">
        <v>33876</v>
      </c>
      <c r="H44" s="12" t="s">
        <v>184</v>
      </c>
      <c r="I44" s="17" t="s">
        <v>136</v>
      </c>
      <c r="J44" s="17"/>
      <c r="K44" s="17" t="s">
        <v>105</v>
      </c>
      <c r="L44" s="17"/>
      <c r="M44" s="17">
        <f>E44/'Data &amp; Source'!$U$24</f>
        <v>1.8347156100328155E-2</v>
      </c>
      <c r="N44" s="17">
        <f t="shared" si="0"/>
        <v>1.9703109019839446E-2</v>
      </c>
      <c r="O44">
        <f t="shared" si="1"/>
        <v>484.20390416255441</v>
      </c>
      <c r="Q44">
        <f t="shared" si="2"/>
        <v>9.3824328665902124E-4</v>
      </c>
    </row>
    <row r="45" spans="1:17" x14ac:dyDescent="0.25">
      <c r="A45" s="17" t="s">
        <v>65</v>
      </c>
      <c r="B45" s="16"/>
      <c r="C45" s="16">
        <v>4.3478260869565216E-2</v>
      </c>
      <c r="D45" s="12">
        <v>20000</v>
      </c>
      <c r="E45" s="12">
        <v>108725</v>
      </c>
      <c r="F45" s="12">
        <v>84430</v>
      </c>
      <c r="G45" s="12">
        <v>11893</v>
      </c>
      <c r="H45" s="12" t="s">
        <v>184</v>
      </c>
      <c r="I45" s="17" t="s">
        <v>136</v>
      </c>
      <c r="J45" s="17"/>
      <c r="K45" s="17" t="s">
        <v>105</v>
      </c>
      <c r="L45" s="17"/>
      <c r="M45" s="17">
        <f>E45/'Data &amp; Source'!$U$24</f>
        <v>1.0409560807010236E-2</v>
      </c>
      <c r="N45" s="17">
        <f t="shared" si="0"/>
        <v>1.1178883000047194E-2</v>
      </c>
      <c r="O45">
        <f t="shared" si="1"/>
        <v>223.57766000094387</v>
      </c>
      <c r="Q45">
        <f t="shared" si="2"/>
        <v>4.8603839130639972E-4</v>
      </c>
    </row>
    <row r="46" spans="1:17" x14ac:dyDescent="0.25">
      <c r="A46" s="17" t="s">
        <v>72</v>
      </c>
      <c r="B46" s="16"/>
      <c r="C46" s="16">
        <v>5.2631578947368418E-2</v>
      </c>
      <c r="D46" s="12">
        <v>18390</v>
      </c>
      <c r="E46" s="12">
        <v>86926</v>
      </c>
      <c r="F46" s="12">
        <v>62817</v>
      </c>
      <c r="G46" s="12">
        <v>9595</v>
      </c>
      <c r="H46" s="12" t="s">
        <v>184</v>
      </c>
      <c r="I46" s="17" t="s">
        <v>136</v>
      </c>
      <c r="J46" s="17"/>
      <c r="K46" s="17" t="s">
        <v>105</v>
      </c>
      <c r="L46" s="17"/>
      <c r="M46" s="17">
        <f>E46/'Data &amp; Source'!$U$24</f>
        <v>8.3224785717192166E-3</v>
      </c>
      <c r="N46" s="17">
        <f t="shared" si="0"/>
        <v>8.9375542300492283E-3</v>
      </c>
      <c r="O46">
        <f t="shared" si="1"/>
        <v>164.36162229060531</v>
      </c>
      <c r="Q46">
        <f t="shared" si="2"/>
        <v>4.7039759105522251E-4</v>
      </c>
    </row>
    <row r="47" spans="1:17" x14ac:dyDescent="0.25">
      <c r="A47" s="17" t="s">
        <v>134</v>
      </c>
      <c r="B47" s="16"/>
      <c r="C47" s="16">
        <v>4.5454545454545456E-2</v>
      </c>
      <c r="D47" s="12">
        <v>20885</v>
      </c>
      <c r="E47" s="12">
        <v>37449</v>
      </c>
      <c r="F47" s="12">
        <v>30077</v>
      </c>
      <c r="G47" s="12">
        <v>3789</v>
      </c>
      <c r="H47" s="12" t="s">
        <v>184</v>
      </c>
      <c r="I47" s="17" t="s">
        <v>136</v>
      </c>
      <c r="J47" s="17"/>
      <c r="K47" s="17" t="s">
        <v>105</v>
      </c>
      <c r="L47" s="17"/>
      <c r="M47" s="17">
        <f>E47/'Data &amp; Source'!$U$24</f>
        <v>3.5854462420025421E-3</v>
      </c>
      <c r="N47" s="17">
        <f t="shared" si="0"/>
        <v>3.8504298870431579E-3</v>
      </c>
      <c r="O47">
        <f t="shared" si="1"/>
        <v>80.416228190896348</v>
      </c>
      <c r="Q47">
        <f t="shared" si="2"/>
        <v>1.7501954032014355E-4</v>
      </c>
    </row>
    <row r="48" spans="1:17" x14ac:dyDescent="0.25">
      <c r="A48" s="17" t="s">
        <v>135</v>
      </c>
      <c r="B48" s="16"/>
      <c r="C48" s="16">
        <v>4.7619047619047616E-2</v>
      </c>
      <c r="D48" s="12">
        <v>29475</v>
      </c>
      <c r="E48" s="12">
        <v>23667</v>
      </c>
      <c r="F48" s="12">
        <v>520</v>
      </c>
      <c r="G48" s="12">
        <v>2545</v>
      </c>
      <c r="H48" s="12" t="s">
        <v>184</v>
      </c>
      <c r="I48" s="17" t="s">
        <v>136</v>
      </c>
      <c r="J48" s="17"/>
      <c r="K48" s="17" t="s">
        <v>105</v>
      </c>
      <c r="L48" s="17"/>
      <c r="M48" s="17">
        <f>E48/'Data &amp; Source'!$U$24</f>
        <v>2.2659284950058522E-3</v>
      </c>
      <c r="N48" s="17">
        <f t="shared" si="0"/>
        <v>2.4333927244158835E-3</v>
      </c>
      <c r="O48">
        <f t="shared" si="1"/>
        <v>71.724250552158168</v>
      </c>
      <c r="Q48">
        <f t="shared" si="2"/>
        <v>1.1587584401980397E-4</v>
      </c>
    </row>
    <row r="49" spans="1:17" x14ac:dyDescent="0.25">
      <c r="A49" s="17" t="s">
        <v>155</v>
      </c>
      <c r="B49" s="16"/>
      <c r="C49" s="16">
        <v>4.3478260869565216E-2</v>
      </c>
      <c r="D49" s="12">
        <v>43220</v>
      </c>
      <c r="E49" s="12">
        <v>109435</v>
      </c>
      <c r="F49" s="12">
        <v>100610</v>
      </c>
      <c r="G49" s="12">
        <v>20070</v>
      </c>
      <c r="H49" s="12" t="s">
        <v>184</v>
      </c>
      <c r="I49" s="17" t="s">
        <v>107</v>
      </c>
      <c r="J49" s="17" t="s">
        <v>124</v>
      </c>
      <c r="K49" s="17" t="s">
        <v>105</v>
      </c>
      <c r="L49" s="17"/>
      <c r="M49" s="17">
        <f>E49/'Data &amp; Source'!$U$24</f>
        <v>1.0477537704439321E-2</v>
      </c>
      <c r="N49" s="17">
        <f t="shared" si="0"/>
        <v>1.1251883753600042E-2</v>
      </c>
      <c r="O49">
        <f t="shared" si="1"/>
        <v>486.30641583059383</v>
      </c>
      <c r="Q49">
        <f t="shared" si="2"/>
        <v>4.8921233711304532E-4</v>
      </c>
    </row>
    <row r="50" spans="1:17" x14ac:dyDescent="0.25">
      <c r="A50" s="17" t="s">
        <v>156</v>
      </c>
      <c r="B50" s="16"/>
      <c r="C50" s="16">
        <v>0.05</v>
      </c>
      <c r="D50" s="12">
        <v>52000</v>
      </c>
      <c r="E50" s="12">
        <v>51791</v>
      </c>
      <c r="F50" s="12">
        <v>53217</v>
      </c>
      <c r="G50" s="12">
        <v>9947</v>
      </c>
      <c r="H50" s="12" t="s">
        <v>184</v>
      </c>
      <c r="I50" s="17" t="s">
        <v>107</v>
      </c>
      <c r="J50" s="17" t="s">
        <v>124</v>
      </c>
      <c r="K50" s="17" t="s">
        <v>105</v>
      </c>
      <c r="L50" s="17"/>
      <c r="M50" s="17">
        <f>E50/'Data &amp; Source'!$U$24</f>
        <v>4.9585795700700592E-3</v>
      </c>
      <c r="N50" s="17">
        <f>E50/SUM($E$3:$E$80)</f>
        <v>5.3250451088107074E-3</v>
      </c>
      <c r="O50">
        <f>N50*D50</f>
        <v>276.90234565815678</v>
      </c>
      <c r="Q50">
        <f t="shared" si="2"/>
        <v>2.6625225544053539E-4</v>
      </c>
    </row>
    <row r="51" spans="1:17" x14ac:dyDescent="0.25">
      <c r="A51" s="17" t="s">
        <v>157</v>
      </c>
      <c r="B51" s="16"/>
      <c r="C51" s="16">
        <v>4.7619047619047616E-2</v>
      </c>
      <c r="D51" s="12">
        <v>56600</v>
      </c>
      <c r="E51" s="12">
        <v>47641</v>
      </c>
      <c r="F51" s="12">
        <v>54997</v>
      </c>
      <c r="G51" s="12">
        <v>9285</v>
      </c>
      <c r="H51" s="12" t="s">
        <v>184</v>
      </c>
      <c r="I51" s="17" t="s">
        <v>107</v>
      </c>
      <c r="J51" s="17" t="s">
        <v>124</v>
      </c>
      <c r="K51" s="17" t="s">
        <v>105</v>
      </c>
      <c r="L51" s="17"/>
      <c r="M51" s="17">
        <f>E51/'Data &amp; Source'!$U$24</f>
        <v>4.5612498174916047E-3</v>
      </c>
      <c r="N51" s="17">
        <f t="shared" si="0"/>
        <v>4.8983505633961675E-3</v>
      </c>
      <c r="O51">
        <f t="shared" si="1"/>
        <v>277.24664188822305</v>
      </c>
      <c r="Q51">
        <f t="shared" si="2"/>
        <v>2.3325478873315083E-4</v>
      </c>
    </row>
    <row r="52" spans="1:17" x14ac:dyDescent="0.25">
      <c r="A52" s="17" t="s">
        <v>158</v>
      </c>
      <c r="B52" s="16"/>
      <c r="C52" s="16">
        <v>4.3478260869565216E-2</v>
      </c>
      <c r="D52" s="12">
        <v>44050</v>
      </c>
      <c r="E52" s="12">
        <v>55495</v>
      </c>
      <c r="F52" s="12">
        <v>58208</v>
      </c>
      <c r="G52" s="12">
        <v>8497</v>
      </c>
      <c r="H52" s="12" t="s">
        <v>184</v>
      </c>
      <c r="I52" s="17" t="s">
        <v>107</v>
      </c>
      <c r="J52" s="17" t="s">
        <v>124</v>
      </c>
      <c r="K52" s="17" t="s">
        <v>105</v>
      </c>
      <c r="L52" s="17"/>
      <c r="M52" s="17">
        <f>E52/'Data &amp; Source'!$U$24</f>
        <v>5.3132083420099618E-3</v>
      </c>
      <c r="N52" s="17">
        <f t="shared" si="0"/>
        <v>5.7058828428385288E-3</v>
      </c>
      <c r="O52">
        <f t="shared" si="1"/>
        <v>251.3441392270372</v>
      </c>
      <c r="Q52">
        <f t="shared" si="2"/>
        <v>2.4808186273210997E-4</v>
      </c>
    </row>
    <row r="53" spans="1:17" x14ac:dyDescent="0.25">
      <c r="A53" s="6" t="s">
        <v>74</v>
      </c>
      <c r="B53" s="18"/>
      <c r="C53" s="18">
        <v>4.1666666666666664E-2</v>
      </c>
      <c r="D53" s="12">
        <v>28950</v>
      </c>
      <c r="E53" s="12">
        <v>134588</v>
      </c>
      <c r="F53" s="12">
        <v>124120</v>
      </c>
      <c r="G53" s="12"/>
      <c r="H53" s="12" t="s">
        <v>184</v>
      </c>
      <c r="I53" s="19" t="s">
        <v>107</v>
      </c>
      <c r="J53" s="19"/>
      <c r="K53" s="17" t="s">
        <v>105</v>
      </c>
      <c r="L53" s="17"/>
      <c r="M53" s="17">
        <f>E53/'Data &amp; Source'!$U$24</f>
        <v>1.2885738973500978E-2</v>
      </c>
      <c r="N53" s="17">
        <f t="shared" si="0"/>
        <v>1.3838063970663157E-2</v>
      </c>
      <c r="O53">
        <f t="shared" si="1"/>
        <v>400.61195195069837</v>
      </c>
      <c r="Q53">
        <f t="shared" si="2"/>
        <v>5.7658599877763147E-4</v>
      </c>
    </row>
    <row r="54" spans="1:17" x14ac:dyDescent="0.25">
      <c r="A54" s="22" t="s">
        <v>7</v>
      </c>
      <c r="B54" s="16"/>
      <c r="C54" s="16">
        <v>4.5454545454545456E-2</v>
      </c>
      <c r="D54" s="12">
        <v>31660</v>
      </c>
      <c r="E54" s="12">
        <v>248507</v>
      </c>
      <c r="F54" s="12">
        <v>249251</v>
      </c>
      <c r="G54" s="12">
        <v>24052</v>
      </c>
      <c r="H54" s="12" t="s">
        <v>184</v>
      </c>
      <c r="I54" s="17" t="s">
        <v>107</v>
      </c>
      <c r="J54" s="17"/>
      <c r="K54" s="17" t="s">
        <v>105</v>
      </c>
      <c r="L54" s="17"/>
      <c r="M54" s="17">
        <f>E54/'Data &amp; Source'!$U$24</f>
        <v>2.3792584294943141E-2</v>
      </c>
      <c r="N54" s="17">
        <f t="shared" si="0"/>
        <v>2.5550983469236403E-2</v>
      </c>
      <c r="O54">
        <f t="shared" si="1"/>
        <v>808.9441366360245</v>
      </c>
      <c r="Q54">
        <f t="shared" si="2"/>
        <v>1.1614083395107455E-3</v>
      </c>
    </row>
    <row r="55" spans="1:17" x14ac:dyDescent="0.25">
      <c r="A55" s="22" t="s">
        <v>20</v>
      </c>
      <c r="B55" s="16"/>
      <c r="C55" s="16">
        <v>3.4482758620689655E-2</v>
      </c>
      <c r="D55" s="12">
        <v>30630</v>
      </c>
      <c r="E55" s="12">
        <v>191379</v>
      </c>
      <c r="F55" s="12">
        <v>158917</v>
      </c>
      <c r="G55" s="12">
        <v>21742</v>
      </c>
      <c r="H55" s="12" t="s">
        <v>184</v>
      </c>
      <c r="I55" s="17" t="s">
        <v>107</v>
      </c>
      <c r="J55" s="17"/>
      <c r="K55" s="17" t="s">
        <v>105</v>
      </c>
      <c r="L55" s="17"/>
      <c r="M55" s="17">
        <f>E55/'Data &amp; Source'!$U$24</f>
        <v>1.8323029088846282E-2</v>
      </c>
      <c r="N55" s="17">
        <f t="shared" si="0"/>
        <v>1.9677198893226323E-2</v>
      </c>
      <c r="O55">
        <f t="shared" si="1"/>
        <v>602.71260209952231</v>
      </c>
      <c r="Q55">
        <f t="shared" si="2"/>
        <v>6.7852409976642495E-4</v>
      </c>
    </row>
    <row r="56" spans="1:17" x14ac:dyDescent="0.25">
      <c r="A56" s="22" t="s">
        <v>19</v>
      </c>
      <c r="B56" s="16"/>
      <c r="C56" s="16">
        <v>3.5714285714285712E-2</v>
      </c>
      <c r="D56" s="12">
        <v>25645</v>
      </c>
      <c r="E56" s="12">
        <v>182898</v>
      </c>
      <c r="F56" s="12">
        <v>152294</v>
      </c>
      <c r="G56" s="12">
        <v>19501</v>
      </c>
      <c r="H56" s="12" t="s">
        <v>184</v>
      </c>
      <c r="I56" s="17" t="s">
        <v>107</v>
      </c>
      <c r="J56" s="17"/>
      <c r="K56" s="17" t="s">
        <v>105</v>
      </c>
      <c r="L56" s="17"/>
      <c r="M56" s="17">
        <f>E56/'Data &amp; Source'!$U$24</f>
        <v>1.7511040261950411E-2</v>
      </c>
      <c r="N56" s="17">
        <f t="shared" si="0"/>
        <v>1.8805199751139402E-2</v>
      </c>
      <c r="O56">
        <f t="shared" si="1"/>
        <v>482.25934761796998</v>
      </c>
      <c r="Q56">
        <f t="shared" si="2"/>
        <v>6.7161427682640724E-4</v>
      </c>
    </row>
    <row r="57" spans="1:17" x14ac:dyDescent="0.25">
      <c r="A57" s="22" t="s">
        <v>6</v>
      </c>
      <c r="B57" s="16"/>
      <c r="C57" s="16">
        <v>4.7619047619047616E-2</v>
      </c>
      <c r="D57" s="12">
        <v>30395</v>
      </c>
      <c r="E57" s="12">
        <v>212273</v>
      </c>
      <c r="F57" s="12">
        <v>196312</v>
      </c>
      <c r="G57" s="12">
        <v>15159</v>
      </c>
      <c r="H57" s="12" t="s">
        <v>184</v>
      </c>
      <c r="I57" s="17" t="s">
        <v>107</v>
      </c>
      <c r="J57" s="17"/>
      <c r="K57" s="17" t="s">
        <v>105</v>
      </c>
      <c r="L57" s="17"/>
      <c r="M57" s="17">
        <f>E57/'Data &amp; Source'!$U$24</f>
        <v>2.0323464715442482E-2</v>
      </c>
      <c r="N57" s="17">
        <f t="shared" si="0"/>
        <v>2.1825477406935093E-2</v>
      </c>
      <c r="O57">
        <f t="shared" si="1"/>
        <v>663.38538578379212</v>
      </c>
      <c r="Q57">
        <f t="shared" si="2"/>
        <v>1.0393084479492901E-3</v>
      </c>
    </row>
    <row r="58" spans="1:17" x14ac:dyDescent="0.25">
      <c r="A58" s="22" t="s">
        <v>62</v>
      </c>
      <c r="B58" s="16"/>
      <c r="C58" s="16">
        <v>4.3478260869565216E-2</v>
      </c>
      <c r="D58" s="12">
        <v>30745</v>
      </c>
      <c r="E58" s="12">
        <v>120772</v>
      </c>
      <c r="F58" s="12">
        <v>136212</v>
      </c>
      <c r="G58" s="12">
        <v>14749</v>
      </c>
      <c r="H58" s="12" t="s">
        <v>184</v>
      </c>
      <c r="I58" s="17" t="s">
        <v>107</v>
      </c>
      <c r="J58" s="17"/>
      <c r="K58" s="17" t="s">
        <v>105</v>
      </c>
      <c r="L58" s="17"/>
      <c r="M58" s="17">
        <f>E58/'Data &amp; Source'!$U$24</f>
        <v>1.1562965994796417E-2</v>
      </c>
      <c r="N58" s="17">
        <f t="shared" si="0"/>
        <v>1.2417530997302365E-2</v>
      </c>
      <c r="O58">
        <f t="shared" si="1"/>
        <v>381.77699051206122</v>
      </c>
      <c r="Q58">
        <f t="shared" si="2"/>
        <v>5.3989265205662456E-4</v>
      </c>
    </row>
    <row r="59" spans="1:17" x14ac:dyDescent="0.25">
      <c r="A59" s="22" t="s">
        <v>76</v>
      </c>
      <c r="B59" s="16"/>
      <c r="C59" s="16">
        <v>4.3478260869565216E-2</v>
      </c>
      <c r="D59" s="12">
        <v>29070</v>
      </c>
      <c r="E59" s="12">
        <v>88466</v>
      </c>
      <c r="F59" s="12">
        <v>96393</v>
      </c>
      <c r="G59" s="12"/>
      <c r="H59" s="12" t="s">
        <v>184</v>
      </c>
      <c r="I59" s="17" t="s">
        <v>107</v>
      </c>
      <c r="J59" s="17"/>
      <c r="K59" s="17" t="s">
        <v>105</v>
      </c>
      <c r="L59" s="17"/>
      <c r="M59" s="17">
        <f>E59/'Data &amp; Source'!$U$24</f>
        <v>8.4699214196639928E-3</v>
      </c>
      <c r="N59" s="17">
        <f t="shared" si="0"/>
        <v>9.0958938926849857E-3</v>
      </c>
      <c r="O59">
        <f t="shared" si="1"/>
        <v>264.41763546035253</v>
      </c>
      <c r="Q59">
        <f t="shared" si="2"/>
        <v>3.9547364750804287E-4</v>
      </c>
    </row>
    <row r="60" spans="1:17" x14ac:dyDescent="0.25">
      <c r="A60" s="22" t="s">
        <v>82</v>
      </c>
      <c r="B60" s="16"/>
      <c r="C60" s="16">
        <v>4.3478260869565216E-2</v>
      </c>
      <c r="D60" s="12">
        <v>30290</v>
      </c>
      <c r="E60" s="12">
        <v>81701</v>
      </c>
      <c r="F60" s="12">
        <v>82041</v>
      </c>
      <c r="G60" s="12"/>
      <c r="H60" s="12" t="s">
        <v>184</v>
      </c>
      <c r="I60" s="17" t="s">
        <v>107</v>
      </c>
      <c r="J60" s="17"/>
      <c r="K60" s="17" t="s">
        <v>105</v>
      </c>
      <c r="L60" s="17"/>
      <c r="M60" s="17">
        <f>E60/'Data &amp; Source'!$U$24</f>
        <v>7.8222260519065848E-3</v>
      </c>
      <c r="N60" s="17">
        <f t="shared" si="0"/>
        <v>8.4003303746779095E-3</v>
      </c>
      <c r="O60">
        <f t="shared" si="1"/>
        <v>254.44600704899389</v>
      </c>
      <c r="Q60">
        <f t="shared" si="2"/>
        <v>3.6523175542077865E-4</v>
      </c>
    </row>
    <row r="61" spans="1:17" x14ac:dyDescent="0.25">
      <c r="A61" s="22" t="s">
        <v>38</v>
      </c>
      <c r="B61" s="16"/>
      <c r="C61" s="16">
        <v>5.5555555555555552E-2</v>
      </c>
      <c r="D61" s="12">
        <v>28700</v>
      </c>
      <c r="E61" s="12">
        <v>116701</v>
      </c>
      <c r="F61" s="12">
        <v>119945</v>
      </c>
      <c r="G61" s="12"/>
      <c r="H61" s="12" t="s">
        <v>184</v>
      </c>
      <c r="I61" s="17" t="s">
        <v>107</v>
      </c>
      <c r="J61" s="17"/>
      <c r="K61" s="17" t="s">
        <v>105</v>
      </c>
      <c r="L61" s="17"/>
      <c r="M61" s="17">
        <f>E61/'Data &amp; Source'!$U$24</f>
        <v>1.1173199868833311E-2</v>
      </c>
      <c r="N61" s="17">
        <f t="shared" si="0"/>
        <v>1.1998959070945114E-2</v>
      </c>
      <c r="O61">
        <f t="shared" si="1"/>
        <v>344.37012533612477</v>
      </c>
      <c r="Q61">
        <f t="shared" si="2"/>
        <v>6.6660883727472856E-4</v>
      </c>
    </row>
    <row r="62" spans="1:17" x14ac:dyDescent="0.25">
      <c r="A62" s="22" t="s">
        <v>47</v>
      </c>
      <c r="B62" s="16"/>
      <c r="C62" s="16">
        <v>4.1666666666666664E-2</v>
      </c>
      <c r="D62" s="12">
        <v>25600</v>
      </c>
      <c r="E62" s="12">
        <v>114733</v>
      </c>
      <c r="F62" s="12">
        <v>116249</v>
      </c>
      <c r="G62" s="12"/>
      <c r="H62" s="12" t="s">
        <v>184</v>
      </c>
      <c r="I62" s="17" t="s">
        <v>107</v>
      </c>
      <c r="J62" s="17"/>
      <c r="K62" s="17" t="s">
        <v>105</v>
      </c>
      <c r="L62" s="17"/>
      <c r="M62" s="17">
        <f>E62/'Data &amp; Source'!$U$24</f>
        <v>1.0984779398212973E-2</v>
      </c>
      <c r="N62" s="17">
        <f t="shared" si="0"/>
        <v>1.1796613320252147E-2</v>
      </c>
      <c r="O62">
        <f t="shared" si="1"/>
        <v>301.99330099845497</v>
      </c>
      <c r="Q62">
        <f t="shared" si="2"/>
        <v>4.9152555501050612E-4</v>
      </c>
    </row>
    <row r="63" spans="1:17" x14ac:dyDescent="0.25">
      <c r="A63" s="22" t="s">
        <v>54</v>
      </c>
      <c r="B63" s="16"/>
      <c r="C63" s="16">
        <v>5.5555555555555552E-2</v>
      </c>
      <c r="D63" s="20">
        <v>34210</v>
      </c>
      <c r="E63" s="12">
        <v>111970</v>
      </c>
      <c r="F63" s="12">
        <v>97034</v>
      </c>
      <c r="G63" s="12"/>
      <c r="H63" s="12" t="s">
        <v>184</v>
      </c>
      <c r="I63" s="17" t="s">
        <v>107</v>
      </c>
      <c r="J63" s="17"/>
      <c r="K63" s="17" t="s">
        <v>105</v>
      </c>
      <c r="L63" s="17"/>
      <c r="M63" s="17">
        <f>E63/'Data &amp; Source'!$U$24</f>
        <v>1.0720243950893871E-2</v>
      </c>
      <c r="N63" s="17">
        <f t="shared" si="0"/>
        <v>1.1512527289172538E-2</v>
      </c>
      <c r="O63">
        <f t="shared" si="1"/>
        <v>393.84355856259253</v>
      </c>
      <c r="Q63">
        <f t="shared" si="2"/>
        <v>6.3958484939847431E-4</v>
      </c>
    </row>
    <row r="64" spans="1:17" x14ac:dyDescent="0.25">
      <c r="A64" s="22" t="s">
        <v>61</v>
      </c>
      <c r="B64" s="16"/>
      <c r="C64" s="16">
        <v>4.7619047619047616E-2</v>
      </c>
      <c r="D64" s="20">
        <v>21195</v>
      </c>
      <c r="E64" s="12">
        <v>106759</v>
      </c>
      <c r="F64" s="12">
        <v>108085</v>
      </c>
      <c r="G64" s="12"/>
      <c r="H64" s="12" t="s">
        <v>184</v>
      </c>
      <c r="I64" s="17" t="s">
        <v>107</v>
      </c>
      <c r="J64" s="17"/>
      <c r="K64" s="17" t="s">
        <v>105</v>
      </c>
      <c r="L64" s="17"/>
      <c r="M64" s="17">
        <f>E64/'Data &amp; Source'!$U$24</f>
        <v>1.0221331820608011E-2</v>
      </c>
      <c r="N64" s="17">
        <f t="shared" si="0"/>
        <v>1.0976742885279727E-2</v>
      </c>
      <c r="O64">
        <f t="shared" si="1"/>
        <v>232.65206545350381</v>
      </c>
      <c r="Q64">
        <f t="shared" si="2"/>
        <v>5.2270204215617742E-4</v>
      </c>
    </row>
    <row r="65" spans="1:17" x14ac:dyDescent="0.25">
      <c r="A65" s="22" t="s">
        <v>68</v>
      </c>
      <c r="B65" s="16"/>
      <c r="C65" s="16">
        <v>4.1666666666666664E-2</v>
      </c>
      <c r="D65" s="20">
        <v>29740</v>
      </c>
      <c r="E65" s="12">
        <v>86953</v>
      </c>
      <c r="F65" s="12">
        <v>62907</v>
      </c>
      <c r="G65" s="12"/>
      <c r="H65" s="12" t="s">
        <v>184</v>
      </c>
      <c r="I65" s="17" t="s">
        <v>107</v>
      </c>
      <c r="J65" s="17"/>
      <c r="K65" s="17" t="s">
        <v>105</v>
      </c>
      <c r="L65" s="17"/>
      <c r="M65" s="17">
        <f>E65/'Data &amp; Source'!$U$24</f>
        <v>8.3250636086637034E-3</v>
      </c>
      <c r="N65" s="17">
        <f t="shared" si="0"/>
        <v>8.9403303150434911E-3</v>
      </c>
      <c r="O65">
        <f t="shared" si="1"/>
        <v>265.88542356939342</v>
      </c>
      <c r="Q65">
        <f t="shared" si="2"/>
        <v>3.7251376312681211E-4</v>
      </c>
    </row>
    <row r="66" spans="1:17" x14ac:dyDescent="0.25">
      <c r="A66" s="22" t="s">
        <v>177</v>
      </c>
      <c r="B66" s="16"/>
      <c r="C66" s="16">
        <v>4.1666666666666664E-2</v>
      </c>
      <c r="D66" s="20">
        <v>30800</v>
      </c>
      <c r="E66" s="12">
        <v>131257</v>
      </c>
      <c r="F66" s="12">
        <v>118134</v>
      </c>
      <c r="G66" s="12"/>
      <c r="H66" s="12" t="s">
        <v>184</v>
      </c>
      <c r="I66" s="17" t="s">
        <v>107</v>
      </c>
      <c r="J66" s="17"/>
      <c r="K66" s="17" t="s">
        <v>105</v>
      </c>
      <c r="L66" s="17"/>
      <c r="M66" s="17">
        <f>E66/'Data &amp; Source'!$U$24</f>
        <v>1.2566822008238608E-2</v>
      </c>
      <c r="N66" s="17">
        <f t="shared" si="0"/>
        <v>1.3495577336741268E-2</v>
      </c>
      <c r="O66">
        <f t="shared" si="1"/>
        <v>415.66378197163107</v>
      </c>
      <c r="Q66">
        <f t="shared" si="2"/>
        <v>5.6231572236421952E-4</v>
      </c>
    </row>
    <row r="67" spans="1:17" x14ac:dyDescent="0.25">
      <c r="A67" s="22" t="s">
        <v>39</v>
      </c>
      <c r="B67" s="16"/>
      <c r="C67" s="16">
        <v>4.5454545454545456E-2</v>
      </c>
      <c r="D67" s="12">
        <v>29750</v>
      </c>
      <c r="E67" s="12">
        <v>127791</v>
      </c>
      <c r="F67" s="12">
        <v>137497</v>
      </c>
      <c r="G67" s="12">
        <v>22569</v>
      </c>
      <c r="H67" s="12" t="s">
        <v>184</v>
      </c>
      <c r="I67" s="17" t="s">
        <v>109</v>
      </c>
      <c r="J67" s="17"/>
      <c r="K67" s="17" t="s">
        <v>105</v>
      </c>
      <c r="L67" s="17"/>
      <c r="M67" s="17">
        <f>E67/'Data &amp; Source'!$U$24</f>
        <v>1.2234979858253808E-2</v>
      </c>
      <c r="N67" s="17">
        <f t="shared" si="0"/>
        <v>1.3139210277848066E-2</v>
      </c>
      <c r="O67">
        <f t="shared" si="1"/>
        <v>390.89150576597996</v>
      </c>
      <c r="Q67">
        <f t="shared" si="2"/>
        <v>5.9723683081127569E-4</v>
      </c>
    </row>
    <row r="68" spans="1:17" x14ac:dyDescent="0.25">
      <c r="A68" s="22" t="s">
        <v>55</v>
      </c>
      <c r="B68" s="16"/>
      <c r="C68" s="16">
        <v>4.5454545454545456E-2</v>
      </c>
      <c r="D68" s="12">
        <v>29850</v>
      </c>
      <c r="E68" s="12">
        <v>120846</v>
      </c>
      <c r="F68" s="12">
        <v>127736</v>
      </c>
      <c r="G68" s="12">
        <v>16393</v>
      </c>
      <c r="H68" s="12" t="s">
        <v>184</v>
      </c>
      <c r="I68" s="17" t="s">
        <v>109</v>
      </c>
      <c r="J68" s="17"/>
      <c r="K68" s="17" t="s">
        <v>105</v>
      </c>
      <c r="L68" s="17"/>
      <c r="M68" s="17">
        <f>E68/'Data &amp; Source'!$U$24</f>
        <v>1.157005091086649E-2</v>
      </c>
      <c r="N68" s="17">
        <f t="shared" ref="N68:N80" si="3">E68/SUM($E$3:$E$80)</f>
        <v>1.2425139526545902E-2</v>
      </c>
      <c r="O68">
        <f t="shared" ref="O68:O80" si="4">N68*D68</f>
        <v>370.89041486739518</v>
      </c>
      <c r="Q68">
        <f t="shared" ref="Q68:Q80" si="5">C68*N68</f>
        <v>5.6477906938845013E-4</v>
      </c>
    </row>
    <row r="69" spans="1:17" x14ac:dyDescent="0.25">
      <c r="A69" s="22" t="s">
        <v>48</v>
      </c>
      <c r="B69" s="16"/>
      <c r="C69" s="16">
        <v>0.05</v>
      </c>
      <c r="D69" s="12">
        <v>25955</v>
      </c>
      <c r="E69" s="12">
        <v>127678</v>
      </c>
      <c r="F69" s="12">
        <v>101553</v>
      </c>
      <c r="G69" s="12">
        <v>6441</v>
      </c>
      <c r="H69" s="12" t="s">
        <v>184</v>
      </c>
      <c r="I69" s="17" t="s">
        <v>109</v>
      </c>
      <c r="J69" s="17"/>
      <c r="K69" s="17" t="s">
        <v>105</v>
      </c>
      <c r="L69" s="17"/>
      <c r="M69" s="17">
        <f>E69/'Data &amp; Source'!$U$24</f>
        <v>1.2224160999930588E-2</v>
      </c>
      <c r="N69" s="17">
        <f t="shared" si="3"/>
        <v>1.3127591848057259E-2</v>
      </c>
      <c r="O69">
        <f t="shared" si="4"/>
        <v>340.72664641632616</v>
      </c>
      <c r="Q69">
        <f t="shared" si="5"/>
        <v>6.56379592402863E-4</v>
      </c>
    </row>
    <row r="70" spans="1:17" x14ac:dyDescent="0.25">
      <c r="A70" s="22" t="s">
        <v>88</v>
      </c>
      <c r="B70" s="21"/>
      <c r="C70" s="16">
        <v>4.5454545454545456E-2</v>
      </c>
      <c r="D70" s="12">
        <v>28995</v>
      </c>
      <c r="E70" s="12">
        <v>62366</v>
      </c>
      <c r="F70" s="12"/>
      <c r="G70" s="12">
        <v>4539</v>
      </c>
      <c r="H70" s="12" t="s">
        <v>184</v>
      </c>
      <c r="I70" s="17" t="s">
        <v>109</v>
      </c>
      <c r="J70" s="17"/>
      <c r="K70" s="17" t="s">
        <v>105</v>
      </c>
      <c r="L70" s="17"/>
      <c r="M70" s="17">
        <f>E70/'Data &amp; Source'!$U$24</f>
        <v>5.9710523733272061E-3</v>
      </c>
      <c r="N70" s="17">
        <f t="shared" si="3"/>
        <v>6.4123450648971561E-3</v>
      </c>
      <c r="O70">
        <f t="shared" si="4"/>
        <v>185.92594515669305</v>
      </c>
      <c r="Q70">
        <f t="shared" si="5"/>
        <v>2.9147023022259804E-4</v>
      </c>
    </row>
    <row r="71" spans="1:17" x14ac:dyDescent="0.25">
      <c r="A71" s="22" t="s">
        <v>137</v>
      </c>
      <c r="B71" s="21"/>
      <c r="C71" s="16">
        <v>4.7619047619047616E-2</v>
      </c>
      <c r="D71" s="12">
        <v>26900</v>
      </c>
      <c r="E71" s="12">
        <v>44264</v>
      </c>
      <c r="F71" s="12">
        <v>36755</v>
      </c>
      <c r="G71" s="12">
        <v>3065</v>
      </c>
      <c r="H71" s="12" t="s">
        <v>184</v>
      </c>
      <c r="I71" s="17" t="s">
        <v>109</v>
      </c>
      <c r="J71" s="17"/>
      <c r="K71" s="17" t="s">
        <v>105</v>
      </c>
      <c r="L71" s="17"/>
      <c r="M71" s="17">
        <f>E71/'Data &amp; Source'!$U$24</f>
        <v>4.2379287152127035E-3</v>
      </c>
      <c r="N71" s="17">
        <f t="shared" si="3"/>
        <v>4.551134303187758E-3</v>
      </c>
      <c r="O71">
        <f t="shared" si="4"/>
        <v>122.42551275575069</v>
      </c>
      <c r="Q71">
        <f t="shared" si="5"/>
        <v>2.1672068110417894E-4</v>
      </c>
    </row>
    <row r="72" spans="1:17" x14ac:dyDescent="0.25">
      <c r="A72" s="17" t="s">
        <v>146</v>
      </c>
      <c r="B72" s="16"/>
      <c r="C72" s="16">
        <v>0.04</v>
      </c>
      <c r="D72" s="20">
        <v>33750</v>
      </c>
      <c r="E72" s="12">
        <v>27812</v>
      </c>
      <c r="F72" s="12">
        <v>14420</v>
      </c>
      <c r="G72" s="12">
        <v>5487</v>
      </c>
      <c r="H72" s="12" t="s">
        <v>184</v>
      </c>
      <c r="I72" s="17" t="s">
        <v>150</v>
      </c>
      <c r="J72" s="17" t="s">
        <v>124</v>
      </c>
      <c r="K72" s="17" t="s">
        <v>105</v>
      </c>
      <c r="L72" s="17"/>
      <c r="M72" s="17">
        <f>E72/'Data &amp; Source'!$U$24</f>
        <v>2.6627795370390318E-3</v>
      </c>
      <c r="N72" s="17">
        <f t="shared" si="3"/>
        <v>2.8595731800166711E-3</v>
      </c>
      <c r="O72">
        <f t="shared" si="4"/>
        <v>96.510594825562649</v>
      </c>
      <c r="Q72">
        <f t="shared" si="5"/>
        <v>1.1438292720066685E-4</v>
      </c>
    </row>
    <row r="73" spans="1:17" x14ac:dyDescent="0.25">
      <c r="A73" s="17" t="s">
        <v>147</v>
      </c>
      <c r="B73" s="16"/>
      <c r="C73" s="16">
        <v>0.04</v>
      </c>
      <c r="D73" s="20">
        <v>32850</v>
      </c>
      <c r="E73" s="12">
        <v>24545</v>
      </c>
      <c r="F73" s="12">
        <v>25593</v>
      </c>
      <c r="G73" s="12">
        <v>5294</v>
      </c>
      <c r="H73" s="12" t="s">
        <v>184</v>
      </c>
      <c r="I73" s="17" t="s">
        <v>150</v>
      </c>
      <c r="J73" s="17" t="s">
        <v>124</v>
      </c>
      <c r="K73" s="17" t="s">
        <v>105</v>
      </c>
      <c r="L73" s="17"/>
      <c r="M73" s="17">
        <f>E73/'Data &amp; Source'!$U$24</f>
        <v>2.3499900667561854E-3</v>
      </c>
      <c r="N73" s="17">
        <f t="shared" si="3"/>
        <v>2.5236668957108149E-3</v>
      </c>
      <c r="O73">
        <f t="shared" si="4"/>
        <v>82.902457524100271</v>
      </c>
      <c r="Q73">
        <f t="shared" si="5"/>
        <v>1.009466758284326E-4</v>
      </c>
    </row>
    <row r="74" spans="1:17" x14ac:dyDescent="0.25">
      <c r="A74" s="17" t="s">
        <v>148</v>
      </c>
      <c r="B74" s="16"/>
      <c r="C74" s="16">
        <v>4.3478260869565216E-2</v>
      </c>
      <c r="D74" s="20">
        <v>31800</v>
      </c>
      <c r="E74" s="12">
        <v>20048</v>
      </c>
      <c r="F74" s="12">
        <v>13229</v>
      </c>
      <c r="G74" s="12">
        <v>3936</v>
      </c>
      <c r="H74" s="12" t="s">
        <v>184</v>
      </c>
      <c r="I74" s="17" t="s">
        <v>150</v>
      </c>
      <c r="J74" s="17" t="s">
        <v>124</v>
      </c>
      <c r="K74" s="17" t="s">
        <v>105</v>
      </c>
      <c r="L74" s="17"/>
      <c r="M74" s="17">
        <f>E74/'Data &amp; Source'!$U$24</f>
        <v>1.9194378023356287E-3</v>
      </c>
      <c r="N74" s="17">
        <f t="shared" si="3"/>
        <v>2.0612945172218547E-3</v>
      </c>
      <c r="O74">
        <f t="shared" si="4"/>
        <v>65.549165647654974</v>
      </c>
      <c r="Q74">
        <f t="shared" si="5"/>
        <v>8.9621500748776294E-5</v>
      </c>
    </row>
    <row r="75" spans="1:17" x14ac:dyDescent="0.25">
      <c r="A75" s="17" t="s">
        <v>149</v>
      </c>
      <c r="B75" s="16"/>
      <c r="C75" s="16">
        <v>3.7037037037037035E-2</v>
      </c>
      <c r="D75" s="20">
        <v>29950</v>
      </c>
      <c r="E75" s="12">
        <v>42120</v>
      </c>
      <c r="F75" s="12">
        <v>41770</v>
      </c>
      <c r="G75" s="12">
        <v>333</v>
      </c>
      <c r="H75" s="12" t="s">
        <v>184</v>
      </c>
      <c r="I75" s="17" t="s">
        <v>150</v>
      </c>
      <c r="J75" s="17" t="s">
        <v>124</v>
      </c>
      <c r="K75" s="17" t="s">
        <v>105</v>
      </c>
      <c r="L75" s="17"/>
      <c r="M75" s="17">
        <f>E75/'Data &amp; Source'!$U$24</f>
        <v>4.0326576333986775E-3</v>
      </c>
      <c r="N75" s="17">
        <f t="shared" si="3"/>
        <v>4.3306925910507037E-3</v>
      </c>
      <c r="O75">
        <f t="shared" si="4"/>
        <v>129.70424310196859</v>
      </c>
      <c r="Q75">
        <f t="shared" si="5"/>
        <v>1.603960218907668E-4</v>
      </c>
    </row>
    <row r="76" spans="1:17" x14ac:dyDescent="0.25">
      <c r="A76" s="22" t="s">
        <v>75</v>
      </c>
      <c r="B76" s="17"/>
      <c r="C76" s="16">
        <v>3.2258064516129031E-2</v>
      </c>
      <c r="D76" s="12">
        <v>19465</v>
      </c>
      <c r="E76" s="12">
        <v>82041</v>
      </c>
      <c r="F76" s="12">
        <v>41969</v>
      </c>
      <c r="G76" s="12">
        <v>11859</v>
      </c>
      <c r="H76" s="12" t="s">
        <v>184</v>
      </c>
      <c r="I76" s="17" t="s">
        <v>150</v>
      </c>
      <c r="J76" s="17"/>
      <c r="K76" s="17" t="s">
        <v>105</v>
      </c>
      <c r="L76" s="17"/>
      <c r="M76" s="17">
        <f>E76/'Data &amp; Source'!$U$24</f>
        <v>7.8547783689853004E-3</v>
      </c>
      <c r="N76" s="17">
        <f t="shared" si="3"/>
        <v>8.4352884820130761E-3</v>
      </c>
      <c r="O76">
        <f t="shared" si="4"/>
        <v>164.19289030238454</v>
      </c>
      <c r="Q76">
        <f t="shared" si="5"/>
        <v>2.7210608006493796E-4</v>
      </c>
    </row>
    <row r="77" spans="1:17" x14ac:dyDescent="0.25">
      <c r="A77" s="22" t="s">
        <v>87</v>
      </c>
      <c r="B77" s="16"/>
      <c r="C77" s="16">
        <v>3.8461538461538464E-2</v>
      </c>
      <c r="D77" s="12">
        <v>19325</v>
      </c>
      <c r="E77" s="12">
        <v>106606</v>
      </c>
      <c r="F77" s="12">
        <v>60864</v>
      </c>
      <c r="G77" s="12">
        <v>6458</v>
      </c>
      <c r="H77" s="12" t="s">
        <v>184</v>
      </c>
      <c r="I77" s="17" t="s">
        <v>150</v>
      </c>
      <c r="J77" s="17"/>
      <c r="K77" s="17" t="s">
        <v>105</v>
      </c>
      <c r="L77" s="17"/>
      <c r="M77" s="17">
        <f>E77/'Data &amp; Source'!$U$24</f>
        <v>1.0206683277922587E-2</v>
      </c>
      <c r="N77" s="17">
        <f t="shared" si="3"/>
        <v>1.0961011736978901E-2</v>
      </c>
      <c r="O77">
        <f t="shared" si="4"/>
        <v>211.82155181711727</v>
      </c>
      <c r="Q77">
        <f t="shared" si="5"/>
        <v>4.2157737449918852E-4</v>
      </c>
    </row>
    <row r="78" spans="1:17" x14ac:dyDescent="0.25">
      <c r="A78" s="5" t="s">
        <v>97</v>
      </c>
      <c r="B78" s="13"/>
      <c r="C78" s="13">
        <v>3.3333333333333333E-2</v>
      </c>
      <c r="D78" s="11">
        <v>22990</v>
      </c>
      <c r="E78" s="11">
        <v>78565</v>
      </c>
      <c r="F78" s="11">
        <v>67549</v>
      </c>
      <c r="G78" s="11">
        <v>3775</v>
      </c>
      <c r="H78" s="12" t="s">
        <v>184</v>
      </c>
      <c r="I78" t="s">
        <v>150</v>
      </c>
      <c r="K78" t="s">
        <v>105</v>
      </c>
      <c r="M78" s="17">
        <f>E78/'Data &amp; Source'!$U$24</f>
        <v>7.5219787979099494E-3</v>
      </c>
      <c r="N78" s="17">
        <f t="shared" si="3"/>
        <v>8.0778932434923678E-3</v>
      </c>
      <c r="O78">
        <f t="shared" si="4"/>
        <v>185.71076566788955</v>
      </c>
      <c r="Q78">
        <f t="shared" si="5"/>
        <v>2.6926310811641225E-4</v>
      </c>
    </row>
    <row r="79" spans="1:17" x14ac:dyDescent="0.25">
      <c r="A79" s="5" t="s">
        <v>96</v>
      </c>
      <c r="B79" s="13"/>
      <c r="C79" s="13">
        <v>3.5714285714285712E-2</v>
      </c>
      <c r="D79" s="11">
        <v>21000</v>
      </c>
      <c r="E79" s="11">
        <v>79016</v>
      </c>
      <c r="F79" s="11">
        <v>63030</v>
      </c>
      <c r="G79" s="11">
        <v>2821</v>
      </c>
      <c r="H79" s="12" t="s">
        <v>184</v>
      </c>
      <c r="I79" t="s">
        <v>150</v>
      </c>
      <c r="K79" t="s">
        <v>105</v>
      </c>
      <c r="M79" s="17">
        <f>E79/'Data &amp; Source'!$U$24</f>
        <v>7.5651584890937774E-3</v>
      </c>
      <c r="N79" s="17">
        <f t="shared" si="3"/>
        <v>8.1242641446928401E-3</v>
      </c>
      <c r="O79">
        <f t="shared" si="4"/>
        <v>170.60954703854964</v>
      </c>
      <c r="Q79">
        <f t="shared" si="5"/>
        <v>2.9015229088188711E-4</v>
      </c>
    </row>
    <row r="80" spans="1:17" x14ac:dyDescent="0.25">
      <c r="A80" s="5" t="s">
        <v>141</v>
      </c>
      <c r="B80" s="13"/>
      <c r="C80" s="13">
        <v>3.5714285714285712E-2</v>
      </c>
      <c r="D80" s="11">
        <v>26100</v>
      </c>
      <c r="E80" s="11">
        <v>12706</v>
      </c>
      <c r="F80" s="11">
        <v>16686</v>
      </c>
      <c r="G80" s="11">
        <v>2671</v>
      </c>
      <c r="H80" s="12" t="s">
        <v>184</v>
      </c>
      <c r="I80" t="s">
        <v>150</v>
      </c>
      <c r="K80" t="s">
        <v>105</v>
      </c>
      <c r="M80" s="17">
        <f>E80/'Data &amp; Source'!$U$24</f>
        <v>1.2164992376534566E-3</v>
      </c>
      <c r="N80" s="17">
        <f t="shared" si="3"/>
        <v>1.3064050347077456E-3</v>
      </c>
      <c r="O80">
        <f t="shared" si="4"/>
        <v>34.09717140587216</v>
      </c>
      <c r="Q80">
        <f t="shared" si="5"/>
        <v>4.6657322668133773E-5</v>
      </c>
    </row>
    <row r="81" spans="1:13" x14ac:dyDescent="0.25">
      <c r="A81" s="5" t="s">
        <v>187</v>
      </c>
      <c r="E81" s="15">
        <f>SUM(E3:E80)</f>
        <v>9725927</v>
      </c>
      <c r="M81" s="17">
        <f>E81/'Data &amp; Source'!$U$24</f>
        <v>0.93118076349544865</v>
      </c>
    </row>
    <row r="82" spans="1:13" x14ac:dyDescent="0.25">
      <c r="A82" s="5" t="s">
        <v>231</v>
      </c>
      <c r="E82" s="15">
        <f>'Data &amp; Source'!U24-'ICV LDT'!E81</f>
        <v>718798</v>
      </c>
      <c r="M82" s="17">
        <f>E82/'Data &amp; Source'!$U$24</f>
        <v>6.8819236504551337E-2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W81"/>
  <sheetViews>
    <sheetView topLeftCell="A4" workbookViewId="0">
      <selection activeCell="P6" sqref="P6"/>
    </sheetView>
  </sheetViews>
  <sheetFormatPr defaultRowHeight="15" x14ac:dyDescent="0.25"/>
  <cols>
    <col min="1" max="1" width="23.7109375" bestFit="1" customWidth="1"/>
    <col min="2" max="2" width="10.7109375" customWidth="1"/>
    <col min="3" max="3" width="11" customWidth="1"/>
    <col min="4" max="4" width="7" customWidth="1"/>
    <col min="5" max="5" width="15" customWidth="1"/>
    <col min="6" max="6" width="13.42578125" customWidth="1"/>
    <col min="7" max="7" width="13.5703125" customWidth="1"/>
    <col min="8" max="8" width="13.28515625" customWidth="1"/>
    <col min="9" max="9" width="14.5703125" customWidth="1"/>
    <col min="10" max="10" width="12.7109375" bestFit="1" customWidth="1"/>
    <col min="11" max="12" width="9.5703125" customWidth="1"/>
    <col min="13" max="13" width="13.42578125" customWidth="1"/>
    <col min="14" max="14" width="12" bestFit="1" customWidth="1"/>
    <col min="15" max="15" width="14.7109375" bestFit="1" customWidth="1"/>
    <col min="16" max="16" width="12" bestFit="1" customWidth="1"/>
    <col min="17" max="17" width="22.7109375" bestFit="1" customWidth="1"/>
    <col min="18" max="18" width="9.5703125" customWidth="1"/>
    <col min="20" max="20" width="23" bestFit="1" customWidth="1"/>
    <col min="21" max="21" width="11.140625" bestFit="1" customWidth="1"/>
    <col min="22" max="22" width="12.140625" bestFit="1" customWidth="1"/>
  </cols>
  <sheetData>
    <row r="2" spans="1:23" ht="15.75" thickBot="1" x14ac:dyDescent="0.3">
      <c r="A2" s="1" t="s">
        <v>102</v>
      </c>
      <c r="B2" s="1" t="s">
        <v>165</v>
      </c>
      <c r="C2" s="1" t="s">
        <v>166</v>
      </c>
      <c r="D2" s="2" t="s">
        <v>0</v>
      </c>
      <c r="E2" s="9" t="s">
        <v>111</v>
      </c>
      <c r="F2" s="9" t="s">
        <v>112</v>
      </c>
      <c r="G2" s="9" t="s">
        <v>113</v>
      </c>
      <c r="H2" s="9" t="s">
        <v>238</v>
      </c>
      <c r="I2" s="9" t="s">
        <v>379</v>
      </c>
      <c r="J2" s="10" t="s">
        <v>98</v>
      </c>
      <c r="K2" s="10" t="s">
        <v>124</v>
      </c>
      <c r="L2" s="3" t="s">
        <v>99</v>
      </c>
      <c r="M2" s="3" t="s">
        <v>232</v>
      </c>
      <c r="N2" s="63" t="s">
        <v>185</v>
      </c>
      <c r="O2" s="63" t="s">
        <v>186</v>
      </c>
      <c r="P2" s="63" t="s">
        <v>187</v>
      </c>
      <c r="Q2" s="63" t="s">
        <v>207</v>
      </c>
      <c r="R2" s="63" t="s">
        <v>187</v>
      </c>
    </row>
    <row r="3" spans="1:23" x14ac:dyDescent="0.25">
      <c r="A3" s="75" t="s">
        <v>193</v>
      </c>
      <c r="B3" s="76"/>
      <c r="C3" s="77">
        <v>0.04</v>
      </c>
      <c r="D3" s="78">
        <v>54000</v>
      </c>
      <c r="E3" s="78">
        <v>8561</v>
      </c>
      <c r="F3" s="78">
        <v>7722</v>
      </c>
      <c r="G3" s="78"/>
      <c r="H3" s="79">
        <f t="shared" ref="H3:H9" si="0">E3/SUM($E$3:$E$9,$E$12:$E$25,$E$28:$E$31)*$U$9</f>
        <v>1.896714407022513E-2</v>
      </c>
      <c r="I3" s="80">
        <f t="shared" ref="I3:I31" si="1">98763*H3</f>
        <v>1873.2520498076444</v>
      </c>
      <c r="J3" s="75" t="s">
        <v>107</v>
      </c>
      <c r="K3" s="75" t="s">
        <v>124</v>
      </c>
      <c r="L3" t="s">
        <v>104</v>
      </c>
      <c r="M3">
        <f>E3/[1]Data!$U$20</f>
        <v>2.4669408032181747E-2</v>
      </c>
      <c r="N3" s="17">
        <f>E3/SUM($E$3:$E$19)</f>
        <v>5.4734352023527909E-2</v>
      </c>
      <c r="O3">
        <f>D3*N3</f>
        <v>2955.655009270507</v>
      </c>
      <c r="P3" s="75">
        <f>SUM(O3:O30)</f>
        <v>58044.550508279521</v>
      </c>
      <c r="Q3">
        <f>C3*N3</f>
        <v>2.1893740809411162E-3</v>
      </c>
      <c r="R3" s="120">
        <f>SUM(Q3:Q80)</f>
        <v>4.993809064975642E-2</v>
      </c>
      <c r="T3" s="70"/>
      <c r="U3" s="71" t="s">
        <v>385</v>
      </c>
      <c r="V3" s="71" t="s">
        <v>387</v>
      </c>
      <c r="W3" s="72" t="s">
        <v>386</v>
      </c>
    </row>
    <row r="4" spans="1:23" x14ac:dyDescent="0.25">
      <c r="A4" s="75" t="s">
        <v>268</v>
      </c>
      <c r="B4" s="75" t="s">
        <v>271</v>
      </c>
      <c r="C4" s="75"/>
      <c r="D4" s="75"/>
      <c r="E4" s="75">
        <v>1114</v>
      </c>
      <c r="F4" s="75">
        <v>2356</v>
      </c>
      <c r="G4" s="75"/>
      <c r="H4" s="79">
        <f t="shared" si="0"/>
        <v>2.4680993451969154E-3</v>
      </c>
      <c r="I4" s="80">
        <f t="shared" si="1"/>
        <v>243.75689562968296</v>
      </c>
      <c r="J4" s="75" t="s">
        <v>107</v>
      </c>
      <c r="K4" s="75" t="s">
        <v>124</v>
      </c>
      <c r="N4" s="17"/>
      <c r="T4" s="64" t="s">
        <v>381</v>
      </c>
      <c r="U4" s="61">
        <f>F26</f>
        <v>113829</v>
      </c>
      <c r="V4" s="62">
        <f>U4/SUM($U$4:$U$7)</f>
        <v>0.62175478077530222</v>
      </c>
      <c r="W4" s="65">
        <f>ROUND(49490*V4,0)</f>
        <v>30771</v>
      </c>
    </row>
    <row r="5" spans="1:23" x14ac:dyDescent="0.25">
      <c r="A5" s="75" t="s">
        <v>203</v>
      </c>
      <c r="B5" s="76"/>
      <c r="C5" s="77">
        <v>2.5000000000000001E-2</v>
      </c>
      <c r="D5" s="78">
        <v>35170</v>
      </c>
      <c r="E5" s="78">
        <v>7219</v>
      </c>
      <c r="F5" s="78">
        <v>8403</v>
      </c>
      <c r="G5" s="78"/>
      <c r="H5" s="79">
        <f t="shared" si="0"/>
        <v>1.5993904105005861E-2</v>
      </c>
      <c r="I5" s="80">
        <f t="shared" si="1"/>
        <v>1579.6059511226938</v>
      </c>
      <c r="J5" s="75" t="s">
        <v>164</v>
      </c>
      <c r="K5" s="75" t="s">
        <v>124</v>
      </c>
      <c r="L5" t="s">
        <v>104</v>
      </c>
      <c r="M5">
        <f>E5/[1]Data!$U$20</f>
        <v>2.0802296061712421E-2</v>
      </c>
      <c r="N5" s="17">
        <f>E5/SUM($E$3:$E$19)</f>
        <v>4.6154337957931078E-2</v>
      </c>
      <c r="O5">
        <f>D5*N5</f>
        <v>1623.248065980436</v>
      </c>
      <c r="Q5">
        <f>C5*N5</f>
        <v>1.153858448948277E-3</v>
      </c>
      <c r="T5" s="64" t="s">
        <v>382</v>
      </c>
      <c r="U5" s="61">
        <f>F11</f>
        <v>38484</v>
      </c>
      <c r="V5" s="62">
        <f>U5/SUM($U$4:$U$7)</f>
        <v>0.21020663436696035</v>
      </c>
      <c r="W5" s="65">
        <f t="shared" ref="W5:W7" si="2">ROUND(49490*V5,0)</f>
        <v>10403</v>
      </c>
    </row>
    <row r="6" spans="1:23" x14ac:dyDescent="0.25">
      <c r="A6" s="75" t="s">
        <v>274</v>
      </c>
      <c r="B6" s="75" t="s">
        <v>275</v>
      </c>
      <c r="C6" s="75"/>
      <c r="D6" s="75"/>
      <c r="E6" s="75">
        <v>269</v>
      </c>
      <c r="F6" s="75">
        <v>0</v>
      </c>
      <c r="G6" s="75"/>
      <c r="H6" s="79">
        <f t="shared" si="0"/>
        <v>5.9597731046496431E-4</v>
      </c>
      <c r="I6" s="80">
        <f t="shared" si="1"/>
        <v>58.86050711345127</v>
      </c>
      <c r="J6" s="75" t="s">
        <v>164</v>
      </c>
      <c r="K6" s="75" t="s">
        <v>124</v>
      </c>
      <c r="N6" s="17"/>
      <c r="T6" s="64" t="s">
        <v>383</v>
      </c>
      <c r="U6" s="61">
        <f>F27</f>
        <v>28290</v>
      </c>
      <c r="V6" s="62">
        <f>U6/SUM($U$4:$U$7)</f>
        <v>0.15452514515750204</v>
      </c>
      <c r="W6" s="65">
        <f t="shared" si="2"/>
        <v>7647</v>
      </c>
    </row>
    <row r="7" spans="1:23" ht="15.75" thickBot="1" x14ac:dyDescent="0.3">
      <c r="A7" s="75" t="s">
        <v>268</v>
      </c>
      <c r="B7" s="75" t="s">
        <v>285</v>
      </c>
      <c r="C7" s="75"/>
      <c r="D7" s="75"/>
      <c r="E7" s="75">
        <v>118</v>
      </c>
      <c r="F7" s="75">
        <v>176</v>
      </c>
      <c r="G7" s="75"/>
      <c r="H7" s="79">
        <f t="shared" si="0"/>
        <v>2.6143242615191738E-4</v>
      </c>
      <c r="I7" s="80">
        <f t="shared" si="1"/>
        <v>25.819850704041816</v>
      </c>
      <c r="J7" s="75" t="s">
        <v>164</v>
      </c>
      <c r="K7" s="75" t="s">
        <v>124</v>
      </c>
      <c r="N7" s="17"/>
      <c r="T7" s="66" t="s">
        <v>384</v>
      </c>
      <c r="U7" s="67">
        <f>'Hybrid(plugin)'!E6</f>
        <v>2474</v>
      </c>
      <c r="V7" s="68">
        <f>U7/SUM($U$4:$U$7)</f>
        <v>1.351343970023542E-2</v>
      </c>
      <c r="W7" s="69">
        <f t="shared" si="2"/>
        <v>669</v>
      </c>
    </row>
    <row r="8" spans="1:23" ht="15.75" thickBot="1" x14ac:dyDescent="0.3">
      <c r="A8" s="75" t="s">
        <v>197</v>
      </c>
      <c r="B8" s="76"/>
      <c r="C8" s="77">
        <v>2.5000000000000001E-2</v>
      </c>
      <c r="D8" s="78">
        <v>41820</v>
      </c>
      <c r="E8" s="78">
        <v>7645</v>
      </c>
      <c r="F8" s="78">
        <v>11241</v>
      </c>
      <c r="G8" s="78"/>
      <c r="H8" s="79">
        <f t="shared" si="0"/>
        <v>1.6937719473994989E-2</v>
      </c>
      <c r="I8" s="80">
        <f t="shared" si="1"/>
        <v>1672.8199884101671</v>
      </c>
      <c r="J8" s="75" t="s">
        <v>164</v>
      </c>
      <c r="K8" s="75" t="s">
        <v>124</v>
      </c>
      <c r="L8" t="s">
        <v>104</v>
      </c>
      <c r="M8">
        <f>E8/[1]Data!$U$20</f>
        <v>2.202985917603428E-2</v>
      </c>
      <c r="N8" s="17">
        <f>E8/SUM($E$3:$E$19)</f>
        <v>4.887794898024423E-2</v>
      </c>
      <c r="O8">
        <f>D8*N8</f>
        <v>2044.0758263538137</v>
      </c>
      <c r="Q8">
        <f>C8*N8</f>
        <v>1.2219487245061058E-3</v>
      </c>
    </row>
    <row r="9" spans="1:23" ht="15.75" thickBot="1" x14ac:dyDescent="0.3">
      <c r="A9" s="75" t="s">
        <v>380</v>
      </c>
      <c r="B9" s="75"/>
      <c r="C9" s="75">
        <v>3.2000000000000001E-2</v>
      </c>
      <c r="D9" s="78">
        <v>39720</v>
      </c>
      <c r="E9" s="75">
        <v>2842</v>
      </c>
      <c r="F9" s="75">
        <v>2573</v>
      </c>
      <c r="G9" s="75"/>
      <c r="H9" s="79">
        <f t="shared" si="0"/>
        <v>6.2965335179978755E-3</v>
      </c>
      <c r="I9" s="80">
        <f t="shared" si="1"/>
        <v>621.86453983802414</v>
      </c>
      <c r="J9" s="75" t="s">
        <v>106</v>
      </c>
      <c r="K9" s="75" t="s">
        <v>124</v>
      </c>
      <c r="N9" s="17"/>
      <c r="T9" s="73" t="s">
        <v>388</v>
      </c>
      <c r="U9" s="74">
        <f>1-SUM(H10,H11,H26,H27)</f>
        <v>0.45119913460268168</v>
      </c>
    </row>
    <row r="10" spans="1:23" ht="15.75" thickBot="1" x14ac:dyDescent="0.3">
      <c r="A10" s="81" t="s">
        <v>194</v>
      </c>
      <c r="B10" s="82"/>
      <c r="C10" s="83">
        <v>2.3809523809523808E-2</v>
      </c>
      <c r="D10" s="78">
        <v>31250</v>
      </c>
      <c r="E10" s="78">
        <v>8903</v>
      </c>
      <c r="F10" s="78">
        <v>14657</v>
      </c>
      <c r="G10" s="78">
        <v>5380</v>
      </c>
      <c r="H10" s="79">
        <f>G10/98763</f>
        <v>5.447384141834493E-2</v>
      </c>
      <c r="I10" s="80">
        <f t="shared" si="1"/>
        <v>5380</v>
      </c>
      <c r="J10" s="75" t="s">
        <v>103</v>
      </c>
      <c r="K10" s="75" t="s">
        <v>124</v>
      </c>
      <c r="L10" t="s">
        <v>104</v>
      </c>
      <c r="M10">
        <f>E10/[1]Data!$U$20</f>
        <v>2.5654916447904932E-2</v>
      </c>
      <c r="N10" s="17">
        <f>E10/SUM($E$3:$E$19)</f>
        <v>5.6920912985103253E-2</v>
      </c>
      <c r="O10">
        <f>D10*N10</f>
        <v>1778.7785307844767</v>
      </c>
      <c r="Q10">
        <f>C10*N10</f>
        <v>1.3552598329786489E-3</v>
      </c>
    </row>
    <row r="11" spans="1:23" x14ac:dyDescent="0.25">
      <c r="A11" s="75" t="s">
        <v>200</v>
      </c>
      <c r="B11" s="76"/>
      <c r="C11" s="77">
        <v>2.1739130434782608E-2</v>
      </c>
      <c r="D11" s="78">
        <v>20150</v>
      </c>
      <c r="E11" s="78">
        <v>20452</v>
      </c>
      <c r="F11" s="78">
        <v>38484</v>
      </c>
      <c r="G11" s="78">
        <f>49490*V5</f>
        <v>10403.126334820869</v>
      </c>
      <c r="H11" s="79">
        <f>G11/98763</f>
        <v>0.10533424799591819</v>
      </c>
      <c r="I11" s="80">
        <f t="shared" si="1"/>
        <v>10403.126334820869</v>
      </c>
      <c r="J11" s="75" t="s">
        <v>100</v>
      </c>
      <c r="K11" s="75"/>
      <c r="L11" t="s">
        <v>104</v>
      </c>
      <c r="M11">
        <f>E11/[1]Data!$U$20</f>
        <v>5.8934555901668163E-2</v>
      </c>
      <c r="N11" s="17">
        <f>E11/SUM($E$3:$E$19)</f>
        <v>0.13075890288344735</v>
      </c>
      <c r="O11">
        <f>D11*N11</f>
        <v>2634.7918931014642</v>
      </c>
      <c r="Q11">
        <f>C11*N11</f>
        <v>2.8425848452923335E-3</v>
      </c>
      <c r="T11" s="44" t="s">
        <v>183</v>
      </c>
      <c r="U11" s="45">
        <f>SUM(U14:U21)</f>
        <v>0.85255211165031863</v>
      </c>
    </row>
    <row r="12" spans="1:23" ht="15.75" thickBot="1" x14ac:dyDescent="0.3">
      <c r="A12" s="75" t="s">
        <v>247</v>
      </c>
      <c r="B12" s="75" t="s">
        <v>270</v>
      </c>
      <c r="C12" s="75"/>
      <c r="D12" s="75"/>
      <c r="E12" s="75">
        <v>2338</v>
      </c>
      <c r="F12" s="78">
        <v>3073</v>
      </c>
      <c r="G12" s="75"/>
      <c r="H12" s="79">
        <f t="shared" ref="H12:H25" si="3">E12/SUM($E$3:$E$9,$E$12:$E$25,$E$28:$E$31)*$U$9</f>
        <v>5.1799068842642614E-3</v>
      </c>
      <c r="I12" s="80">
        <f t="shared" si="1"/>
        <v>511.58314361059126</v>
      </c>
      <c r="J12" s="75" t="s">
        <v>100</v>
      </c>
      <c r="K12" s="75"/>
      <c r="N12" s="17"/>
      <c r="T12" s="48" t="s">
        <v>184</v>
      </c>
      <c r="U12" s="49">
        <f>SUM(U22:U32)</f>
        <v>0.14744788834968142</v>
      </c>
    </row>
    <row r="13" spans="1:23" ht="15.75" thickBot="1" x14ac:dyDescent="0.3">
      <c r="A13" s="75" t="s">
        <v>192</v>
      </c>
      <c r="B13" s="76"/>
      <c r="C13" s="77">
        <v>3.4482758620689655E-2</v>
      </c>
      <c r="D13" s="78">
        <v>36270</v>
      </c>
      <c r="E13" s="78">
        <v>5976</v>
      </c>
      <c r="F13" s="78">
        <v>4015</v>
      </c>
      <c r="G13" s="78"/>
      <c r="H13" s="79">
        <f t="shared" si="3"/>
        <v>1.3240001514269987E-2</v>
      </c>
      <c r="I13" s="80">
        <f t="shared" si="1"/>
        <v>1307.6222695538468</v>
      </c>
      <c r="J13" s="75" t="s">
        <v>107</v>
      </c>
      <c r="K13" s="75"/>
      <c r="L13" t="s">
        <v>104</v>
      </c>
      <c r="M13">
        <f>E13/[1]Data!$U$20</f>
        <v>1.7220462843162962E-2</v>
      </c>
      <c r="N13" s="17">
        <f>E13/SUM($E$3:$E$19)</f>
        <v>3.8207275749632376E-2</v>
      </c>
      <c r="O13">
        <f>D13*N13</f>
        <v>1385.7778914391663</v>
      </c>
      <c r="Q13">
        <f>C13*N13</f>
        <v>1.3174922672287027E-3</v>
      </c>
    </row>
    <row r="14" spans="1:23" x14ac:dyDescent="0.25">
      <c r="A14" s="75" t="s">
        <v>272</v>
      </c>
      <c r="B14" s="75" t="s">
        <v>273</v>
      </c>
      <c r="C14" s="75"/>
      <c r="D14" s="75"/>
      <c r="E14" s="75">
        <v>816</v>
      </c>
      <c r="F14" s="75">
        <v>2245</v>
      </c>
      <c r="G14" s="75"/>
      <c r="H14" s="79">
        <f t="shared" si="3"/>
        <v>1.8078716927115647E-3</v>
      </c>
      <c r="I14" s="80">
        <f t="shared" si="1"/>
        <v>178.55083198727226</v>
      </c>
      <c r="J14" s="75" t="s">
        <v>107</v>
      </c>
      <c r="K14" s="75"/>
      <c r="N14" s="17"/>
      <c r="T14" s="44" t="s">
        <v>100</v>
      </c>
      <c r="U14" s="45">
        <f>SUM(H11:H12)</f>
        <v>0.11051415488018244</v>
      </c>
      <c r="V14" s="58">
        <f>SUM(I11:I12)</f>
        <v>10914.70947843146</v>
      </c>
    </row>
    <row r="15" spans="1:23" x14ac:dyDescent="0.25">
      <c r="A15" s="75" t="s">
        <v>188</v>
      </c>
      <c r="B15" s="76"/>
      <c r="C15" s="77">
        <v>2.3809523809523808E-2</v>
      </c>
      <c r="D15" s="78">
        <v>25785</v>
      </c>
      <c r="E15" s="78">
        <v>33648</v>
      </c>
      <c r="F15" s="78">
        <v>24681</v>
      </c>
      <c r="G15" s="78"/>
      <c r="H15" s="79">
        <f t="shared" si="3"/>
        <v>7.4548120975929805E-2</v>
      </c>
      <c r="I15" s="80">
        <f t="shared" si="1"/>
        <v>7362.5960719457553</v>
      </c>
      <c r="J15" s="75" t="s">
        <v>164</v>
      </c>
      <c r="K15" s="75"/>
      <c r="L15" t="s">
        <v>104</v>
      </c>
      <c r="M15">
        <f>E15/[1]Data!$U$20</f>
        <v>9.6960196410098287E-2</v>
      </c>
      <c r="N15" s="17">
        <f t="shared" ref="N15:N21" si="4">E15/SUM($E$3:$E$19)</f>
        <v>0.21512691004411483</v>
      </c>
      <c r="O15">
        <f t="shared" ref="O15:O21" si="5">D15*N15</f>
        <v>5547.0473754875011</v>
      </c>
      <c r="Q15">
        <f t="shared" ref="Q15:Q21" si="6">C15*N15</f>
        <v>5.1220692867646389E-3</v>
      </c>
      <c r="T15" s="46" t="s">
        <v>103</v>
      </c>
      <c r="U15" s="47">
        <f>SUM(H26:H31)</f>
        <v>0.42348634753186204</v>
      </c>
      <c r="V15" s="59">
        <f>SUM(I26:I31)</f>
        <v>41824.782141289288</v>
      </c>
    </row>
    <row r="16" spans="1:23" x14ac:dyDescent="0.25">
      <c r="A16" s="75" t="s">
        <v>190</v>
      </c>
      <c r="B16" s="76"/>
      <c r="C16" s="77">
        <v>2.1739130434782608E-2</v>
      </c>
      <c r="D16" s="78">
        <v>26790</v>
      </c>
      <c r="E16" s="78">
        <v>22227</v>
      </c>
      <c r="F16" s="78">
        <v>30640</v>
      </c>
      <c r="G16" s="78"/>
      <c r="H16" s="79">
        <f t="shared" si="3"/>
        <v>4.9244563865073462E-2</v>
      </c>
      <c r="I16" s="80">
        <f t="shared" si="1"/>
        <v>4863.5408610062505</v>
      </c>
      <c r="J16" s="75" t="s">
        <v>164</v>
      </c>
      <c r="K16" s="75"/>
      <c r="L16" t="s">
        <v>104</v>
      </c>
      <c r="M16">
        <f>E16/[1]Data!$U$20</f>
        <v>6.4049402211342574E-2</v>
      </c>
      <c r="N16" s="17">
        <f t="shared" si="4"/>
        <v>0.14210728214308549</v>
      </c>
      <c r="O16">
        <f t="shared" si="5"/>
        <v>3807.0540886132603</v>
      </c>
      <c r="Q16">
        <f t="shared" si="6"/>
        <v>3.0892887422409887E-3</v>
      </c>
      <c r="T16" s="46" t="s">
        <v>164</v>
      </c>
      <c r="U16" s="47">
        <f>SUM(H15:H20)</f>
        <v>0.20934976959277102</v>
      </c>
      <c r="V16" s="59">
        <f>SUM(I15:I20)</f>
        <v>20676.011294290845</v>
      </c>
    </row>
    <row r="17" spans="1:22" x14ac:dyDescent="0.25">
      <c r="A17" s="75" t="s">
        <v>201</v>
      </c>
      <c r="B17" s="76"/>
      <c r="C17" s="77">
        <v>2.5000000000000001E-2</v>
      </c>
      <c r="D17" s="78">
        <v>26000</v>
      </c>
      <c r="E17" s="78">
        <v>18961</v>
      </c>
      <c r="F17" s="78">
        <v>19908</v>
      </c>
      <c r="G17" s="78"/>
      <c r="H17" s="79">
        <f t="shared" si="3"/>
        <v>4.2008646036156831E-2</v>
      </c>
      <c r="I17" s="80">
        <f t="shared" si="1"/>
        <v>4148.8999084689567</v>
      </c>
      <c r="J17" s="75" t="s">
        <v>164</v>
      </c>
      <c r="K17" s="75"/>
      <c r="L17" t="s">
        <v>104</v>
      </c>
      <c r="M17">
        <f>E17/[1]Data!$U$20</f>
        <v>5.4638085001541659E-2</v>
      </c>
      <c r="N17" s="17">
        <f t="shared" si="4"/>
        <v>0.12122626430535131</v>
      </c>
      <c r="O17">
        <f t="shared" si="5"/>
        <v>3151.882871939134</v>
      </c>
      <c r="Q17">
        <f t="shared" si="6"/>
        <v>3.0306566076337832E-3</v>
      </c>
      <c r="T17" s="46" t="s">
        <v>120</v>
      </c>
      <c r="U17" s="47">
        <f>SUM(H21:H23)</f>
        <v>2.0938964911540434E-2</v>
      </c>
      <c r="V17" s="59">
        <f>SUM(I21:I23)</f>
        <v>2067.994991558468</v>
      </c>
    </row>
    <row r="18" spans="1:22" x14ac:dyDescent="0.25">
      <c r="A18" s="75" t="s">
        <v>189</v>
      </c>
      <c r="B18" s="76"/>
      <c r="C18" s="77">
        <v>2.0833333333333332E-2</v>
      </c>
      <c r="D18" s="78">
        <v>29605</v>
      </c>
      <c r="E18" s="78">
        <v>9179</v>
      </c>
      <c r="F18" s="78">
        <v>11065</v>
      </c>
      <c r="G18" s="78"/>
      <c r="H18" s="79">
        <f t="shared" si="3"/>
        <v>2.0336341013969913E-2</v>
      </c>
      <c r="I18" s="80">
        <f t="shared" si="1"/>
        <v>2008.4780475627106</v>
      </c>
      <c r="J18" s="75" t="s">
        <v>164</v>
      </c>
      <c r="K18" s="75"/>
      <c r="L18" t="s">
        <v>104</v>
      </c>
      <c r="M18">
        <f>E18/[1]Data!$U$20</f>
        <v>2.6450239029014867E-2</v>
      </c>
      <c r="N18" s="17">
        <f t="shared" si="4"/>
        <v>5.8685506041813183E-2</v>
      </c>
      <c r="O18">
        <f t="shared" si="5"/>
        <v>1737.3844063678794</v>
      </c>
      <c r="Q18">
        <f t="shared" si="6"/>
        <v>1.2226147092044412E-3</v>
      </c>
      <c r="T18" s="46" t="s">
        <v>362</v>
      </c>
      <c r="U18" s="47">
        <f>SUM(H10)</f>
        <v>5.447384141834493E-2</v>
      </c>
      <c r="V18" s="59">
        <f>SUM(I10)</f>
        <v>5380</v>
      </c>
    </row>
    <row r="19" spans="1:22" x14ac:dyDescent="0.25">
      <c r="A19" s="75" t="s">
        <v>204</v>
      </c>
      <c r="B19" s="76"/>
      <c r="C19" s="77">
        <v>2.3809523809523808E-2</v>
      </c>
      <c r="D19" s="78">
        <v>25995</v>
      </c>
      <c r="E19" s="78">
        <v>6142</v>
      </c>
      <c r="F19" s="78">
        <v>11492</v>
      </c>
      <c r="G19" s="78"/>
      <c r="H19" s="79">
        <f t="shared" si="3"/>
        <v>1.3607779334110819E-2</v>
      </c>
      <c r="I19" s="80">
        <f t="shared" si="1"/>
        <v>1343.9451103747867</v>
      </c>
      <c r="J19" s="75" t="s">
        <v>164</v>
      </c>
      <c r="K19" s="75"/>
      <c r="L19" t="s">
        <v>104</v>
      </c>
      <c r="M19">
        <f>E19/[1]Data!$U$20</f>
        <v>1.7698809033250825E-2</v>
      </c>
      <c r="N19" s="17">
        <f t="shared" si="4"/>
        <v>3.9268588964899945E-2</v>
      </c>
      <c r="O19">
        <f t="shared" si="5"/>
        <v>1020.7869701425741</v>
      </c>
      <c r="Q19">
        <f t="shared" si="6"/>
        <v>9.3496640392618912E-4</v>
      </c>
      <c r="T19" s="46" t="s">
        <v>363</v>
      </c>
      <c r="U19" s="47">
        <f>SUM(H5:H8)</f>
        <v>3.3789033315617736E-2</v>
      </c>
      <c r="V19" s="59">
        <f>SUM(I5:I8)</f>
        <v>3337.106297350354</v>
      </c>
    </row>
    <row r="20" spans="1:22" x14ac:dyDescent="0.25">
      <c r="A20" s="75" t="s">
        <v>196</v>
      </c>
      <c r="B20" s="76"/>
      <c r="C20" s="77">
        <v>2.1739130434782608E-2</v>
      </c>
      <c r="D20" s="78">
        <v>27875</v>
      </c>
      <c r="E20" s="78">
        <v>4335</v>
      </c>
      <c r="F20" s="78">
        <v>59</v>
      </c>
      <c r="G20" s="78"/>
      <c r="H20" s="79">
        <f t="shared" si="3"/>
        <v>9.6043183675301874E-3</v>
      </c>
      <c r="I20" s="80">
        <f t="shared" si="1"/>
        <v>948.55129493238394</v>
      </c>
      <c r="J20" s="75" t="s">
        <v>164</v>
      </c>
      <c r="K20" s="75"/>
      <c r="L20" t="s">
        <v>104</v>
      </c>
      <c r="M20">
        <f>E20/[1]Data!$U$20</f>
        <v>1.2491751409824539E-2</v>
      </c>
      <c r="N20" s="17">
        <f t="shared" si="4"/>
        <v>2.7715619205933125E-2</v>
      </c>
      <c r="O20">
        <f t="shared" si="5"/>
        <v>772.5728853653859</v>
      </c>
      <c r="Q20">
        <f t="shared" si="6"/>
        <v>6.0251346099854614E-4</v>
      </c>
      <c r="T20" s="46" t="s">
        <v>364</v>
      </c>
      <c r="U20" s="47"/>
      <c r="V20" s="59"/>
    </row>
    <row r="21" spans="1:22" x14ac:dyDescent="0.25">
      <c r="A21" s="75" t="s">
        <v>191</v>
      </c>
      <c r="B21" s="76"/>
      <c r="C21" s="77">
        <v>2.5000000000000001E-2</v>
      </c>
      <c r="D21" s="78">
        <v>37300</v>
      </c>
      <c r="E21" s="78">
        <v>8451</v>
      </c>
      <c r="F21" s="78">
        <v>11956</v>
      </c>
      <c r="G21" s="78"/>
      <c r="H21" s="79">
        <f t="shared" si="3"/>
        <v>1.8723435876354694E-2</v>
      </c>
      <c r="I21" s="80">
        <f t="shared" si="1"/>
        <v>1849.1826974564185</v>
      </c>
      <c r="J21" s="75" t="s">
        <v>120</v>
      </c>
      <c r="K21" s="75"/>
      <c r="L21" t="s">
        <v>104</v>
      </c>
      <c r="M21">
        <f>E21/[1]Data!$U$20</f>
        <v>2.4352431641159671E-2</v>
      </c>
      <c r="N21" s="17">
        <f t="shared" si="4"/>
        <v>5.4031072182085547E-2</v>
      </c>
      <c r="O21">
        <f t="shared" si="5"/>
        <v>2015.3589923917909</v>
      </c>
      <c r="Q21">
        <f t="shared" si="6"/>
        <v>1.3507768045521388E-3</v>
      </c>
      <c r="T21" s="46" t="s">
        <v>365</v>
      </c>
      <c r="U21" s="54"/>
      <c r="V21" s="59"/>
    </row>
    <row r="22" spans="1:22" x14ac:dyDescent="0.25">
      <c r="A22" s="75" t="s">
        <v>280</v>
      </c>
      <c r="B22" s="75" t="s">
        <v>281</v>
      </c>
      <c r="C22" s="75"/>
      <c r="D22" s="75"/>
      <c r="E22" s="75">
        <v>765</v>
      </c>
      <c r="F22" s="75">
        <v>4042</v>
      </c>
      <c r="G22" s="75"/>
      <c r="H22" s="79">
        <f t="shared" si="3"/>
        <v>1.6948797119170917E-3</v>
      </c>
      <c r="I22" s="80">
        <f t="shared" si="1"/>
        <v>167.39140498806773</v>
      </c>
      <c r="J22" s="75" t="s">
        <v>120</v>
      </c>
      <c r="K22" s="75"/>
      <c r="N22" s="17"/>
      <c r="T22" s="46" t="s">
        <v>150</v>
      </c>
      <c r="U22" s="54"/>
      <c r="V22" s="59"/>
    </row>
    <row r="23" spans="1:22" x14ac:dyDescent="0.25">
      <c r="A23" s="75" t="s">
        <v>274</v>
      </c>
      <c r="B23" s="75" t="s">
        <v>279</v>
      </c>
      <c r="C23" s="75"/>
      <c r="D23" s="75"/>
      <c r="E23" s="75">
        <v>235</v>
      </c>
      <c r="F23" s="75">
        <v>250</v>
      </c>
      <c r="G23" s="75"/>
      <c r="H23" s="79">
        <f t="shared" si="3"/>
        <v>5.2064932326864914E-4</v>
      </c>
      <c r="I23" s="80">
        <f t="shared" si="1"/>
        <v>51.420889113981595</v>
      </c>
      <c r="J23" s="75" t="s">
        <v>120</v>
      </c>
      <c r="K23" s="75"/>
      <c r="N23" s="17"/>
      <c r="T23" s="46" t="s">
        <v>106</v>
      </c>
      <c r="U23" s="47">
        <f>SUM(H24:H25)</f>
        <v>0.10466823820927995</v>
      </c>
      <c r="V23" s="59">
        <f>SUM(I24:I25)</f>
        <v>10337.349210263117</v>
      </c>
    </row>
    <row r="24" spans="1:22" x14ac:dyDescent="0.25">
      <c r="A24" s="75" t="s">
        <v>199</v>
      </c>
      <c r="B24" s="76"/>
      <c r="C24" s="77">
        <v>3.125E-2</v>
      </c>
      <c r="D24" s="78">
        <v>29030</v>
      </c>
      <c r="E24" s="78">
        <v>45070</v>
      </c>
      <c r="F24" s="78">
        <v>1507</v>
      </c>
      <c r="G24" s="78"/>
      <c r="H24" s="79">
        <f t="shared" si="3"/>
        <v>9.9853893615821337E-2</v>
      </c>
      <c r="I24" s="80">
        <f t="shared" si="1"/>
        <v>9861.8700951793635</v>
      </c>
      <c r="J24" s="75" t="s">
        <v>106</v>
      </c>
      <c r="K24" s="75"/>
      <c r="L24" t="s">
        <v>104</v>
      </c>
      <c r="M24">
        <f>E24/[1]Data!$U$20</f>
        <v>0.12987387221240876</v>
      </c>
      <c r="N24" s="17">
        <f>E24/SUM($E$3:$E$19)</f>
        <v>0.28815293139824821</v>
      </c>
      <c r="O24">
        <f>D24*N24</f>
        <v>8365.0795984911456</v>
      </c>
      <c r="Q24">
        <f>C24*N24</f>
        <v>9.0047791061952567E-3</v>
      </c>
      <c r="T24" s="46" t="s">
        <v>107</v>
      </c>
      <c r="U24" s="47">
        <f>SUM(H13:H14)</f>
        <v>1.5047873206981551E-2</v>
      </c>
      <c r="V24" s="59">
        <f>SUM(I13:I14)</f>
        <v>1486.173101541119</v>
      </c>
    </row>
    <row r="25" spans="1:22" x14ac:dyDescent="0.25">
      <c r="A25" s="75" t="s">
        <v>282</v>
      </c>
      <c r="B25" s="75" t="s">
        <v>283</v>
      </c>
      <c r="C25" s="75"/>
      <c r="D25" s="75"/>
      <c r="E25" s="75">
        <v>2173</v>
      </c>
      <c r="F25" s="78">
        <v>5589</v>
      </c>
      <c r="G25" s="75"/>
      <c r="H25" s="79">
        <f t="shared" si="3"/>
        <v>4.8143445934586146E-3</v>
      </c>
      <c r="I25" s="80">
        <f t="shared" si="1"/>
        <v>475.47911508375313</v>
      </c>
      <c r="J25" s="75" t="s">
        <v>106</v>
      </c>
      <c r="K25" s="75"/>
      <c r="N25" s="17"/>
      <c r="T25" s="46" t="s">
        <v>108</v>
      </c>
      <c r="U25" s="54"/>
      <c r="V25" s="59"/>
    </row>
    <row r="26" spans="1:22" x14ac:dyDescent="0.25">
      <c r="A26" s="75" t="s">
        <v>8</v>
      </c>
      <c r="B26" s="76"/>
      <c r="C26" s="77">
        <v>1.7857142857142856E-2</v>
      </c>
      <c r="D26" s="78">
        <v>23475</v>
      </c>
      <c r="E26" s="78">
        <v>98866</v>
      </c>
      <c r="F26" s="78">
        <v>113829</v>
      </c>
      <c r="G26" s="78">
        <f>49490*V4</f>
        <v>30770.644100569705</v>
      </c>
      <c r="H26" s="79">
        <f>G26/98763</f>
        <v>0.31156044369419422</v>
      </c>
      <c r="I26" s="80">
        <f>98763*H26</f>
        <v>30770.644100569705</v>
      </c>
      <c r="J26" s="75" t="s">
        <v>103</v>
      </c>
      <c r="K26" s="75"/>
      <c r="L26" t="s">
        <v>104</v>
      </c>
      <c r="M26">
        <f>E26/[1]Data!$U$20</f>
        <v>0.28489261704353236</v>
      </c>
      <c r="N26" s="17">
        <f>E26/SUM($E$3:$E$19)</f>
        <v>0.6320951345821878</v>
      </c>
      <c r="O26">
        <f>D26*N26</f>
        <v>14838.433284316859</v>
      </c>
      <c r="Q26">
        <f>C26*N26</f>
        <v>1.1287413117539067E-2</v>
      </c>
      <c r="T26" s="46" t="s">
        <v>366</v>
      </c>
      <c r="U26" s="54"/>
      <c r="V26" s="59"/>
    </row>
    <row r="27" spans="1:22" x14ac:dyDescent="0.25">
      <c r="A27" s="75" t="s">
        <v>202</v>
      </c>
      <c r="B27" s="76"/>
      <c r="C27" s="77">
        <v>2.4390243902439025E-2</v>
      </c>
      <c r="D27" s="78">
        <v>26675</v>
      </c>
      <c r="E27" s="78">
        <v>14840</v>
      </c>
      <c r="F27" s="78">
        <v>28290</v>
      </c>
      <c r="G27" s="78">
        <f>49490*V6</f>
        <v>7647.4494338447757</v>
      </c>
      <c r="H27" s="79">
        <f>G27/98763</f>
        <v>7.7432332288860969E-2</v>
      </c>
      <c r="I27" s="80">
        <f t="shared" si="1"/>
        <v>7647.4494338447757</v>
      </c>
      <c r="J27" s="75" t="s">
        <v>103</v>
      </c>
      <c r="K27" s="75"/>
      <c r="L27" t="s">
        <v>104</v>
      </c>
      <c r="M27">
        <f>E27/[1]Data!$U$20</f>
        <v>4.2762996752432794E-2</v>
      </c>
      <c r="N27" s="17">
        <f>E27/SUM($E$3:$E$19)</f>
        <v>9.4878844063678788E-2</v>
      </c>
      <c r="O27">
        <f>D27*N27</f>
        <v>2530.8931653986315</v>
      </c>
      <c r="Q27">
        <f>C27*N27</f>
        <v>2.3141181478946045E-3</v>
      </c>
      <c r="T27" s="46" t="s">
        <v>109</v>
      </c>
      <c r="U27" s="54"/>
      <c r="V27" s="59"/>
    </row>
    <row r="28" spans="1:22" x14ac:dyDescent="0.25">
      <c r="A28" s="75" t="s">
        <v>195</v>
      </c>
      <c r="B28" s="76"/>
      <c r="C28" s="77">
        <v>2.5000000000000001E-2</v>
      </c>
      <c r="D28" s="78">
        <v>24175</v>
      </c>
      <c r="E28" s="78">
        <v>11877</v>
      </c>
      <c r="F28" s="78">
        <v>14177</v>
      </c>
      <c r="G28" s="78"/>
      <c r="H28" s="79">
        <f>E28/SUM($E$3:$E$9,$E$12:$E$25,$E$28:$E$31)*$U$9</f>
        <v>2.6313838350901043E-2</v>
      </c>
      <c r="I28" s="80">
        <f t="shared" si="1"/>
        <v>2598.8336170500397</v>
      </c>
      <c r="J28" s="75" t="s">
        <v>103</v>
      </c>
      <c r="K28" s="75"/>
      <c r="L28" t="s">
        <v>104</v>
      </c>
      <c r="M28">
        <f>E28/[1]Data!$U$20</f>
        <v>3.4224805419719964E-2</v>
      </c>
      <c r="N28" s="17">
        <f>E28/SUM($E$3:$E$19)</f>
        <v>7.5935042516463144E-2</v>
      </c>
      <c r="O28">
        <f>D28*N28</f>
        <v>1835.7296528354966</v>
      </c>
      <c r="Q28">
        <f>C28*N28</f>
        <v>1.8983760629115787E-3</v>
      </c>
      <c r="T28" s="46" t="s">
        <v>110</v>
      </c>
      <c r="U28" s="54"/>
      <c r="V28" s="59"/>
    </row>
    <row r="29" spans="1:22" x14ac:dyDescent="0.25">
      <c r="A29" s="75" t="s">
        <v>268</v>
      </c>
      <c r="B29" s="75" t="s">
        <v>269</v>
      </c>
      <c r="C29" s="75"/>
      <c r="D29" s="75"/>
      <c r="E29" s="75">
        <v>1998</v>
      </c>
      <c r="F29" s="78">
        <v>4012</v>
      </c>
      <c r="G29" s="75"/>
      <c r="H29" s="79">
        <f>E29/SUM($E$3:$E$9,$E$12:$E$25,$E$28:$E$31)*$U$9</f>
        <v>4.4266270123011105E-3</v>
      </c>
      <c r="I29" s="80">
        <f t="shared" si="1"/>
        <v>437.18696361589457</v>
      </c>
      <c r="J29" s="75" t="s">
        <v>103</v>
      </c>
      <c r="K29" s="75"/>
      <c r="N29" s="17"/>
      <c r="T29" s="46" t="s">
        <v>367</v>
      </c>
      <c r="U29" s="54"/>
      <c r="V29" s="59"/>
    </row>
    <row r="30" spans="1:22" x14ac:dyDescent="0.25">
      <c r="A30" s="75" t="s">
        <v>247</v>
      </c>
      <c r="B30" s="75" t="s">
        <v>284</v>
      </c>
      <c r="C30" s="75"/>
      <c r="D30" s="75"/>
      <c r="E30" s="75">
        <v>985</v>
      </c>
      <c r="F30" s="75">
        <v>4887</v>
      </c>
      <c r="G30" s="75"/>
      <c r="H30" s="79">
        <f>E30/SUM($E$3:$E$9,$E$12:$E$25,$E$28:$E$31)*$U$9</f>
        <v>2.1822960996579544E-3</v>
      </c>
      <c r="I30" s="80">
        <f t="shared" si="1"/>
        <v>215.53010969051854</v>
      </c>
      <c r="J30" s="75" t="s">
        <v>103</v>
      </c>
      <c r="K30" s="75"/>
      <c r="N30" s="17"/>
      <c r="T30" s="46" t="s">
        <v>368</v>
      </c>
      <c r="U30" s="47">
        <f>SUM(H9)</f>
        <v>6.2965335179978755E-3</v>
      </c>
      <c r="V30" s="59">
        <f>SUM(I9)</f>
        <v>621.86453983802414</v>
      </c>
    </row>
    <row r="31" spans="1:22" x14ac:dyDescent="0.25">
      <c r="A31" s="75" t="s">
        <v>277</v>
      </c>
      <c r="B31" s="75" t="s">
        <v>278</v>
      </c>
      <c r="C31" s="75"/>
      <c r="D31" s="75"/>
      <c r="E31" s="75">
        <v>709</v>
      </c>
      <c r="F31" s="75">
        <v>740</v>
      </c>
      <c r="G31" s="75"/>
      <c r="H31" s="79">
        <f>E31/SUM($E$3:$E$9,$E$12:$E$25,$E$28:$E$31)*$U$9</f>
        <v>1.5708100859466903E-3</v>
      </c>
      <c r="I31" s="80">
        <f t="shared" si="1"/>
        <v>155.13791651835297</v>
      </c>
      <c r="J31" s="75" t="s">
        <v>103</v>
      </c>
      <c r="K31" s="75"/>
      <c r="N31" s="17"/>
      <c r="T31" s="46" t="s">
        <v>369</v>
      </c>
      <c r="U31" s="47">
        <f>SUM(H3:H4)</f>
        <v>2.1435243415422044E-2</v>
      </c>
      <c r="V31" s="59">
        <f>SUM(I3:I4)</f>
        <v>2117.0089454373274</v>
      </c>
    </row>
    <row r="32" spans="1:22" ht="15.75" thickBot="1" x14ac:dyDescent="0.3">
      <c r="L32" s="17"/>
      <c r="M32" s="17"/>
      <c r="N32" s="17"/>
      <c r="O32" s="17"/>
      <c r="T32" s="48" t="s">
        <v>370</v>
      </c>
      <c r="U32" s="55"/>
      <c r="V32" s="60"/>
    </row>
    <row r="33" spans="10:15" x14ac:dyDescent="0.25">
      <c r="L33" s="17"/>
      <c r="M33" s="17"/>
      <c r="N33" s="17"/>
      <c r="O33" s="17"/>
    </row>
    <row r="34" spans="10:15" ht="21.75" customHeight="1" x14ac:dyDescent="0.25">
      <c r="J34" s="57"/>
      <c r="L34" s="17"/>
      <c r="M34" s="17"/>
      <c r="N34" s="17"/>
      <c r="O34" s="17"/>
    </row>
    <row r="35" spans="10:15" x14ac:dyDescent="0.25">
      <c r="L35" s="17"/>
      <c r="M35" s="17"/>
      <c r="N35" s="17"/>
      <c r="O35" s="17"/>
    </row>
    <row r="36" spans="10:15" x14ac:dyDescent="0.25">
      <c r="L36" s="17"/>
      <c r="M36" s="17"/>
      <c r="N36" s="17"/>
      <c r="O36" s="17"/>
    </row>
    <row r="37" spans="10:15" x14ac:dyDescent="0.25">
      <c r="L37" s="17"/>
      <c r="M37" s="17"/>
      <c r="N37" s="17"/>
      <c r="O37" s="17"/>
    </row>
    <row r="38" spans="10:15" x14ac:dyDescent="0.25">
      <c r="L38" s="17"/>
      <c r="M38" s="17"/>
      <c r="N38" s="17"/>
      <c r="O38" s="17"/>
    </row>
    <row r="39" spans="10:15" x14ac:dyDescent="0.25">
      <c r="L39" s="17"/>
      <c r="M39" s="17"/>
      <c r="N39" s="17"/>
      <c r="O39" s="17"/>
    </row>
    <row r="40" spans="10:15" x14ac:dyDescent="0.25">
      <c r="L40" s="17"/>
      <c r="M40" s="17"/>
      <c r="N40" s="17"/>
      <c r="O40" s="17"/>
    </row>
    <row r="41" spans="10:15" x14ac:dyDescent="0.25">
      <c r="L41" s="17"/>
      <c r="M41" s="17"/>
      <c r="N41" s="17"/>
      <c r="O41" s="17"/>
    </row>
    <row r="42" spans="10:15" x14ac:dyDescent="0.25">
      <c r="L42" s="17"/>
      <c r="M42" s="17"/>
      <c r="N42" s="17"/>
      <c r="O42" s="17"/>
    </row>
    <row r="43" spans="10:15" x14ac:dyDescent="0.25">
      <c r="L43" s="17"/>
      <c r="M43" s="17"/>
      <c r="N43" s="17"/>
      <c r="O43" s="17"/>
    </row>
    <row r="44" spans="10:15" x14ac:dyDescent="0.25">
      <c r="L44" s="17"/>
      <c r="M44" s="17"/>
      <c r="N44" s="17"/>
      <c r="O44" s="17"/>
    </row>
    <row r="45" spans="10:15" x14ac:dyDescent="0.25">
      <c r="L45" s="17"/>
      <c r="M45" s="17"/>
      <c r="N45" s="17"/>
      <c r="O45" s="17"/>
    </row>
    <row r="46" spans="10:15" x14ac:dyDescent="0.25">
      <c r="L46" s="17"/>
      <c r="M46" s="17"/>
      <c r="N46" s="17"/>
      <c r="O46" s="17"/>
    </row>
    <row r="47" spans="10:15" x14ac:dyDescent="0.25">
      <c r="L47" s="17"/>
      <c r="M47" s="17"/>
      <c r="N47" s="17"/>
      <c r="O47" s="17"/>
    </row>
    <row r="48" spans="10:15" x14ac:dyDescent="0.25">
      <c r="L48" s="17"/>
      <c r="M48" s="17"/>
      <c r="N48" s="17"/>
      <c r="O48" s="17"/>
    </row>
    <row r="49" spans="12:15" x14ac:dyDescent="0.25">
      <c r="L49" s="17"/>
      <c r="M49" s="17"/>
      <c r="N49" s="17"/>
      <c r="O49" s="17"/>
    </row>
    <row r="50" spans="12:15" x14ac:dyDescent="0.25">
      <c r="L50" s="17"/>
      <c r="M50" s="17"/>
      <c r="N50" s="17"/>
      <c r="O50" s="17"/>
    </row>
    <row r="51" spans="12:15" x14ac:dyDescent="0.25">
      <c r="L51" s="17"/>
      <c r="M51" s="17"/>
      <c r="N51" s="17"/>
      <c r="O51" s="17"/>
    </row>
    <row r="52" spans="12:15" x14ac:dyDescent="0.25">
      <c r="L52" s="17"/>
      <c r="M52" s="17"/>
      <c r="N52" s="17"/>
      <c r="O52" s="17"/>
    </row>
    <row r="53" spans="12:15" x14ac:dyDescent="0.25">
      <c r="L53" s="17"/>
      <c r="M53" s="17"/>
      <c r="N53" s="17"/>
      <c r="O53" s="17"/>
    </row>
    <row r="54" spans="12:15" x14ac:dyDescent="0.25">
      <c r="L54" s="17"/>
      <c r="M54" s="17"/>
      <c r="N54" s="17"/>
      <c r="O54" s="17"/>
    </row>
    <row r="55" spans="12:15" x14ac:dyDescent="0.25">
      <c r="L55" s="17"/>
      <c r="M55" s="17"/>
      <c r="N55" s="17"/>
      <c r="O55" s="17"/>
    </row>
    <row r="56" spans="12:15" x14ac:dyDescent="0.25">
      <c r="L56" s="17"/>
      <c r="M56" s="17"/>
      <c r="N56" s="17"/>
      <c r="O56" s="17"/>
    </row>
    <row r="57" spans="12:15" x14ac:dyDescent="0.25">
      <c r="L57" s="17"/>
      <c r="M57" s="17"/>
      <c r="N57" s="17"/>
      <c r="O57" s="17"/>
    </row>
    <row r="58" spans="12:15" x14ac:dyDescent="0.25">
      <c r="L58" s="17"/>
      <c r="M58" s="17"/>
      <c r="N58" s="17"/>
      <c r="O58" s="17"/>
    </row>
    <row r="59" spans="12:15" x14ac:dyDescent="0.25">
      <c r="L59" s="17"/>
      <c r="M59" s="17"/>
      <c r="N59" s="17"/>
      <c r="O59" s="17"/>
    </row>
    <row r="60" spans="12:15" x14ac:dyDescent="0.25">
      <c r="L60" s="17"/>
      <c r="M60" s="17"/>
      <c r="N60" s="17"/>
      <c r="O60" s="17"/>
    </row>
    <row r="61" spans="12:15" x14ac:dyDescent="0.25">
      <c r="L61" s="17"/>
      <c r="M61" s="17"/>
      <c r="N61" s="17"/>
      <c r="O61" s="17"/>
    </row>
    <row r="62" spans="12:15" x14ac:dyDescent="0.25">
      <c r="L62" s="17"/>
      <c r="M62" s="17"/>
      <c r="N62" s="17"/>
      <c r="O62" s="17"/>
    </row>
    <row r="63" spans="12:15" x14ac:dyDescent="0.25">
      <c r="L63" s="17"/>
      <c r="M63" s="17"/>
      <c r="N63" s="17"/>
      <c r="O63" s="17"/>
    </row>
    <row r="64" spans="12:15" x14ac:dyDescent="0.25">
      <c r="L64" s="17"/>
      <c r="M64" s="17"/>
      <c r="N64" s="17"/>
      <c r="O64" s="17"/>
    </row>
    <row r="65" spans="12:15" x14ac:dyDescent="0.25">
      <c r="L65" s="17"/>
      <c r="M65" s="17"/>
      <c r="N65" s="17"/>
      <c r="O65" s="17"/>
    </row>
    <row r="66" spans="12:15" x14ac:dyDescent="0.25">
      <c r="L66" s="17"/>
      <c r="M66" s="17"/>
      <c r="N66" s="17"/>
      <c r="O66" s="17"/>
    </row>
    <row r="67" spans="12:15" x14ac:dyDescent="0.25">
      <c r="L67" s="17"/>
      <c r="M67" s="17"/>
      <c r="N67" s="17"/>
      <c r="O67" s="17"/>
    </row>
    <row r="68" spans="12:15" x14ac:dyDescent="0.25">
      <c r="L68" s="17"/>
      <c r="M68" s="17"/>
      <c r="N68" s="17"/>
      <c r="O68" s="17"/>
    </row>
    <row r="69" spans="12:15" x14ac:dyDescent="0.25">
      <c r="L69" s="17"/>
      <c r="M69" s="17"/>
      <c r="N69" s="17"/>
      <c r="O69" s="17"/>
    </row>
    <row r="70" spans="12:15" x14ac:dyDescent="0.25">
      <c r="L70" s="17"/>
      <c r="M70" s="17"/>
      <c r="N70" s="17"/>
      <c r="O70" s="17"/>
    </row>
    <row r="71" spans="12:15" x14ac:dyDescent="0.25">
      <c r="L71" s="17"/>
      <c r="M71" s="17"/>
      <c r="N71" s="17"/>
      <c r="O71" s="17"/>
    </row>
    <row r="72" spans="12:15" x14ac:dyDescent="0.25">
      <c r="L72" s="17"/>
      <c r="M72" s="17"/>
      <c r="N72" s="17"/>
      <c r="O72" s="17"/>
    </row>
    <row r="73" spans="12:15" x14ac:dyDescent="0.25">
      <c r="L73" s="17"/>
      <c r="M73" s="17"/>
      <c r="N73" s="17"/>
      <c r="O73" s="17"/>
    </row>
    <row r="74" spans="12:15" x14ac:dyDescent="0.25">
      <c r="L74" s="17"/>
      <c r="M74" s="17"/>
      <c r="N74" s="17"/>
      <c r="O74" s="17"/>
    </row>
    <row r="75" spans="12:15" x14ac:dyDescent="0.25">
      <c r="L75" s="17"/>
      <c r="M75" s="17"/>
      <c r="N75" s="17"/>
      <c r="O75" s="17"/>
    </row>
    <row r="76" spans="12:15" x14ac:dyDescent="0.25">
      <c r="L76" s="17"/>
      <c r="M76" s="17"/>
      <c r="N76" s="17"/>
      <c r="O76" s="17"/>
    </row>
    <row r="77" spans="12:15" x14ac:dyDescent="0.25">
      <c r="L77" s="17"/>
      <c r="M77" s="17"/>
      <c r="N77" s="17"/>
      <c r="O77" s="17"/>
    </row>
    <row r="78" spans="12:15" x14ac:dyDescent="0.25">
      <c r="N78" s="17"/>
      <c r="O78" s="17"/>
    </row>
    <row r="79" spans="12:15" x14ac:dyDescent="0.25">
      <c r="N79" s="17"/>
      <c r="O79" s="17"/>
    </row>
    <row r="80" spans="12:15" x14ac:dyDescent="0.25">
      <c r="N80" s="17"/>
      <c r="O80" s="17"/>
    </row>
    <row r="81" spans="14:14" x14ac:dyDescent="0.25">
      <c r="N81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54"/>
  <sheetViews>
    <sheetView topLeftCell="A28" workbookViewId="0">
      <selection activeCell="G32" sqref="G32"/>
    </sheetView>
  </sheetViews>
  <sheetFormatPr defaultRowHeight="15" x14ac:dyDescent="0.25"/>
  <cols>
    <col min="1" max="1" width="11.7109375" bestFit="1" customWidth="1"/>
    <col min="2" max="2" width="20.7109375" bestFit="1" customWidth="1"/>
    <col min="3" max="3" width="11.5703125" customWidth="1"/>
    <col min="4" max="4" width="14.42578125" customWidth="1"/>
    <col min="5" max="5" width="10.28515625" customWidth="1"/>
    <col min="6" max="6" width="14" customWidth="1"/>
  </cols>
  <sheetData>
    <row r="1" spans="1:8" x14ac:dyDescent="0.25">
      <c r="A1" s="118" t="s">
        <v>239</v>
      </c>
      <c r="B1" s="118" t="s">
        <v>102</v>
      </c>
      <c r="C1" s="118" t="s">
        <v>240</v>
      </c>
      <c r="D1" s="119" t="s">
        <v>315</v>
      </c>
      <c r="E1" s="118" t="s">
        <v>241</v>
      </c>
      <c r="F1" s="118" t="s">
        <v>389</v>
      </c>
    </row>
    <row r="2" spans="1:8" x14ac:dyDescent="0.25">
      <c r="A2" s="50" t="s">
        <v>242</v>
      </c>
      <c r="B2" s="50" t="s">
        <v>243</v>
      </c>
      <c r="C2" s="50">
        <v>98863</v>
      </c>
      <c r="D2" s="51">
        <f t="shared" ref="D2:D41" si="0">C2/347029</f>
        <v>0.28488397223286815</v>
      </c>
      <c r="E2" s="50">
        <v>113829</v>
      </c>
      <c r="F2" s="50"/>
    </row>
    <row r="3" spans="1:8" x14ac:dyDescent="0.25">
      <c r="A3" s="50" t="s">
        <v>242</v>
      </c>
      <c r="B3" s="50" t="s">
        <v>244</v>
      </c>
      <c r="C3" s="50">
        <v>45070</v>
      </c>
      <c r="D3" s="51">
        <f t="shared" si="0"/>
        <v>0.12987387221240876</v>
      </c>
      <c r="E3" s="50">
        <v>1507</v>
      </c>
      <c r="F3" s="50"/>
    </row>
    <row r="4" spans="1:8" x14ac:dyDescent="0.25">
      <c r="A4" s="50" t="s">
        <v>245</v>
      </c>
      <c r="B4" s="50" t="s">
        <v>246</v>
      </c>
      <c r="C4" s="50">
        <v>33648</v>
      </c>
      <c r="D4" s="51">
        <f t="shared" si="0"/>
        <v>9.6960196410098287E-2</v>
      </c>
      <c r="E4" s="50">
        <v>24681</v>
      </c>
      <c r="F4" s="50"/>
    </row>
    <row r="5" spans="1:8" x14ac:dyDescent="0.25">
      <c r="A5" s="50" t="s">
        <v>242</v>
      </c>
      <c r="B5" s="50" t="s">
        <v>249</v>
      </c>
      <c r="C5" s="50">
        <v>22227</v>
      </c>
      <c r="D5" s="51">
        <f t="shared" si="0"/>
        <v>6.4049402211342574E-2</v>
      </c>
      <c r="E5" s="50">
        <v>30640</v>
      </c>
      <c r="F5" s="50"/>
    </row>
    <row r="6" spans="1:8" x14ac:dyDescent="0.25">
      <c r="A6" s="50" t="s">
        <v>242</v>
      </c>
      <c r="B6" s="50" t="s">
        <v>250</v>
      </c>
      <c r="C6" s="50">
        <v>20452</v>
      </c>
      <c r="D6" s="51">
        <f t="shared" si="0"/>
        <v>5.8934555901668163E-2</v>
      </c>
      <c r="E6" s="50">
        <v>38484</v>
      </c>
      <c r="F6" s="50"/>
    </row>
    <row r="7" spans="1:8" x14ac:dyDescent="0.25">
      <c r="A7" s="50" t="s">
        <v>251</v>
      </c>
      <c r="B7" s="50" t="s">
        <v>252</v>
      </c>
      <c r="C7" s="50">
        <v>18961</v>
      </c>
      <c r="D7" s="51">
        <f t="shared" si="0"/>
        <v>5.4638085001541659E-2</v>
      </c>
      <c r="E7" s="50">
        <v>19908</v>
      </c>
      <c r="F7" s="50"/>
    </row>
    <row r="8" spans="1:8" x14ac:dyDescent="0.25">
      <c r="A8" s="50" t="s">
        <v>242</v>
      </c>
      <c r="B8" s="50" t="s">
        <v>253</v>
      </c>
      <c r="C8" s="50">
        <v>14840</v>
      </c>
      <c r="D8" s="51">
        <f t="shared" si="0"/>
        <v>4.2762996752432794E-2</v>
      </c>
      <c r="E8" s="50">
        <v>28290</v>
      </c>
      <c r="F8" s="50"/>
    </row>
    <row r="9" spans="1:8" x14ac:dyDescent="0.25">
      <c r="A9" s="50" t="s">
        <v>245</v>
      </c>
      <c r="B9" s="50" t="s">
        <v>259</v>
      </c>
      <c r="C9" s="50">
        <v>11877</v>
      </c>
      <c r="D9" s="51">
        <f t="shared" si="0"/>
        <v>3.4224805419719964E-2</v>
      </c>
      <c r="E9" s="50">
        <v>14177</v>
      </c>
      <c r="F9" s="50"/>
    </row>
    <row r="10" spans="1:8" x14ac:dyDescent="0.25">
      <c r="A10" s="50" t="s">
        <v>247</v>
      </c>
      <c r="B10" s="50" t="s">
        <v>248</v>
      </c>
      <c r="C10" s="50">
        <v>9179</v>
      </c>
      <c r="D10" s="51">
        <f t="shared" si="0"/>
        <v>2.6450239029014867E-2</v>
      </c>
      <c r="E10" s="50">
        <v>11065</v>
      </c>
      <c r="F10" s="50"/>
    </row>
    <row r="11" spans="1:8" x14ac:dyDescent="0.25">
      <c r="A11" s="50" t="s">
        <v>256</v>
      </c>
      <c r="B11" s="50" t="s">
        <v>258</v>
      </c>
      <c r="C11" s="50">
        <v>8903</v>
      </c>
      <c r="D11" s="51">
        <f t="shared" si="0"/>
        <v>2.5654916447904932E-2</v>
      </c>
      <c r="E11" s="50">
        <v>14657</v>
      </c>
      <c r="F11" s="50"/>
      <c r="H11" s="6"/>
    </row>
    <row r="12" spans="1:8" x14ac:dyDescent="0.25">
      <c r="A12" s="50" t="s">
        <v>256</v>
      </c>
      <c r="B12" s="50" t="s">
        <v>257</v>
      </c>
      <c r="C12" s="50">
        <v>8561</v>
      </c>
      <c r="D12" s="51">
        <f t="shared" si="0"/>
        <v>2.4669408032181747E-2</v>
      </c>
      <c r="E12" s="50">
        <v>7722</v>
      </c>
      <c r="F12" s="50"/>
    </row>
    <row r="13" spans="1:8" x14ac:dyDescent="0.25">
      <c r="A13" s="50" t="s">
        <v>242</v>
      </c>
      <c r="B13" s="50" t="s">
        <v>254</v>
      </c>
      <c r="C13" s="50">
        <v>8451</v>
      </c>
      <c r="D13" s="51">
        <f t="shared" si="0"/>
        <v>2.4352431641159671E-2</v>
      </c>
      <c r="E13" s="50">
        <v>11956</v>
      </c>
      <c r="F13" s="50"/>
    </row>
    <row r="14" spans="1:8" x14ac:dyDescent="0.25">
      <c r="A14" s="50" t="s">
        <v>256</v>
      </c>
      <c r="B14" s="50" t="s">
        <v>262</v>
      </c>
      <c r="C14" s="50">
        <v>7645</v>
      </c>
      <c r="D14" s="51">
        <f t="shared" si="0"/>
        <v>2.202985917603428E-2</v>
      </c>
      <c r="E14" s="50">
        <v>11241</v>
      </c>
      <c r="F14" s="50"/>
    </row>
    <row r="15" spans="1:8" x14ac:dyDescent="0.25">
      <c r="A15" s="50" t="s">
        <v>263</v>
      </c>
      <c r="B15" s="50" t="s">
        <v>264</v>
      </c>
      <c r="C15" s="50">
        <v>7219</v>
      </c>
      <c r="D15" s="51">
        <f t="shared" si="0"/>
        <v>2.0802296061712421E-2</v>
      </c>
      <c r="E15" s="50">
        <v>8403</v>
      </c>
      <c r="F15" s="50"/>
    </row>
    <row r="16" spans="1:8" x14ac:dyDescent="0.25">
      <c r="A16" s="50" t="s">
        <v>265</v>
      </c>
      <c r="B16" s="50" t="s">
        <v>266</v>
      </c>
      <c r="C16" s="50">
        <v>6142</v>
      </c>
      <c r="D16" s="51">
        <f t="shared" si="0"/>
        <v>1.7698809033250825E-2</v>
      </c>
      <c r="E16" s="50">
        <v>11492</v>
      </c>
      <c r="F16" s="50"/>
    </row>
    <row r="17" spans="1:6" x14ac:dyDescent="0.25">
      <c r="A17" s="50" t="s">
        <v>242</v>
      </c>
      <c r="B17" s="50" t="s">
        <v>255</v>
      </c>
      <c r="C17" s="50">
        <v>5976</v>
      </c>
      <c r="D17" s="51">
        <f t="shared" si="0"/>
        <v>1.7220462843162962E-2</v>
      </c>
      <c r="E17" s="50">
        <v>4015</v>
      </c>
      <c r="F17" s="50"/>
    </row>
    <row r="18" spans="1:6" x14ac:dyDescent="0.25">
      <c r="A18" s="50" t="s">
        <v>260</v>
      </c>
      <c r="B18" s="50" t="s">
        <v>261</v>
      </c>
      <c r="C18" s="50">
        <v>4335</v>
      </c>
      <c r="D18" s="51">
        <f t="shared" si="0"/>
        <v>1.2491751409824539E-2</v>
      </c>
      <c r="E18" s="50">
        <v>59</v>
      </c>
      <c r="F18" s="50"/>
    </row>
    <row r="19" spans="1:6" x14ac:dyDescent="0.25">
      <c r="A19" s="50" t="s">
        <v>256</v>
      </c>
      <c r="B19" s="50" t="s">
        <v>267</v>
      </c>
      <c r="C19" s="50">
        <v>2842</v>
      </c>
      <c r="D19" s="51">
        <f t="shared" si="0"/>
        <v>8.1895173025885448E-3</v>
      </c>
      <c r="E19" s="50">
        <v>2573</v>
      </c>
      <c r="F19" s="50" t="s">
        <v>106</v>
      </c>
    </row>
    <row r="20" spans="1:6" x14ac:dyDescent="0.25">
      <c r="A20" s="50" t="s">
        <v>247</v>
      </c>
      <c r="B20" s="50" t="s">
        <v>270</v>
      </c>
      <c r="C20" s="50">
        <v>2338</v>
      </c>
      <c r="D20" s="51">
        <f t="shared" si="0"/>
        <v>6.7371891109964874E-3</v>
      </c>
      <c r="E20" s="50">
        <v>3073</v>
      </c>
      <c r="F20" s="50" t="s">
        <v>100</v>
      </c>
    </row>
    <row r="21" spans="1:6" x14ac:dyDescent="0.25">
      <c r="A21" s="50" t="s">
        <v>282</v>
      </c>
      <c r="B21" s="50" t="s">
        <v>283</v>
      </c>
      <c r="C21" s="50">
        <v>2173</v>
      </c>
      <c r="D21" s="51">
        <f t="shared" si="0"/>
        <v>6.2617245244633735E-3</v>
      </c>
      <c r="E21" s="50">
        <v>5589</v>
      </c>
      <c r="F21" s="50" t="s">
        <v>106</v>
      </c>
    </row>
    <row r="22" spans="1:6" x14ac:dyDescent="0.25">
      <c r="A22" s="50" t="s">
        <v>268</v>
      </c>
      <c r="B22" s="50" t="s">
        <v>269</v>
      </c>
      <c r="C22" s="50">
        <v>1998</v>
      </c>
      <c r="D22" s="51">
        <f t="shared" si="0"/>
        <v>5.7574439023827979E-3</v>
      </c>
      <c r="E22" s="50">
        <v>4012</v>
      </c>
      <c r="F22" s="50" t="s">
        <v>103</v>
      </c>
    </row>
    <row r="23" spans="1:6" x14ac:dyDescent="0.25">
      <c r="A23" s="50" t="s">
        <v>268</v>
      </c>
      <c r="B23" s="50" t="s">
        <v>271</v>
      </c>
      <c r="C23" s="50">
        <v>1114</v>
      </c>
      <c r="D23" s="51">
        <f t="shared" si="0"/>
        <v>3.2101063599872057E-3</v>
      </c>
      <c r="E23" s="50">
        <v>2356</v>
      </c>
      <c r="F23" s="50" t="s">
        <v>107</v>
      </c>
    </row>
    <row r="24" spans="1:6" x14ac:dyDescent="0.25">
      <c r="A24" s="50" t="s">
        <v>247</v>
      </c>
      <c r="B24" s="50" t="s">
        <v>284</v>
      </c>
      <c r="C24" s="50">
        <v>985</v>
      </c>
      <c r="D24" s="51">
        <f t="shared" si="0"/>
        <v>2.838379501424953E-3</v>
      </c>
      <c r="E24" s="50">
        <v>4887</v>
      </c>
      <c r="F24" s="50" t="s">
        <v>103</v>
      </c>
    </row>
    <row r="25" spans="1:6" x14ac:dyDescent="0.25">
      <c r="A25" s="50" t="s">
        <v>272</v>
      </c>
      <c r="B25" s="50" t="s">
        <v>273</v>
      </c>
      <c r="C25" s="50">
        <v>816</v>
      </c>
      <c r="D25" s="51">
        <f t="shared" si="0"/>
        <v>2.3513885006728546E-3</v>
      </c>
      <c r="E25" s="50">
        <v>2245</v>
      </c>
      <c r="F25" s="50" t="s">
        <v>107</v>
      </c>
    </row>
    <row r="26" spans="1:6" x14ac:dyDescent="0.25">
      <c r="A26" s="50" t="s">
        <v>280</v>
      </c>
      <c r="B26" s="50" t="s">
        <v>281</v>
      </c>
      <c r="C26" s="50">
        <v>765</v>
      </c>
      <c r="D26" s="51">
        <f t="shared" si="0"/>
        <v>2.2044267193808012E-3</v>
      </c>
      <c r="E26" s="50">
        <v>4042</v>
      </c>
      <c r="F26" s="50" t="s">
        <v>120</v>
      </c>
    </row>
    <row r="27" spans="1:6" x14ac:dyDescent="0.25">
      <c r="A27" s="50" t="s">
        <v>277</v>
      </c>
      <c r="B27" s="50" t="s">
        <v>278</v>
      </c>
      <c r="C27" s="50">
        <v>709</v>
      </c>
      <c r="D27" s="51">
        <f t="shared" si="0"/>
        <v>2.043056920315017E-3</v>
      </c>
      <c r="E27" s="50">
        <v>740</v>
      </c>
      <c r="F27" s="50" t="s">
        <v>103</v>
      </c>
    </row>
    <row r="28" spans="1:6" x14ac:dyDescent="0.25">
      <c r="A28" s="50" t="s">
        <v>274</v>
      </c>
      <c r="B28" s="50" t="s">
        <v>275</v>
      </c>
      <c r="C28" s="50">
        <v>269</v>
      </c>
      <c r="D28" s="51">
        <f t="shared" si="0"/>
        <v>7.7515135622671302E-4</v>
      </c>
      <c r="E28" s="50" t="s">
        <v>276</v>
      </c>
      <c r="F28" s="50" t="s">
        <v>164</v>
      </c>
    </row>
    <row r="29" spans="1:6" x14ac:dyDescent="0.25">
      <c r="A29" s="50" t="s">
        <v>274</v>
      </c>
      <c r="B29" s="50" t="s">
        <v>279</v>
      </c>
      <c r="C29" s="50">
        <v>235</v>
      </c>
      <c r="D29" s="51">
        <f t="shared" si="0"/>
        <v>6.771768353653441E-4</v>
      </c>
      <c r="E29" s="50">
        <v>250</v>
      </c>
      <c r="F29" s="50" t="s">
        <v>120</v>
      </c>
    </row>
    <row r="30" spans="1:6" x14ac:dyDescent="0.25">
      <c r="A30" s="50" t="s">
        <v>268</v>
      </c>
      <c r="B30" s="50" t="s">
        <v>285</v>
      </c>
      <c r="C30" s="50">
        <v>118</v>
      </c>
      <c r="D30" s="51">
        <f t="shared" si="0"/>
        <v>3.4002921946004513E-4</v>
      </c>
      <c r="E30" s="50">
        <v>176</v>
      </c>
      <c r="F30" s="50" t="s">
        <v>164</v>
      </c>
    </row>
    <row r="31" spans="1:6" x14ac:dyDescent="0.25">
      <c r="A31" s="50" t="s">
        <v>247</v>
      </c>
      <c r="B31" s="50" t="s">
        <v>286</v>
      </c>
      <c r="C31" s="50">
        <v>75</v>
      </c>
      <c r="D31" s="51">
        <f t="shared" si="0"/>
        <v>2.161202666059609E-4</v>
      </c>
      <c r="E31" s="50">
        <v>1458</v>
      </c>
      <c r="F31" s="50"/>
    </row>
    <row r="32" spans="1:6" x14ac:dyDescent="0.25">
      <c r="A32" s="50" t="s">
        <v>256</v>
      </c>
      <c r="B32" s="50" t="s">
        <v>287</v>
      </c>
      <c r="C32" s="50">
        <v>70</v>
      </c>
      <c r="D32" s="51">
        <f t="shared" si="0"/>
        <v>2.0171224883223015E-4</v>
      </c>
      <c r="E32" s="50">
        <v>91</v>
      </c>
      <c r="F32" s="50"/>
    </row>
    <row r="33" spans="1:6" x14ac:dyDescent="0.25">
      <c r="A33" s="50" t="s">
        <v>280</v>
      </c>
      <c r="B33" s="50" t="s">
        <v>289</v>
      </c>
      <c r="C33" s="50">
        <v>45</v>
      </c>
      <c r="D33" s="51">
        <f t="shared" si="0"/>
        <v>1.2967215996357654E-4</v>
      </c>
      <c r="E33" s="50">
        <v>186</v>
      </c>
      <c r="F33" s="50"/>
    </row>
    <row r="34" spans="1:6" x14ac:dyDescent="0.25">
      <c r="A34" s="50" t="s">
        <v>256</v>
      </c>
      <c r="B34" s="50" t="s">
        <v>288</v>
      </c>
      <c r="C34" s="50">
        <v>40</v>
      </c>
      <c r="D34" s="51">
        <f t="shared" si="0"/>
        <v>1.1526414218984581E-4</v>
      </c>
      <c r="E34" s="50">
        <v>47</v>
      </c>
      <c r="F34" s="50"/>
    </row>
    <row r="35" spans="1:6" x14ac:dyDescent="0.25">
      <c r="A35" s="50" t="s">
        <v>260</v>
      </c>
      <c r="B35" s="50" t="s">
        <v>299</v>
      </c>
      <c r="C35" s="50">
        <v>35</v>
      </c>
      <c r="D35" s="51">
        <f t="shared" si="0"/>
        <v>1.0085612441611508E-4</v>
      </c>
      <c r="E35" s="50">
        <v>272</v>
      </c>
      <c r="F35" s="50"/>
    </row>
    <row r="36" spans="1:6" x14ac:dyDescent="0.25">
      <c r="A36" s="50" t="s">
        <v>291</v>
      </c>
      <c r="B36" s="50" t="s">
        <v>292</v>
      </c>
      <c r="C36" s="50">
        <v>18</v>
      </c>
      <c r="D36" s="51">
        <f t="shared" si="0"/>
        <v>5.1868863985430615E-5</v>
      </c>
      <c r="E36" s="50">
        <v>97</v>
      </c>
      <c r="F36" s="50"/>
    </row>
    <row r="37" spans="1:6" x14ac:dyDescent="0.25">
      <c r="A37" s="50" t="s">
        <v>293</v>
      </c>
      <c r="B37" s="50" t="s">
        <v>295</v>
      </c>
      <c r="C37" s="50">
        <v>18</v>
      </c>
      <c r="D37" s="51">
        <f t="shared" si="0"/>
        <v>5.1868863985430615E-5</v>
      </c>
      <c r="E37" s="50">
        <v>25</v>
      </c>
      <c r="F37" s="50"/>
    </row>
    <row r="38" spans="1:6" x14ac:dyDescent="0.25">
      <c r="A38" s="50" t="s">
        <v>306</v>
      </c>
      <c r="B38" s="50" t="s">
        <v>307</v>
      </c>
      <c r="C38" s="50">
        <v>14</v>
      </c>
      <c r="D38" s="51">
        <f t="shared" si="0"/>
        <v>4.0342449766446032E-5</v>
      </c>
      <c r="E38" s="50">
        <v>53</v>
      </c>
      <c r="F38" s="50"/>
    </row>
    <row r="39" spans="1:6" x14ac:dyDescent="0.25">
      <c r="A39" s="50" t="s">
        <v>274</v>
      </c>
      <c r="B39" s="50" t="s">
        <v>290</v>
      </c>
      <c r="C39" s="50">
        <v>1</v>
      </c>
      <c r="D39" s="51">
        <f t="shared" si="0"/>
        <v>2.881603554746145E-6</v>
      </c>
      <c r="E39" s="50">
        <v>22</v>
      </c>
      <c r="F39" s="50"/>
    </row>
    <row r="40" spans="1:6" x14ac:dyDescent="0.25">
      <c r="A40" s="50" t="s">
        <v>293</v>
      </c>
      <c r="B40" s="50" t="s">
        <v>296</v>
      </c>
      <c r="C40" s="50">
        <v>1</v>
      </c>
      <c r="D40" s="51">
        <f t="shared" si="0"/>
        <v>2.881603554746145E-6</v>
      </c>
      <c r="E40" s="50">
        <v>12</v>
      </c>
      <c r="F40" s="50"/>
    </row>
    <row r="41" spans="1:6" x14ac:dyDescent="0.25">
      <c r="A41" s="50" t="s">
        <v>306</v>
      </c>
      <c r="B41" s="50" t="s">
        <v>309</v>
      </c>
      <c r="C41" s="50">
        <v>1</v>
      </c>
      <c r="D41" s="51">
        <f t="shared" si="0"/>
        <v>2.881603554746145E-6</v>
      </c>
      <c r="E41" s="50">
        <v>10</v>
      </c>
      <c r="F41" s="50"/>
    </row>
    <row r="42" spans="1:6" x14ac:dyDescent="0.25">
      <c r="A42" s="50" t="s">
        <v>293</v>
      </c>
      <c r="B42" s="50" t="s">
        <v>294</v>
      </c>
      <c r="C42" s="50">
        <v>0</v>
      </c>
      <c r="D42" s="51">
        <v>0</v>
      </c>
      <c r="E42" s="50">
        <v>30</v>
      </c>
      <c r="F42" s="50"/>
    </row>
    <row r="43" spans="1:6" x14ac:dyDescent="0.25">
      <c r="A43" s="50" t="s">
        <v>297</v>
      </c>
      <c r="B43" s="50" t="s">
        <v>298</v>
      </c>
      <c r="C43" s="50">
        <v>0</v>
      </c>
      <c r="D43" s="51">
        <v>0</v>
      </c>
      <c r="E43" s="50">
        <v>7</v>
      </c>
      <c r="F43" s="50"/>
    </row>
    <row r="44" spans="1:6" x14ac:dyDescent="0.25">
      <c r="A44" s="50" t="s">
        <v>260</v>
      </c>
      <c r="B44" s="50" t="s">
        <v>300</v>
      </c>
      <c r="C44" s="50">
        <v>0</v>
      </c>
      <c r="D44" s="51">
        <v>0</v>
      </c>
      <c r="E44" s="50">
        <v>2</v>
      </c>
      <c r="F44" s="50"/>
    </row>
    <row r="45" spans="1:6" x14ac:dyDescent="0.25">
      <c r="A45" s="50" t="s">
        <v>260</v>
      </c>
      <c r="B45" s="50" t="s">
        <v>301</v>
      </c>
      <c r="C45" s="50">
        <v>0</v>
      </c>
      <c r="D45" s="51">
        <v>0</v>
      </c>
      <c r="E45" s="50">
        <v>8</v>
      </c>
      <c r="F45" s="50"/>
    </row>
    <row r="46" spans="1:6" x14ac:dyDescent="0.25">
      <c r="A46" s="50" t="s">
        <v>302</v>
      </c>
      <c r="B46" s="50" t="s">
        <v>303</v>
      </c>
      <c r="C46" s="50">
        <v>0</v>
      </c>
      <c r="D46" s="51">
        <v>0</v>
      </c>
      <c r="E46" s="50">
        <v>10</v>
      </c>
      <c r="F46" s="50"/>
    </row>
    <row r="47" spans="1:6" x14ac:dyDescent="0.25">
      <c r="A47" s="50" t="s">
        <v>302</v>
      </c>
      <c r="B47" s="50" t="s">
        <v>304</v>
      </c>
      <c r="C47" s="50">
        <v>0</v>
      </c>
      <c r="D47" s="51">
        <v>0</v>
      </c>
      <c r="E47" s="50">
        <v>1</v>
      </c>
      <c r="F47" s="50"/>
    </row>
    <row r="48" spans="1:6" x14ac:dyDescent="0.25">
      <c r="A48" s="50" t="s">
        <v>256</v>
      </c>
      <c r="B48" s="50" t="s">
        <v>305</v>
      </c>
      <c r="C48" s="50">
        <v>0</v>
      </c>
      <c r="D48" s="51">
        <v>0</v>
      </c>
      <c r="E48" s="50" t="s">
        <v>276</v>
      </c>
      <c r="F48" s="50"/>
    </row>
    <row r="49" spans="1:6" x14ac:dyDescent="0.25">
      <c r="A49" s="50" t="s">
        <v>306</v>
      </c>
      <c r="B49" s="50" t="s">
        <v>308</v>
      </c>
      <c r="C49" s="50">
        <v>0</v>
      </c>
      <c r="D49" s="51">
        <f>C49/347029</f>
        <v>0</v>
      </c>
      <c r="E49" s="50">
        <v>1</v>
      </c>
      <c r="F49" s="50"/>
    </row>
    <row r="50" spans="1:6" x14ac:dyDescent="0.25">
      <c r="A50" s="50" t="s">
        <v>272</v>
      </c>
      <c r="B50" s="50" t="s">
        <v>310</v>
      </c>
      <c r="C50" s="50">
        <v>0</v>
      </c>
      <c r="D50" s="51">
        <f>C50/347029</f>
        <v>0</v>
      </c>
      <c r="E50" s="50" t="s">
        <v>276</v>
      </c>
      <c r="F50" s="50"/>
    </row>
    <row r="51" spans="1:6" x14ac:dyDescent="0.25">
      <c r="A51" s="50" t="s">
        <v>311</v>
      </c>
      <c r="B51" s="50" t="s">
        <v>312</v>
      </c>
      <c r="C51" s="50">
        <v>0</v>
      </c>
      <c r="D51" s="51">
        <f>C51/347029</f>
        <v>0</v>
      </c>
      <c r="E51" s="50" t="s">
        <v>276</v>
      </c>
      <c r="F51" s="50"/>
    </row>
    <row r="52" spans="1:6" x14ac:dyDescent="0.25">
      <c r="A52" s="50" t="s">
        <v>311</v>
      </c>
      <c r="B52" s="50" t="s">
        <v>313</v>
      </c>
      <c r="C52" s="50">
        <v>0</v>
      </c>
      <c r="D52" s="51">
        <f>C52/347029</f>
        <v>0</v>
      </c>
      <c r="E52" s="50" t="s">
        <v>276</v>
      </c>
      <c r="F52" s="50"/>
    </row>
    <row r="53" spans="1:6" x14ac:dyDescent="0.25">
      <c r="A53" s="50" t="s">
        <v>277</v>
      </c>
      <c r="B53" s="50" t="s">
        <v>314</v>
      </c>
      <c r="C53" s="50">
        <v>0</v>
      </c>
      <c r="D53" s="51">
        <f>C53/347029</f>
        <v>0</v>
      </c>
      <c r="E53" s="50">
        <v>16</v>
      </c>
      <c r="F53" s="50"/>
    </row>
    <row r="54" spans="1:6" x14ac:dyDescent="0.25">
      <c r="A54" s="50"/>
      <c r="B54" s="50"/>
      <c r="C54" s="50"/>
      <c r="D54" s="50"/>
      <c r="E54" s="50"/>
      <c r="F54" s="50"/>
    </row>
  </sheetData>
  <autoFilter ref="A1:F54">
    <sortState ref="A2:F55">
      <sortCondition descending="1" ref="C1:C5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Z27"/>
  <sheetViews>
    <sheetView workbookViewId="0">
      <selection activeCell="S19" sqref="S19"/>
    </sheetView>
  </sheetViews>
  <sheetFormatPr defaultRowHeight="15" x14ac:dyDescent="0.25"/>
  <cols>
    <col min="1" max="1" width="29.28515625" bestFit="1" customWidth="1"/>
    <col min="2" max="2" width="10.28515625" customWidth="1"/>
    <col min="3" max="3" width="12.7109375" customWidth="1"/>
    <col min="8" max="9" width="18.140625" customWidth="1"/>
    <col min="10" max="10" width="14" customWidth="1"/>
    <col min="12" max="12" width="15.140625" bestFit="1" customWidth="1"/>
    <col min="18" max="18" width="14.7109375" bestFit="1" customWidth="1"/>
    <col min="20" max="20" width="14.7109375" bestFit="1" customWidth="1"/>
    <col min="21" max="21" width="12" bestFit="1" customWidth="1"/>
    <col min="22" max="22" width="13.140625" bestFit="1" customWidth="1"/>
    <col min="25" max="25" width="14.85546875" bestFit="1" customWidth="1"/>
  </cols>
  <sheetData>
    <row r="2" spans="1:26" ht="15.75" thickBot="1" x14ac:dyDescent="0.3">
      <c r="A2" s="1" t="s">
        <v>102</v>
      </c>
      <c r="B2" s="1" t="s">
        <v>165</v>
      </c>
      <c r="C2" s="1" t="s">
        <v>166</v>
      </c>
      <c r="D2" s="2" t="s">
        <v>0</v>
      </c>
      <c r="E2" s="9" t="s">
        <v>111</v>
      </c>
      <c r="F2" s="9" t="s">
        <v>112</v>
      </c>
      <c r="G2" s="9" t="s">
        <v>113</v>
      </c>
      <c r="H2" s="9" t="s">
        <v>238</v>
      </c>
      <c r="I2" s="9" t="s">
        <v>379</v>
      </c>
      <c r="J2" s="9" t="s">
        <v>233</v>
      </c>
      <c r="K2" s="9" t="s">
        <v>234</v>
      </c>
      <c r="L2" s="10" t="s">
        <v>98</v>
      </c>
      <c r="M2" s="10" t="s">
        <v>124</v>
      </c>
      <c r="N2" s="3" t="s">
        <v>99</v>
      </c>
      <c r="O2" s="3" t="s">
        <v>168</v>
      </c>
      <c r="P2" s="3" t="s">
        <v>232</v>
      </c>
      <c r="Q2" s="23" t="s">
        <v>185</v>
      </c>
      <c r="R2" s="23" t="s">
        <v>186</v>
      </c>
      <c r="S2" s="23" t="s">
        <v>187</v>
      </c>
      <c r="T2" s="23" t="s">
        <v>208</v>
      </c>
      <c r="U2" s="23" t="s">
        <v>187</v>
      </c>
      <c r="V2" s="23" t="s">
        <v>209</v>
      </c>
      <c r="W2" s="23" t="s">
        <v>187</v>
      </c>
      <c r="X2" s="23"/>
    </row>
    <row r="3" spans="1:26" x14ac:dyDescent="0.25">
      <c r="A3" s="75" t="s">
        <v>3</v>
      </c>
      <c r="B3" s="77">
        <v>0.31</v>
      </c>
      <c r="C3" s="77">
        <v>2.4E-2</v>
      </c>
      <c r="D3" s="78">
        <v>33220</v>
      </c>
      <c r="E3" s="78">
        <v>24739</v>
      </c>
      <c r="F3" s="78">
        <v>15393</v>
      </c>
      <c r="G3" s="78"/>
      <c r="H3" s="79">
        <f>E3/SUM($E$3:$E$5,$E$7:$E$19)*(33226-669)/33226</f>
        <v>0.34403264696168046</v>
      </c>
      <c r="I3" s="78">
        <f>H3*33226</f>
        <v>11430.828727948794</v>
      </c>
      <c r="J3" s="78">
        <v>7500</v>
      </c>
      <c r="K3" s="78">
        <v>1500</v>
      </c>
      <c r="L3" s="75" t="s">
        <v>103</v>
      </c>
      <c r="M3" s="75"/>
      <c r="N3" s="75" t="s">
        <v>104</v>
      </c>
      <c r="O3" s="75" t="s">
        <v>168</v>
      </c>
      <c r="P3" s="75"/>
      <c r="Q3" s="85">
        <f>E3/SUM($E$3:$E$12)</f>
        <v>0.35650056200824276</v>
      </c>
      <c r="R3" s="75">
        <f>D3*Q3</f>
        <v>11842.948669913825</v>
      </c>
      <c r="S3" s="75">
        <f>SUM(R3:R12)</f>
        <v>37838.895005331877</v>
      </c>
      <c r="T3" s="75">
        <f>B3*$Q3</f>
        <v>0.11051517422255526</v>
      </c>
      <c r="U3" s="75">
        <f>SUM(T3:T12)</f>
        <v>0.37531054558030957</v>
      </c>
      <c r="V3" s="75">
        <f>C3*$Q3</f>
        <v>8.5560134881978271E-3</v>
      </c>
      <c r="W3" s="75">
        <f>SUM(V3:V12)</f>
        <v>2.7219658760123354E-2</v>
      </c>
      <c r="Y3" s="44" t="s">
        <v>103</v>
      </c>
      <c r="Z3" s="45">
        <f>SUM(H3:H5)</f>
        <v>0.51420636056651836</v>
      </c>
    </row>
    <row r="4" spans="1:26" x14ac:dyDescent="0.25">
      <c r="A4" s="75" t="s">
        <v>16</v>
      </c>
      <c r="B4" s="77">
        <v>0.35</v>
      </c>
      <c r="C4" s="77">
        <v>2.5999999999999999E-2</v>
      </c>
      <c r="D4" s="78">
        <v>27120</v>
      </c>
      <c r="E4" s="78">
        <v>7957</v>
      </c>
      <c r="F4" s="78"/>
      <c r="G4" s="78"/>
      <c r="H4" s="79">
        <f t="shared" ref="H4:H19" si="0">E4/SUM($E$3:$E$5,$E$7:$E$19)*(33226-669)/33226</f>
        <v>0.11065393798755371</v>
      </c>
      <c r="I4" s="78">
        <f t="shared" ref="I4:I19" si="1">H4*33226</f>
        <v>3676.5877435744596</v>
      </c>
      <c r="J4" s="78">
        <v>4007</v>
      </c>
      <c r="K4" s="78">
        <v>1500</v>
      </c>
      <c r="L4" s="75" t="s">
        <v>103</v>
      </c>
      <c r="M4" s="75"/>
      <c r="N4" s="75" t="s">
        <v>104</v>
      </c>
      <c r="O4" s="75" t="s">
        <v>168</v>
      </c>
      <c r="P4" s="75"/>
      <c r="Q4" s="85">
        <f t="shared" ref="Q4:Q11" si="2">E4/SUM($E$3:$E$12)</f>
        <v>0.1146640919964262</v>
      </c>
      <c r="R4" s="75">
        <f t="shared" ref="R4:R12" si="3">D4*Q4</f>
        <v>3109.6901749430785</v>
      </c>
      <c r="S4" s="75"/>
      <c r="T4" s="75">
        <f t="shared" ref="T4:T12" si="4">B4*$Q4</f>
        <v>4.0132432198749166E-2</v>
      </c>
      <c r="U4" s="75"/>
      <c r="V4" s="75">
        <f t="shared" ref="V4:V11" si="5">C4*$Q4</f>
        <v>2.9812663919070812E-3</v>
      </c>
      <c r="W4" s="75"/>
      <c r="Y4" s="46" t="s">
        <v>164</v>
      </c>
      <c r="Z4" s="47">
        <f>SUM(H6:H8)</f>
        <v>0.33782086104543213</v>
      </c>
    </row>
    <row r="5" spans="1:26" x14ac:dyDescent="0.25">
      <c r="A5" s="75" t="s">
        <v>28</v>
      </c>
      <c r="B5" s="77">
        <v>0.4</v>
      </c>
      <c r="C5" s="77">
        <v>2.9000000000000001E-2</v>
      </c>
      <c r="D5" s="78">
        <v>38900</v>
      </c>
      <c r="E5" s="78">
        <v>4280</v>
      </c>
      <c r="F5" s="78"/>
      <c r="G5" s="78"/>
      <c r="H5" s="79">
        <f t="shared" si="0"/>
        <v>5.9519775617284137E-2</v>
      </c>
      <c r="I5" s="78">
        <f>H5*33226</f>
        <v>1977.6040646598829</v>
      </c>
      <c r="J5" s="78">
        <v>4502</v>
      </c>
      <c r="K5" s="78">
        <v>1500</v>
      </c>
      <c r="L5" s="75" t="s">
        <v>103</v>
      </c>
      <c r="M5" s="75" t="s">
        <v>124</v>
      </c>
      <c r="N5" s="75" t="s">
        <v>104</v>
      </c>
      <c r="O5" s="75" t="s">
        <v>168</v>
      </c>
      <c r="P5" s="75"/>
      <c r="Q5" s="85">
        <f t="shared" si="2"/>
        <v>6.1676802028993859E-2</v>
      </c>
      <c r="R5" s="75">
        <f t="shared" si="3"/>
        <v>2399.227598927861</v>
      </c>
      <c r="S5" s="75"/>
      <c r="T5" s="75">
        <f t="shared" si="4"/>
        <v>2.4670720811597546E-2</v>
      </c>
      <c r="U5" s="75"/>
      <c r="V5" s="75">
        <f t="shared" si="5"/>
        <v>1.7886272588408219E-3</v>
      </c>
      <c r="W5" s="75"/>
      <c r="Y5" s="46" t="s">
        <v>341</v>
      </c>
      <c r="Z5" s="47">
        <f>SUM('Hybrid(plugin)_Additional'!D14,'Hybrid(plugin)_Additional'!D17,H9)</f>
        <v>2.1903851959109107E-2</v>
      </c>
    </row>
    <row r="6" spans="1:26" x14ac:dyDescent="0.25">
      <c r="A6" s="89" t="s">
        <v>171</v>
      </c>
      <c r="B6" s="76">
        <v>0.25</v>
      </c>
      <c r="C6" s="77">
        <v>1.9E-2</v>
      </c>
      <c r="D6" s="78">
        <v>27100</v>
      </c>
      <c r="E6" s="78">
        <v>2474</v>
      </c>
      <c r="F6" s="78">
        <v>4191</v>
      </c>
      <c r="G6" s="78">
        <v>669</v>
      </c>
      <c r="H6" s="79">
        <f>E6/33226</f>
        <v>7.4459760428580032E-2</v>
      </c>
      <c r="I6" s="78">
        <v>669</v>
      </c>
      <c r="J6" s="78">
        <v>4502</v>
      </c>
      <c r="K6" s="78">
        <v>1500</v>
      </c>
      <c r="L6" s="75" t="s">
        <v>164</v>
      </c>
      <c r="M6" s="75"/>
      <c r="N6" s="75" t="s">
        <v>104</v>
      </c>
      <c r="O6" s="75" t="s">
        <v>168</v>
      </c>
      <c r="P6" s="75"/>
      <c r="Q6" s="85">
        <f t="shared" si="2"/>
        <v>3.5651497247600659E-2</v>
      </c>
      <c r="R6" s="75">
        <f t="shared" si="3"/>
        <v>966.15557540997793</v>
      </c>
      <c r="S6" s="75"/>
      <c r="T6" s="75">
        <f t="shared" si="4"/>
        <v>8.9128743119001649E-3</v>
      </c>
      <c r="U6" s="75"/>
      <c r="V6" s="75">
        <f t="shared" si="5"/>
        <v>6.7737844770441246E-4</v>
      </c>
      <c r="W6" s="75"/>
      <c r="Y6" s="46" t="s">
        <v>339</v>
      </c>
      <c r="Z6" s="47">
        <f>SUM(H10:H12,'Hybrid(plugin)_Additional'!D16)</f>
        <v>0.14398431766997649</v>
      </c>
    </row>
    <row r="7" spans="1:26" ht="15.75" thickBot="1" x14ac:dyDescent="0.3">
      <c r="A7" s="89" t="s">
        <v>172</v>
      </c>
      <c r="B7" s="76">
        <v>0.35</v>
      </c>
      <c r="C7" s="77">
        <v>2.4E-2</v>
      </c>
      <c r="D7" s="78">
        <v>33120</v>
      </c>
      <c r="E7" s="78">
        <v>15938</v>
      </c>
      <c r="F7" s="78"/>
      <c r="G7" s="78"/>
      <c r="H7" s="79">
        <f t="shared" si="0"/>
        <v>0.22164163172623239</v>
      </c>
      <c r="I7" s="78">
        <f t="shared" si="1"/>
        <v>7364.264855735797</v>
      </c>
      <c r="J7" s="78">
        <v>4007</v>
      </c>
      <c r="K7" s="78">
        <v>1500</v>
      </c>
      <c r="L7" s="75" t="s">
        <v>164</v>
      </c>
      <c r="M7" s="75"/>
      <c r="N7" s="75" t="s">
        <v>104</v>
      </c>
      <c r="O7" s="75" t="s">
        <v>168</v>
      </c>
      <c r="P7" s="75"/>
      <c r="Q7" s="85">
        <f t="shared" si="2"/>
        <v>0.22967403521918323</v>
      </c>
      <c r="R7" s="75">
        <f t="shared" si="3"/>
        <v>7606.8040464593487</v>
      </c>
      <c r="S7" s="75"/>
      <c r="T7" s="75">
        <f t="shared" si="4"/>
        <v>8.0385912326714118E-2</v>
      </c>
      <c r="U7" s="75"/>
      <c r="V7" s="75">
        <f t="shared" si="5"/>
        <v>5.5121768452603978E-3</v>
      </c>
      <c r="W7" s="75"/>
      <c r="Y7" s="48" t="s">
        <v>342</v>
      </c>
      <c r="Z7" s="49">
        <f>SUM('Hybrid(plugin)_Additional'!D13,'Hybrid(plugin)_Additional'!D15,'Hybrid(plugin)_Additional'!D18,H13)</f>
        <v>3.6028602110913993E-2</v>
      </c>
    </row>
    <row r="8" spans="1:26" ht="15.75" thickBot="1" x14ac:dyDescent="0.3">
      <c r="A8" s="90" t="s">
        <v>205</v>
      </c>
      <c r="B8" s="76">
        <v>0.34</v>
      </c>
      <c r="C8" s="77">
        <v>2.5999999999999999E-2</v>
      </c>
      <c r="D8" s="78">
        <v>34600</v>
      </c>
      <c r="E8" s="78">
        <v>3000</v>
      </c>
      <c r="F8" s="78"/>
      <c r="G8" s="78"/>
      <c r="H8" s="79">
        <f t="shared" si="0"/>
        <v>4.1719468890619719E-2</v>
      </c>
      <c r="I8" s="78">
        <f t="shared" si="1"/>
        <v>1386.1710733597308</v>
      </c>
      <c r="J8" s="78">
        <v>4919</v>
      </c>
      <c r="K8" s="78">
        <v>1500</v>
      </c>
      <c r="L8" s="75" t="s">
        <v>164</v>
      </c>
      <c r="M8" s="75"/>
      <c r="N8" s="75" t="s">
        <v>104</v>
      </c>
      <c r="O8" s="75" t="s">
        <v>168</v>
      </c>
      <c r="P8" s="75"/>
      <c r="Q8" s="85">
        <f t="shared" si="2"/>
        <v>4.3231403291350834E-2</v>
      </c>
      <c r="R8" s="75">
        <f t="shared" si="3"/>
        <v>1495.8065538807389</v>
      </c>
      <c r="S8" s="75"/>
      <c r="T8" s="75">
        <f t="shared" si="4"/>
        <v>1.4698677119059285E-2</v>
      </c>
      <c r="U8" s="75"/>
      <c r="V8" s="75">
        <f t="shared" si="5"/>
        <v>1.1240164855751216E-3</v>
      </c>
      <c r="W8" s="75"/>
    </row>
    <row r="9" spans="1:26" x14ac:dyDescent="0.25">
      <c r="A9" s="89" t="s">
        <v>343</v>
      </c>
      <c r="B9" s="76">
        <v>0.47</v>
      </c>
      <c r="C9" s="77">
        <v>3.3000000000000002E-2</v>
      </c>
      <c r="D9" s="78">
        <v>43700</v>
      </c>
      <c r="E9" s="78">
        <v>880</v>
      </c>
      <c r="F9" s="78"/>
      <c r="G9" s="78"/>
      <c r="H9" s="79">
        <f t="shared" si="0"/>
        <v>1.2237710874581786E-2</v>
      </c>
      <c r="I9" s="78">
        <f t="shared" si="1"/>
        <v>406.6101815188544</v>
      </c>
      <c r="J9" s="78">
        <v>4001</v>
      </c>
      <c r="K9" s="78">
        <v>1500</v>
      </c>
      <c r="L9" s="75" t="s">
        <v>103</v>
      </c>
      <c r="M9" s="75" t="s">
        <v>124</v>
      </c>
      <c r="N9" s="75" t="s">
        <v>104</v>
      </c>
      <c r="O9" s="75" t="s">
        <v>168</v>
      </c>
      <c r="P9" s="75"/>
      <c r="Q9" s="85">
        <f t="shared" si="2"/>
        <v>1.2681211632129579E-2</v>
      </c>
      <c r="R9" s="75">
        <f t="shared" si="3"/>
        <v>554.16894832406263</v>
      </c>
      <c r="S9" s="75"/>
      <c r="T9" s="75">
        <f t="shared" si="4"/>
        <v>5.9601694671009018E-3</v>
      </c>
      <c r="U9" s="75"/>
      <c r="V9" s="75">
        <f t="shared" si="5"/>
        <v>4.1847998386027616E-4</v>
      </c>
      <c r="W9" s="75"/>
      <c r="Y9" s="44" t="s">
        <v>183</v>
      </c>
      <c r="Z9" s="45">
        <f>SUM(H3:H9,H13,'Hybrid(plugin)_Additional'!D13:D15,'Hybrid(plugin)_Additional'!D17:D18)</f>
        <v>0.90995967568197356</v>
      </c>
    </row>
    <row r="10" spans="1:26" ht="15.75" thickBot="1" x14ac:dyDescent="0.3">
      <c r="A10" s="75" t="s">
        <v>13</v>
      </c>
      <c r="B10" s="77">
        <v>0.59</v>
      </c>
      <c r="C10" s="77">
        <v>4.2000000000000003E-2</v>
      </c>
      <c r="D10" s="78">
        <v>63200</v>
      </c>
      <c r="E10" s="78">
        <v>5995</v>
      </c>
      <c r="F10" s="78"/>
      <c r="G10" s="78"/>
      <c r="H10" s="79">
        <f t="shared" si="0"/>
        <v>8.3369405333088412E-2</v>
      </c>
      <c r="I10" s="78">
        <f t="shared" si="1"/>
        <v>2770.0318615971955</v>
      </c>
      <c r="J10" s="78">
        <v>4668</v>
      </c>
      <c r="K10" s="78">
        <v>1500</v>
      </c>
      <c r="L10" s="75" t="s">
        <v>107</v>
      </c>
      <c r="M10" s="75" t="s">
        <v>124</v>
      </c>
      <c r="N10" s="75" t="s">
        <v>104</v>
      </c>
      <c r="O10" s="75" t="s">
        <v>168</v>
      </c>
      <c r="P10" s="75"/>
      <c r="Q10" s="85">
        <f t="shared" si="2"/>
        <v>8.6390754243882761E-2</v>
      </c>
      <c r="R10" s="75">
        <f t="shared" si="3"/>
        <v>5459.8956682133903</v>
      </c>
      <c r="S10" s="75"/>
      <c r="T10" s="75">
        <f t="shared" si="4"/>
        <v>5.0970545003890824E-2</v>
      </c>
      <c r="U10" s="75"/>
      <c r="V10" s="75">
        <f t="shared" si="5"/>
        <v>3.6284116782430761E-3</v>
      </c>
      <c r="W10" s="75"/>
      <c r="Y10" s="48" t="s">
        <v>184</v>
      </c>
      <c r="Z10" s="49">
        <f>SUM(H10:H12,'Hybrid(plugin)_Additional'!D16)</f>
        <v>0.14398431766997649</v>
      </c>
    </row>
    <row r="11" spans="1:26" ht="15.75" thickBot="1" x14ac:dyDescent="0.3">
      <c r="A11" s="75" t="s">
        <v>25</v>
      </c>
      <c r="B11" s="77">
        <v>0.71</v>
      </c>
      <c r="C11" s="77">
        <v>4.4999999999999998E-2</v>
      </c>
      <c r="D11" s="78">
        <v>79900</v>
      </c>
      <c r="E11" s="78">
        <v>2111</v>
      </c>
      <c r="F11" s="78"/>
      <c r="G11" s="78"/>
      <c r="H11" s="79">
        <f t="shared" si="0"/>
        <v>2.9356599609366079E-2</v>
      </c>
      <c r="I11" s="78">
        <f t="shared" si="1"/>
        <v>975.40237862079732</v>
      </c>
      <c r="J11" s="78">
        <v>5335</v>
      </c>
      <c r="K11" s="78">
        <v>1500</v>
      </c>
      <c r="L11" s="75" t="s">
        <v>107</v>
      </c>
      <c r="M11" s="75" t="s">
        <v>124</v>
      </c>
      <c r="N11" s="75" t="s">
        <v>104</v>
      </c>
      <c r="O11" s="75" t="s">
        <v>168</v>
      </c>
      <c r="P11" s="75"/>
      <c r="Q11" s="85">
        <f t="shared" si="2"/>
        <v>3.0420497449347206E-2</v>
      </c>
      <c r="R11" s="75">
        <f t="shared" si="3"/>
        <v>2430.5977462028418</v>
      </c>
      <c r="S11" s="75"/>
      <c r="T11" s="75">
        <f t="shared" si="4"/>
        <v>2.1598553189036515E-2</v>
      </c>
      <c r="U11" s="75"/>
      <c r="V11" s="75">
        <f t="shared" si="5"/>
        <v>1.3689223852206243E-3</v>
      </c>
      <c r="W11" s="75"/>
    </row>
    <row r="12" spans="1:26" x14ac:dyDescent="0.25">
      <c r="A12" s="75" t="s">
        <v>34</v>
      </c>
      <c r="B12" s="77">
        <v>0.6</v>
      </c>
      <c r="C12" s="77">
        <v>0.04</v>
      </c>
      <c r="D12" s="78">
        <v>67800</v>
      </c>
      <c r="E12" s="78">
        <v>2020</v>
      </c>
      <c r="F12" s="78"/>
      <c r="G12" s="78"/>
      <c r="H12" s="79">
        <f t="shared" si="0"/>
        <v>2.8091109053017281E-2</v>
      </c>
      <c r="I12" s="78">
        <f t="shared" si="1"/>
        <v>933.3551893955522</v>
      </c>
      <c r="J12" s="78">
        <v>5002</v>
      </c>
      <c r="K12" s="78">
        <v>1500</v>
      </c>
      <c r="L12" s="75" t="s">
        <v>107</v>
      </c>
      <c r="M12" s="75" t="s">
        <v>124</v>
      </c>
      <c r="N12" s="75" t="s">
        <v>104</v>
      </c>
      <c r="O12" s="75" t="s">
        <v>168</v>
      </c>
      <c r="P12" s="75"/>
      <c r="Q12" s="85">
        <f>E12/SUM($E$3:$E$12)</f>
        <v>2.9109144882842896E-2</v>
      </c>
      <c r="R12" s="75">
        <f t="shared" si="3"/>
        <v>1973.6000230567483</v>
      </c>
      <c r="S12" s="75"/>
      <c r="T12" s="75">
        <f t="shared" si="4"/>
        <v>1.7465486929705738E-2</v>
      </c>
      <c r="U12" s="75"/>
      <c r="V12" s="75">
        <f>C12*$Q12</f>
        <v>1.1643657953137158E-3</v>
      </c>
      <c r="W12" s="75"/>
      <c r="Y12" s="44" t="s">
        <v>100</v>
      </c>
      <c r="Z12" s="56"/>
    </row>
    <row r="13" spans="1:26" x14ac:dyDescent="0.25">
      <c r="A13" s="91" t="s">
        <v>43</v>
      </c>
      <c r="B13" s="92">
        <v>0.43</v>
      </c>
      <c r="C13" s="92">
        <v>3.5999999999999997E-2</v>
      </c>
      <c r="D13" s="93">
        <v>143499</v>
      </c>
      <c r="E13" s="93">
        <v>1594</v>
      </c>
      <c r="F13" s="93"/>
      <c r="G13" s="93"/>
      <c r="H13" s="79">
        <f t="shared" si="0"/>
        <v>2.2166944470549281E-2</v>
      </c>
      <c r="I13" s="78">
        <f t="shared" si="1"/>
        <v>736.51889697847037</v>
      </c>
      <c r="J13" s="93"/>
      <c r="K13" s="93"/>
      <c r="L13" s="91" t="s">
        <v>119</v>
      </c>
      <c r="M13" s="91" t="s">
        <v>124</v>
      </c>
      <c r="N13" s="91" t="s">
        <v>104</v>
      </c>
      <c r="O13" s="91" t="s">
        <v>168</v>
      </c>
      <c r="P13" s="91"/>
      <c r="Q13" s="94"/>
      <c r="R13" s="91"/>
      <c r="S13" s="75"/>
      <c r="T13" s="75"/>
      <c r="U13" s="75"/>
      <c r="V13" s="75"/>
      <c r="W13" s="75"/>
      <c r="Y13" s="46" t="s">
        <v>103</v>
      </c>
      <c r="Z13" s="47">
        <f>SUM(H3:H4)</f>
        <v>0.4546865849492342</v>
      </c>
    </row>
    <row r="14" spans="1:26" x14ac:dyDescent="0.25">
      <c r="A14" s="75" t="s">
        <v>373</v>
      </c>
      <c r="B14" s="77">
        <v>0.59</v>
      </c>
      <c r="C14" s="77">
        <v>3.7999999999999999E-2</v>
      </c>
      <c r="D14" s="95">
        <v>95650</v>
      </c>
      <c r="E14" s="75">
        <v>550</v>
      </c>
      <c r="F14" s="75">
        <v>118</v>
      </c>
      <c r="G14" s="75"/>
      <c r="H14" s="79">
        <f t="shared" si="0"/>
        <v>7.6485692966136165E-3</v>
      </c>
      <c r="I14" s="78">
        <f t="shared" si="1"/>
        <v>254.13136344928401</v>
      </c>
      <c r="J14" s="75"/>
      <c r="K14" s="75"/>
      <c r="L14" s="75" t="s">
        <v>120</v>
      </c>
      <c r="M14" s="75" t="s">
        <v>124</v>
      </c>
      <c r="N14" s="75"/>
      <c r="O14" s="75"/>
      <c r="P14" s="75"/>
      <c r="Q14" s="85"/>
      <c r="R14" s="75"/>
      <c r="S14" s="75"/>
      <c r="T14" s="75"/>
      <c r="U14" s="75"/>
      <c r="V14" s="75"/>
      <c r="W14" s="75"/>
      <c r="Y14" s="46" t="s">
        <v>164</v>
      </c>
      <c r="Z14" s="47">
        <f>SUM(H6:H8)</f>
        <v>0.33782086104543213</v>
      </c>
    </row>
    <row r="15" spans="1:26" x14ac:dyDescent="0.25">
      <c r="A15" s="75" t="s">
        <v>374</v>
      </c>
      <c r="B15" s="75"/>
      <c r="C15" s="75"/>
      <c r="D15" s="75"/>
      <c r="E15" s="75">
        <v>534</v>
      </c>
      <c r="F15" s="75">
        <v>1024</v>
      </c>
      <c r="G15" s="75"/>
      <c r="H15" s="79">
        <f t="shared" si="0"/>
        <v>7.4260654625303108E-3</v>
      </c>
      <c r="I15" s="78">
        <f t="shared" si="1"/>
        <v>246.7384510580321</v>
      </c>
      <c r="J15" s="75"/>
      <c r="K15" s="75"/>
      <c r="L15" s="75" t="s">
        <v>103</v>
      </c>
      <c r="M15" s="75" t="s">
        <v>124</v>
      </c>
      <c r="N15" s="75"/>
      <c r="O15" s="75"/>
      <c r="P15" s="75"/>
      <c r="Q15" s="85"/>
      <c r="R15" s="75"/>
      <c r="S15" s="75"/>
      <c r="T15" s="75"/>
      <c r="U15" s="75"/>
      <c r="V15" s="75"/>
      <c r="W15" s="75"/>
      <c r="Y15" s="46" t="s">
        <v>120</v>
      </c>
      <c r="Z15" s="54"/>
    </row>
    <row r="16" spans="1:26" x14ac:dyDescent="0.25">
      <c r="A16" s="75" t="s">
        <v>375</v>
      </c>
      <c r="B16" s="75"/>
      <c r="C16" s="75"/>
      <c r="D16" s="75"/>
      <c r="E16" s="75">
        <v>393</v>
      </c>
      <c r="F16" s="75">
        <v>407</v>
      </c>
      <c r="G16" s="75"/>
      <c r="H16" s="79">
        <f t="shared" si="0"/>
        <v>5.4652504246711841E-3</v>
      </c>
      <c r="I16" s="78">
        <f t="shared" si="1"/>
        <v>181.58841061012475</v>
      </c>
      <c r="J16" s="75"/>
      <c r="K16" s="75"/>
      <c r="L16" s="75" t="s">
        <v>371</v>
      </c>
      <c r="M16" s="75" t="s">
        <v>124</v>
      </c>
      <c r="N16" s="75"/>
      <c r="O16" s="75"/>
      <c r="P16" s="75"/>
      <c r="Q16" s="85"/>
      <c r="R16" s="75"/>
      <c r="S16" s="75"/>
      <c r="T16" s="75"/>
      <c r="U16" s="75"/>
      <c r="V16" s="75"/>
      <c r="W16" s="75"/>
      <c r="Y16" s="46" t="s">
        <v>362</v>
      </c>
      <c r="Z16" s="54"/>
    </row>
    <row r="17" spans="1:26" x14ac:dyDescent="0.25">
      <c r="A17" s="75" t="s">
        <v>376</v>
      </c>
      <c r="B17" s="75"/>
      <c r="C17" s="75"/>
      <c r="D17" s="75"/>
      <c r="E17" s="75">
        <v>231</v>
      </c>
      <c r="F17" s="75">
        <v>0</v>
      </c>
      <c r="G17" s="75"/>
      <c r="H17" s="79">
        <f t="shared" si="0"/>
        <v>3.2123991045777183E-3</v>
      </c>
      <c r="I17" s="78">
        <f t="shared" si="1"/>
        <v>106.73517264869928</v>
      </c>
      <c r="J17" s="75"/>
      <c r="K17" s="75"/>
      <c r="L17" s="75" t="s">
        <v>107</v>
      </c>
      <c r="M17" s="75" t="s">
        <v>124</v>
      </c>
      <c r="N17" s="75"/>
      <c r="O17" s="75"/>
      <c r="P17" s="75"/>
      <c r="Q17" s="85"/>
      <c r="R17" s="75"/>
      <c r="S17" s="75"/>
      <c r="T17" s="75"/>
      <c r="U17" s="75"/>
      <c r="V17" s="75"/>
      <c r="W17" s="75"/>
      <c r="Y17" s="46" t="s">
        <v>363</v>
      </c>
      <c r="Z17" s="47">
        <f>SUM(H9,H15,H18,H5)</f>
        <v>8.1561561681161562E-2</v>
      </c>
    </row>
    <row r="18" spans="1:26" x14ac:dyDescent="0.25">
      <c r="A18" s="75" t="s">
        <v>377</v>
      </c>
      <c r="B18" s="75"/>
      <c r="C18" s="75"/>
      <c r="D18" s="75"/>
      <c r="E18" s="75">
        <v>171</v>
      </c>
      <c r="F18" s="75">
        <v>0</v>
      </c>
      <c r="G18" s="75"/>
      <c r="H18" s="79">
        <f t="shared" si="0"/>
        <v>2.3780097267653241E-3</v>
      </c>
      <c r="I18" s="78">
        <f t="shared" si="1"/>
        <v>79.011751181504664</v>
      </c>
      <c r="J18" s="75"/>
      <c r="K18" s="75"/>
      <c r="L18" s="75" t="s">
        <v>103</v>
      </c>
      <c r="M18" s="75" t="s">
        <v>124</v>
      </c>
      <c r="N18" s="75"/>
      <c r="O18" s="75"/>
      <c r="P18" s="75"/>
      <c r="Q18" s="85"/>
      <c r="R18" s="75"/>
      <c r="S18" s="75"/>
      <c r="T18" s="75"/>
      <c r="U18" s="75"/>
      <c r="V18" s="75"/>
      <c r="W18" s="75"/>
      <c r="Y18" s="46" t="s">
        <v>364</v>
      </c>
      <c r="Z18" s="47">
        <f>SUM(H14,H16,H19)</f>
        <v>1.4059461016138848E-2</v>
      </c>
    </row>
    <row r="19" spans="1:26" x14ac:dyDescent="0.25">
      <c r="A19" s="75" t="s">
        <v>378</v>
      </c>
      <c r="B19" s="75"/>
      <c r="C19" s="75"/>
      <c r="D19" s="75"/>
      <c r="E19" s="75">
        <v>68</v>
      </c>
      <c r="F19" s="75">
        <v>0</v>
      </c>
      <c r="G19" s="75"/>
      <c r="H19" s="79">
        <f t="shared" si="0"/>
        <v>9.4564129485404699E-4</v>
      </c>
      <c r="I19" s="78">
        <f t="shared" si="1"/>
        <v>31.419877662820564</v>
      </c>
      <c r="J19" s="75"/>
      <c r="K19" s="75"/>
      <c r="L19" s="75" t="s">
        <v>120</v>
      </c>
      <c r="M19" s="75" t="s">
        <v>124</v>
      </c>
      <c r="N19" s="75"/>
      <c r="O19" s="75"/>
      <c r="P19" s="75"/>
      <c r="Q19" s="85"/>
      <c r="R19" s="75"/>
      <c r="S19" s="75"/>
      <c r="T19" s="75"/>
      <c r="U19" s="75"/>
      <c r="V19" s="75"/>
      <c r="W19" s="75"/>
      <c r="Y19" s="46" t="s">
        <v>365</v>
      </c>
      <c r="Z19" s="47">
        <f>H13</f>
        <v>2.2166944470549281E-2</v>
      </c>
    </row>
    <row r="20" spans="1:26" x14ac:dyDescent="0.25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85"/>
      <c r="R20" s="75"/>
      <c r="S20" s="75"/>
      <c r="T20" s="75"/>
      <c r="U20" s="75"/>
      <c r="V20" s="75"/>
      <c r="W20" s="75"/>
      <c r="Y20" s="46" t="s">
        <v>150</v>
      </c>
      <c r="Z20" s="54"/>
    </row>
    <row r="21" spans="1:26" x14ac:dyDescent="0.25">
      <c r="Y21" s="46" t="s">
        <v>106</v>
      </c>
      <c r="Z21" s="54"/>
    </row>
    <row r="22" spans="1:26" x14ac:dyDescent="0.25">
      <c r="Y22" s="46" t="s">
        <v>107</v>
      </c>
    </row>
    <row r="23" spans="1:26" x14ac:dyDescent="0.25">
      <c r="Y23" s="46" t="s">
        <v>108</v>
      </c>
      <c r="Z23" s="54"/>
    </row>
    <row r="24" spans="1:26" x14ac:dyDescent="0.25">
      <c r="Y24" s="46" t="s">
        <v>367</v>
      </c>
      <c r="Z24" s="54"/>
    </row>
    <row r="25" spans="1:26" x14ac:dyDescent="0.25">
      <c r="Y25" s="46" t="s">
        <v>368</v>
      </c>
      <c r="Z25" s="54"/>
    </row>
    <row r="26" spans="1:26" x14ac:dyDescent="0.25">
      <c r="Y26" s="46" t="s">
        <v>369</v>
      </c>
      <c r="Z26" s="47">
        <f>SUM(H10:H12,H17)</f>
        <v>0.14402951310004949</v>
      </c>
    </row>
    <row r="27" spans="1:26" ht="15.75" thickBot="1" x14ac:dyDescent="0.3">
      <c r="Y27" s="48" t="s">
        <v>370</v>
      </c>
      <c r="Z27" s="5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9"/>
  <sheetViews>
    <sheetView workbookViewId="0">
      <selection activeCell="H9" sqref="H9"/>
    </sheetView>
  </sheetViews>
  <sheetFormatPr defaultRowHeight="15" x14ac:dyDescent="0.25"/>
  <cols>
    <col min="1" max="1" width="11.42578125" customWidth="1"/>
    <col min="2" max="2" width="21.5703125" bestFit="1" customWidth="1"/>
    <col min="6" max="6" width="14.85546875" bestFit="1" customWidth="1"/>
    <col min="7" max="7" width="5.140625" customWidth="1"/>
    <col min="8" max="8" width="16.5703125" bestFit="1" customWidth="1"/>
  </cols>
  <sheetData>
    <row r="1" spans="1:9" x14ac:dyDescent="0.25">
      <c r="A1" s="118" t="s">
        <v>316</v>
      </c>
      <c r="B1" s="118" t="s">
        <v>102</v>
      </c>
      <c r="C1" s="118" t="s">
        <v>240</v>
      </c>
      <c r="D1" s="118" t="s">
        <v>338</v>
      </c>
      <c r="E1" s="118" t="s">
        <v>241</v>
      </c>
      <c r="F1" s="118" t="s">
        <v>182</v>
      </c>
      <c r="H1" s="17" t="s">
        <v>337</v>
      </c>
      <c r="I1" s="17">
        <v>72935</v>
      </c>
    </row>
    <row r="2" spans="1:9" x14ac:dyDescent="0.25">
      <c r="A2" s="50" t="s">
        <v>260</v>
      </c>
      <c r="B2" s="50" t="s">
        <v>317</v>
      </c>
      <c r="C2" s="50">
        <v>24739</v>
      </c>
      <c r="D2" s="50">
        <f t="shared" ref="D2:D19" si="0">C2/72935</f>
        <v>0.33919243161719337</v>
      </c>
      <c r="E2" s="50">
        <v>15393</v>
      </c>
      <c r="F2" s="50"/>
      <c r="G2" s="17"/>
      <c r="H2" s="17"/>
    </row>
    <row r="3" spans="1:9" x14ac:dyDescent="0.25">
      <c r="A3" s="50" t="s">
        <v>245</v>
      </c>
      <c r="B3" s="50" t="s">
        <v>320</v>
      </c>
      <c r="C3" s="50">
        <v>15938</v>
      </c>
      <c r="D3" s="50">
        <f t="shared" si="0"/>
        <v>0.21852334270240625</v>
      </c>
      <c r="E3" s="50">
        <v>9750</v>
      </c>
      <c r="F3" s="50"/>
      <c r="G3" s="17"/>
      <c r="H3" s="17"/>
    </row>
    <row r="4" spans="1:9" x14ac:dyDescent="0.25">
      <c r="A4" s="50" t="s">
        <v>245</v>
      </c>
      <c r="B4" s="50" t="s">
        <v>319</v>
      </c>
      <c r="C4" s="50">
        <v>7957</v>
      </c>
      <c r="D4" s="50">
        <f t="shared" si="0"/>
        <v>0.10909714129018989</v>
      </c>
      <c r="E4" s="50">
        <v>7591</v>
      </c>
      <c r="F4" s="50"/>
      <c r="G4" s="17"/>
      <c r="H4" s="17"/>
    </row>
    <row r="5" spans="1:9" x14ac:dyDescent="0.25">
      <c r="A5" s="50" t="s">
        <v>293</v>
      </c>
      <c r="B5" s="50" t="s">
        <v>322</v>
      </c>
      <c r="C5" s="50">
        <v>5995</v>
      </c>
      <c r="D5" s="50">
        <f t="shared" si="0"/>
        <v>8.2196476314526631E-2</v>
      </c>
      <c r="E5" s="50">
        <v>892</v>
      </c>
      <c r="F5" s="50"/>
      <c r="G5" s="17"/>
      <c r="H5" s="17"/>
    </row>
    <row r="6" spans="1:9" x14ac:dyDescent="0.25">
      <c r="A6" s="50" t="s">
        <v>291</v>
      </c>
      <c r="B6" s="50" t="s">
        <v>321</v>
      </c>
      <c r="C6" s="50">
        <v>4280</v>
      </c>
      <c r="D6" s="50">
        <f t="shared" si="0"/>
        <v>5.8682388428052373E-2</v>
      </c>
      <c r="E6" s="50">
        <v>49</v>
      </c>
      <c r="F6" s="50"/>
      <c r="G6" s="17"/>
      <c r="H6" s="17"/>
    </row>
    <row r="7" spans="1:9" x14ac:dyDescent="0.25">
      <c r="A7" s="50" t="s">
        <v>251</v>
      </c>
      <c r="B7" s="50" t="s">
        <v>323</v>
      </c>
      <c r="C7" s="50">
        <v>3000</v>
      </c>
      <c r="D7" s="50">
        <f t="shared" si="0"/>
        <v>4.1132515253307737E-2</v>
      </c>
      <c r="E7" s="50">
        <v>150</v>
      </c>
      <c r="F7" s="50"/>
      <c r="G7" s="17"/>
      <c r="H7" s="17"/>
    </row>
    <row r="8" spans="1:9" x14ac:dyDescent="0.25">
      <c r="A8" s="50" t="s">
        <v>242</v>
      </c>
      <c r="B8" s="50" t="s">
        <v>318</v>
      </c>
      <c r="C8" s="50">
        <v>2474</v>
      </c>
      <c r="D8" s="50">
        <f t="shared" si="0"/>
        <v>3.3920614245561115E-2</v>
      </c>
      <c r="E8" s="50">
        <v>4191</v>
      </c>
      <c r="F8" s="50"/>
      <c r="G8" s="17"/>
      <c r="H8" s="17"/>
    </row>
    <row r="9" spans="1:9" x14ac:dyDescent="0.25">
      <c r="A9" s="50" t="s">
        <v>311</v>
      </c>
      <c r="B9" s="50" t="s">
        <v>328</v>
      </c>
      <c r="C9" s="50">
        <v>2111</v>
      </c>
      <c r="D9" s="50">
        <f t="shared" si="0"/>
        <v>2.8943579899910879E-2</v>
      </c>
      <c r="E9" s="50">
        <v>1163</v>
      </c>
      <c r="F9" s="50"/>
      <c r="G9" s="17"/>
      <c r="H9" s="17"/>
    </row>
    <row r="10" spans="1:9" x14ac:dyDescent="0.25">
      <c r="A10" s="50" t="s">
        <v>325</v>
      </c>
      <c r="B10" s="50" t="s">
        <v>326</v>
      </c>
      <c r="C10" s="50">
        <v>2020</v>
      </c>
      <c r="D10" s="50">
        <f t="shared" si="0"/>
        <v>2.7695893603893879E-2</v>
      </c>
      <c r="E10" s="50">
        <v>86</v>
      </c>
      <c r="F10" s="50"/>
      <c r="G10" s="17"/>
      <c r="H10" s="17"/>
    </row>
    <row r="11" spans="1:9" x14ac:dyDescent="0.25">
      <c r="A11" s="50" t="s">
        <v>293</v>
      </c>
      <c r="B11" s="50" t="s">
        <v>329</v>
      </c>
      <c r="C11" s="50">
        <v>1594</v>
      </c>
      <c r="D11" s="50">
        <f t="shared" si="0"/>
        <v>2.1855076437924181E-2</v>
      </c>
      <c r="E11" s="50">
        <v>2265</v>
      </c>
      <c r="F11" s="50"/>
      <c r="G11" s="17"/>
      <c r="H11" s="17"/>
    </row>
    <row r="12" spans="1:9" x14ac:dyDescent="0.25">
      <c r="A12" s="50" t="s">
        <v>293</v>
      </c>
      <c r="B12" s="50" t="s">
        <v>324</v>
      </c>
      <c r="C12" s="50">
        <v>880</v>
      </c>
      <c r="D12" s="50">
        <f t="shared" si="0"/>
        <v>1.2065537807636938E-2</v>
      </c>
      <c r="E12" s="50">
        <v>0</v>
      </c>
      <c r="F12" s="50"/>
      <c r="G12" s="17"/>
      <c r="H12" s="17"/>
    </row>
    <row r="13" spans="1:9" x14ac:dyDescent="0.25">
      <c r="A13" s="50" t="s">
        <v>306</v>
      </c>
      <c r="B13" s="50" t="s">
        <v>331</v>
      </c>
      <c r="C13" s="50">
        <v>550</v>
      </c>
      <c r="D13" s="50">
        <f t="shared" si="0"/>
        <v>7.540961129773086E-3</v>
      </c>
      <c r="E13" s="50">
        <v>118</v>
      </c>
      <c r="F13" s="50" t="s">
        <v>340</v>
      </c>
      <c r="G13" s="17"/>
      <c r="H13" s="17"/>
    </row>
    <row r="14" spans="1:9" x14ac:dyDescent="0.25">
      <c r="A14" s="50" t="s">
        <v>333</v>
      </c>
      <c r="B14" s="50" t="s">
        <v>334</v>
      </c>
      <c r="C14" s="50">
        <v>534</v>
      </c>
      <c r="D14" s="50">
        <f t="shared" si="0"/>
        <v>7.3215877150887773E-3</v>
      </c>
      <c r="E14" s="50">
        <v>1024</v>
      </c>
      <c r="F14" s="50" t="s">
        <v>341</v>
      </c>
      <c r="G14" s="17"/>
      <c r="H14" s="17"/>
    </row>
    <row r="15" spans="1:9" x14ac:dyDescent="0.25">
      <c r="A15" s="50" t="s">
        <v>311</v>
      </c>
      <c r="B15" s="50" t="s">
        <v>335</v>
      </c>
      <c r="C15" s="50">
        <v>393</v>
      </c>
      <c r="D15" s="50">
        <f t="shared" si="0"/>
        <v>5.3883594981833137E-3</v>
      </c>
      <c r="E15" s="50">
        <v>407</v>
      </c>
      <c r="F15" s="50" t="s">
        <v>340</v>
      </c>
      <c r="G15" s="17"/>
      <c r="H15" s="17"/>
    </row>
    <row r="16" spans="1:9" x14ac:dyDescent="0.25">
      <c r="A16" s="50" t="s">
        <v>306</v>
      </c>
      <c r="B16" s="50" t="s">
        <v>330</v>
      </c>
      <c r="C16" s="50">
        <v>231</v>
      </c>
      <c r="D16" s="50">
        <f t="shared" si="0"/>
        <v>3.167203674504696E-3</v>
      </c>
      <c r="E16" s="50">
        <v>0</v>
      </c>
      <c r="F16" s="50" t="s">
        <v>339</v>
      </c>
      <c r="G16" s="17"/>
      <c r="H16" s="17"/>
    </row>
    <row r="17" spans="1:8" x14ac:dyDescent="0.25">
      <c r="A17" s="50" t="s">
        <v>306</v>
      </c>
      <c r="B17" s="50" t="s">
        <v>327</v>
      </c>
      <c r="C17" s="50">
        <v>171</v>
      </c>
      <c r="D17" s="50">
        <f t="shared" si="0"/>
        <v>2.344553369438541E-3</v>
      </c>
      <c r="E17" s="50">
        <v>0</v>
      </c>
      <c r="F17" s="50" t="s">
        <v>341</v>
      </c>
      <c r="G17" s="17"/>
      <c r="H17" s="17"/>
    </row>
    <row r="18" spans="1:8" x14ac:dyDescent="0.25">
      <c r="A18" s="50" t="s">
        <v>293</v>
      </c>
      <c r="B18" s="50" t="s">
        <v>332</v>
      </c>
      <c r="C18" s="50">
        <v>68</v>
      </c>
      <c r="D18" s="50">
        <f t="shared" si="0"/>
        <v>9.3233701240830874E-4</v>
      </c>
      <c r="E18" s="50">
        <v>0</v>
      </c>
      <c r="F18" s="50" t="s">
        <v>340</v>
      </c>
      <c r="G18" s="17"/>
      <c r="H18" s="17"/>
    </row>
    <row r="19" spans="1:8" x14ac:dyDescent="0.25">
      <c r="A19" s="50" t="s">
        <v>247</v>
      </c>
      <c r="B19" s="50" t="s">
        <v>336</v>
      </c>
      <c r="C19" s="50">
        <v>0</v>
      </c>
      <c r="D19" s="50">
        <f t="shared" si="0"/>
        <v>0</v>
      </c>
      <c r="E19" s="50">
        <v>64</v>
      </c>
      <c r="F19" s="50"/>
      <c r="G19" s="17"/>
      <c r="H19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47"/>
  <sheetViews>
    <sheetView workbookViewId="0">
      <selection activeCell="P3" sqref="P3"/>
    </sheetView>
  </sheetViews>
  <sheetFormatPr defaultRowHeight="15" x14ac:dyDescent="0.25"/>
  <cols>
    <col min="1" max="1" width="18.85546875" bestFit="1" customWidth="1"/>
    <col min="3" max="3" width="11" bestFit="1" customWidth="1"/>
    <col min="8" max="8" width="13.28515625" bestFit="1" customWidth="1"/>
    <col min="9" max="9" width="12.5703125" customWidth="1"/>
    <col min="10" max="10" width="14.140625" customWidth="1"/>
    <col min="12" max="12" width="12.5703125" bestFit="1" customWidth="1"/>
    <col min="18" max="18" width="14.7109375" bestFit="1" customWidth="1"/>
    <col min="19" max="19" width="10.140625" customWidth="1"/>
    <col min="23" max="23" width="14.5703125" customWidth="1"/>
    <col min="24" max="24" width="10.85546875" customWidth="1"/>
  </cols>
  <sheetData>
    <row r="1" spans="1:24" ht="15.75" thickBot="1" x14ac:dyDescent="0.3"/>
    <row r="2" spans="1:24" x14ac:dyDescent="0.25">
      <c r="A2" s="1" t="s">
        <v>102</v>
      </c>
      <c r="B2" s="1" t="s">
        <v>165</v>
      </c>
      <c r="C2" s="1" t="s">
        <v>166</v>
      </c>
      <c r="D2" s="2" t="s">
        <v>0</v>
      </c>
      <c r="E2" s="9" t="s">
        <v>111</v>
      </c>
      <c r="F2" s="9" t="s">
        <v>112</v>
      </c>
      <c r="G2" s="9" t="s">
        <v>113</v>
      </c>
      <c r="H2" s="9" t="s">
        <v>238</v>
      </c>
      <c r="I2" s="9" t="s">
        <v>235</v>
      </c>
      <c r="J2" s="9"/>
      <c r="K2" s="9" t="s">
        <v>182</v>
      </c>
      <c r="L2" s="10" t="s">
        <v>98</v>
      </c>
      <c r="M2" s="10" t="s">
        <v>124</v>
      </c>
      <c r="N2" s="3" t="s">
        <v>99</v>
      </c>
      <c r="O2" s="3" t="s">
        <v>168</v>
      </c>
      <c r="P2" s="3" t="s">
        <v>232</v>
      </c>
      <c r="Q2" s="23" t="s">
        <v>185</v>
      </c>
      <c r="R2" s="23" t="s">
        <v>186</v>
      </c>
      <c r="S2" s="23" t="s">
        <v>187</v>
      </c>
      <c r="T2" s="23" t="s">
        <v>208</v>
      </c>
      <c r="U2" s="23" t="s">
        <v>187</v>
      </c>
      <c r="W2" s="52" t="s">
        <v>100</v>
      </c>
      <c r="X2" s="45">
        <f>SUM(EV_Additional!D12,H7:H10,H12)</f>
        <v>0.27097836058496572</v>
      </c>
    </row>
    <row r="3" spans="1:24" ht="15.75" thickBot="1" x14ac:dyDescent="0.3">
      <c r="A3" s="103" t="s">
        <v>15</v>
      </c>
      <c r="B3" s="116">
        <v>0.28000000000000003</v>
      </c>
      <c r="C3" s="116"/>
      <c r="D3" s="105">
        <v>42400</v>
      </c>
      <c r="E3" s="105">
        <v>7625</v>
      </c>
      <c r="F3" s="105">
        <v>11024</v>
      </c>
      <c r="G3" s="105">
        <v>5064</v>
      </c>
      <c r="H3" s="117">
        <f>E3/(84246-29156-18028)</f>
        <v>0.20573633371107874</v>
      </c>
      <c r="I3" s="105">
        <v>7500</v>
      </c>
      <c r="J3" s="105">
        <v>2500</v>
      </c>
      <c r="K3" s="105" t="s">
        <v>183</v>
      </c>
      <c r="L3" s="103" t="s">
        <v>103</v>
      </c>
      <c r="M3" s="103" t="s">
        <v>124</v>
      </c>
      <c r="N3" s="103" t="s">
        <v>101</v>
      </c>
      <c r="O3" s="106"/>
      <c r="P3" s="106">
        <f t="shared" ref="P3:P12" si="0">E3/($F$13+$E$14)</f>
        <v>66.304347826086953</v>
      </c>
      <c r="Q3" s="106">
        <f t="shared" ref="Q3:Q12" si="1">E3/SUM($E$3:$E$11)</f>
        <v>0.20984698370761778</v>
      </c>
      <c r="R3" s="88">
        <f>Q3*D3</f>
        <v>8897.5121092029949</v>
      </c>
      <c r="S3" s="104">
        <f>SUM(R3:R11)</f>
        <v>32910.717470277414</v>
      </c>
      <c r="T3" s="88">
        <f>B3*$Q3</f>
        <v>5.8757155438132987E-2</v>
      </c>
      <c r="U3" s="88">
        <f>SUM(T3:T11)</f>
        <v>0.29254320783795684</v>
      </c>
      <c r="W3" s="48" t="s">
        <v>103</v>
      </c>
      <c r="X3" s="49">
        <f>SUM(H3:H6,H11)</f>
        <v>0.72902163941503439</v>
      </c>
    </row>
    <row r="4" spans="1:24" x14ac:dyDescent="0.25">
      <c r="A4" s="103" t="s">
        <v>2</v>
      </c>
      <c r="B4" s="116">
        <v>0.3</v>
      </c>
      <c r="C4" s="116"/>
      <c r="D4" s="105">
        <v>30680</v>
      </c>
      <c r="E4" s="105">
        <v>14006</v>
      </c>
      <c r="F4" s="105">
        <v>17269</v>
      </c>
      <c r="G4" s="105"/>
      <c r="H4" s="117">
        <f t="shared" ref="H4:H12" si="2">E4/(84246-29156-18028)</f>
        <v>0.3779072904862123</v>
      </c>
      <c r="I4" s="105">
        <v>7500</v>
      </c>
      <c r="J4" s="105">
        <v>2500</v>
      </c>
      <c r="K4" s="105" t="s">
        <v>183</v>
      </c>
      <c r="L4" s="103" t="s">
        <v>103</v>
      </c>
      <c r="M4" s="103"/>
      <c r="N4" s="103" t="s">
        <v>101</v>
      </c>
      <c r="O4" s="106"/>
      <c r="P4" s="106">
        <f t="shared" si="0"/>
        <v>121.79130434782608</v>
      </c>
      <c r="Q4" s="106">
        <f t="shared" si="1"/>
        <v>0.38545794804051081</v>
      </c>
      <c r="R4" s="88">
        <f t="shared" ref="R4:R12" si="3">Q4*D4</f>
        <v>11825.849845882871</v>
      </c>
      <c r="S4" s="88"/>
      <c r="T4" s="88">
        <f t="shared" ref="T4:T12" si="4">B4*$Q4</f>
        <v>0.11563738441215324</v>
      </c>
      <c r="U4" s="88"/>
    </row>
    <row r="5" spans="1:24" x14ac:dyDescent="0.25">
      <c r="A5" s="103" t="s">
        <v>27</v>
      </c>
      <c r="B5" s="116">
        <v>0.28000000000000003</v>
      </c>
      <c r="C5" s="116"/>
      <c r="D5" s="105">
        <v>30495</v>
      </c>
      <c r="E5" s="105">
        <v>3937</v>
      </c>
      <c r="F5" s="105">
        <v>4232</v>
      </c>
      <c r="G5" s="105"/>
      <c r="H5" s="117">
        <f t="shared" si="2"/>
        <v>0.1062274027305596</v>
      </c>
      <c r="I5" s="105">
        <v>7500</v>
      </c>
      <c r="J5" s="105">
        <v>2500</v>
      </c>
      <c r="K5" s="105" t="s">
        <v>183</v>
      </c>
      <c r="L5" s="103" t="s">
        <v>103</v>
      </c>
      <c r="M5" s="103"/>
      <c r="N5" s="103" t="s">
        <v>101</v>
      </c>
      <c r="O5" s="106"/>
      <c r="P5" s="106">
        <f t="shared" si="0"/>
        <v>34.234782608695653</v>
      </c>
      <c r="Q5" s="106">
        <f t="shared" si="1"/>
        <v>0.10834984588287098</v>
      </c>
      <c r="R5" s="88">
        <f t="shared" si="3"/>
        <v>3304.1285501981506</v>
      </c>
      <c r="S5" s="88"/>
      <c r="T5" s="88">
        <f t="shared" si="4"/>
        <v>3.0337956847203879E-2</v>
      </c>
      <c r="U5" s="88"/>
    </row>
    <row r="6" spans="1:24" x14ac:dyDescent="0.25">
      <c r="A6" s="103" t="s">
        <v>44</v>
      </c>
      <c r="B6" s="116">
        <v>0.31</v>
      </c>
      <c r="C6" s="116"/>
      <c r="D6" s="105">
        <v>29120</v>
      </c>
      <c r="E6" s="105">
        <v>872</v>
      </c>
      <c r="F6" s="105"/>
      <c r="G6" s="105"/>
      <c r="H6" s="117">
        <f t="shared" si="2"/>
        <v>2.3528142032270251E-2</v>
      </c>
      <c r="I6" s="105">
        <v>7500</v>
      </c>
      <c r="J6" s="105">
        <v>2500</v>
      </c>
      <c r="K6" s="105" t="s">
        <v>183</v>
      </c>
      <c r="L6" s="103" t="s">
        <v>103</v>
      </c>
      <c r="M6" s="103"/>
      <c r="N6" s="103" t="s">
        <v>101</v>
      </c>
      <c r="O6" s="106"/>
      <c r="P6" s="106">
        <f t="shared" si="0"/>
        <v>7.5826086956521737</v>
      </c>
      <c r="Q6" s="106">
        <f t="shared" si="1"/>
        <v>2.3998238661382652E-2</v>
      </c>
      <c r="R6" s="88">
        <f t="shared" si="3"/>
        <v>698.8287098194628</v>
      </c>
      <c r="S6" s="88"/>
      <c r="T6" s="88">
        <f t="shared" si="4"/>
        <v>7.4394539850286216E-3</v>
      </c>
      <c r="U6" s="88"/>
    </row>
    <row r="7" spans="1:24" x14ac:dyDescent="0.25">
      <c r="A7" s="103" t="s">
        <v>1</v>
      </c>
      <c r="B7" s="116">
        <v>0.3</v>
      </c>
      <c r="C7" s="116"/>
      <c r="D7" s="105">
        <v>32995</v>
      </c>
      <c r="E7" s="105">
        <v>3897</v>
      </c>
      <c r="F7" s="105"/>
      <c r="G7" s="105"/>
      <c r="H7" s="117">
        <f t="shared" si="2"/>
        <v>0.10514813016027198</v>
      </c>
      <c r="I7" s="105">
        <v>7500</v>
      </c>
      <c r="J7" s="105">
        <v>2500</v>
      </c>
      <c r="K7" s="105" t="s">
        <v>183</v>
      </c>
      <c r="L7" s="103" t="s">
        <v>100</v>
      </c>
      <c r="M7" s="103"/>
      <c r="N7" s="103" t="s">
        <v>101</v>
      </c>
      <c r="O7" s="106"/>
      <c r="P7" s="106">
        <f t="shared" si="0"/>
        <v>33.88695652173913</v>
      </c>
      <c r="Q7" s="106">
        <f t="shared" si="1"/>
        <v>0.10724900924702774</v>
      </c>
      <c r="R7" s="88">
        <f t="shared" si="3"/>
        <v>3538.68106010568</v>
      </c>
      <c r="S7" s="88"/>
      <c r="T7" s="88">
        <f t="shared" si="4"/>
        <v>3.2174702774108319E-2</v>
      </c>
      <c r="U7" s="88"/>
    </row>
    <row r="8" spans="1:24" x14ac:dyDescent="0.25">
      <c r="A8" s="103" t="s">
        <v>14</v>
      </c>
      <c r="B8" s="116">
        <v>0.28000000000000003</v>
      </c>
      <c r="C8" s="116"/>
      <c r="D8" s="105">
        <v>25120</v>
      </c>
      <c r="E8" s="105">
        <v>3035</v>
      </c>
      <c r="F8" s="105"/>
      <c r="G8" s="105"/>
      <c r="H8" s="117">
        <f t="shared" si="2"/>
        <v>8.1889806270573628E-2</v>
      </c>
      <c r="I8" s="105">
        <v>7500</v>
      </c>
      <c r="J8" s="105">
        <v>2500</v>
      </c>
      <c r="K8" s="105" t="s">
        <v>183</v>
      </c>
      <c r="L8" s="103" t="s">
        <v>100</v>
      </c>
      <c r="M8" s="103"/>
      <c r="N8" s="103" t="s">
        <v>101</v>
      </c>
      <c r="O8" s="106"/>
      <c r="P8" s="106">
        <f t="shared" si="0"/>
        <v>26.391304347826086</v>
      </c>
      <c r="Q8" s="106">
        <f t="shared" si="1"/>
        <v>8.3525979744605905E-2</v>
      </c>
      <c r="R8" s="88">
        <f t="shared" si="3"/>
        <v>2098.1726111845005</v>
      </c>
      <c r="S8" s="88"/>
      <c r="T8" s="88">
        <f t="shared" si="4"/>
        <v>2.3387274328489655E-2</v>
      </c>
      <c r="U8" s="88"/>
    </row>
    <row r="9" spans="1:24" x14ac:dyDescent="0.25">
      <c r="A9" s="103" t="s">
        <v>26</v>
      </c>
      <c r="B9" s="116">
        <v>0.31</v>
      </c>
      <c r="C9" s="116"/>
      <c r="D9" s="99">
        <v>23800</v>
      </c>
      <c r="E9" s="105">
        <v>657</v>
      </c>
      <c r="F9" s="105"/>
      <c r="G9" s="105"/>
      <c r="H9" s="117">
        <f t="shared" si="2"/>
        <v>1.7727051966974258E-2</v>
      </c>
      <c r="I9" s="105">
        <v>7500</v>
      </c>
      <c r="J9" s="105">
        <v>2500</v>
      </c>
      <c r="K9" s="105" t="s">
        <v>183</v>
      </c>
      <c r="L9" s="103" t="s">
        <v>100</v>
      </c>
      <c r="M9" s="103"/>
      <c r="N9" s="103" t="s">
        <v>101</v>
      </c>
      <c r="O9" s="106"/>
      <c r="P9" s="106">
        <f t="shared" si="0"/>
        <v>5.7130434782608699</v>
      </c>
      <c r="Q9" s="106">
        <f t="shared" si="1"/>
        <v>1.8081241743725232E-2</v>
      </c>
      <c r="R9" s="88">
        <f>Q9*D9</f>
        <v>430.33355350066051</v>
      </c>
      <c r="S9" s="88"/>
      <c r="T9" s="88">
        <f t="shared" si="4"/>
        <v>5.6051849405548216E-3</v>
      </c>
      <c r="U9" s="88"/>
    </row>
    <row r="10" spans="1:24" x14ac:dyDescent="0.25">
      <c r="A10" s="103" t="s">
        <v>35</v>
      </c>
      <c r="B10" s="116">
        <v>0.31</v>
      </c>
      <c r="C10" s="116"/>
      <c r="D10" s="105">
        <v>32250</v>
      </c>
      <c r="E10" s="105">
        <v>1728</v>
      </c>
      <c r="F10" s="105"/>
      <c r="G10" s="105"/>
      <c r="H10" s="117">
        <f t="shared" si="2"/>
        <v>4.6624575036425447E-2</v>
      </c>
      <c r="I10" s="105">
        <v>7500</v>
      </c>
      <c r="J10" s="105">
        <v>2500</v>
      </c>
      <c r="K10" s="105" t="s">
        <v>183</v>
      </c>
      <c r="L10" s="103" t="s">
        <v>100</v>
      </c>
      <c r="M10" s="103"/>
      <c r="N10" s="103" t="s">
        <v>101</v>
      </c>
      <c r="O10" s="106"/>
      <c r="P10" s="106">
        <f t="shared" si="0"/>
        <v>15.026086956521739</v>
      </c>
      <c r="Q10" s="106">
        <f t="shared" si="1"/>
        <v>4.7556142668428003E-2</v>
      </c>
      <c r="R10" s="88">
        <f t="shared" si="3"/>
        <v>1533.6856010568031</v>
      </c>
      <c r="S10" s="88"/>
      <c r="T10" s="88">
        <f t="shared" si="4"/>
        <v>1.4742404227212682E-2</v>
      </c>
      <c r="U10" s="88"/>
    </row>
    <row r="11" spans="1:24" x14ac:dyDescent="0.25">
      <c r="A11" s="103" t="s">
        <v>169</v>
      </c>
      <c r="B11" s="116">
        <v>0.28000000000000003</v>
      </c>
      <c r="C11" s="116"/>
      <c r="D11" s="105">
        <v>36620</v>
      </c>
      <c r="E11" s="105">
        <v>579</v>
      </c>
      <c r="F11" s="105"/>
      <c r="G11" s="105"/>
      <c r="H11" s="117">
        <f t="shared" si="2"/>
        <v>1.5622470454913388E-2</v>
      </c>
      <c r="I11" s="105">
        <v>7500</v>
      </c>
      <c r="J11" s="105">
        <v>2500</v>
      </c>
      <c r="K11" s="105" t="s">
        <v>183</v>
      </c>
      <c r="L11" s="103" t="s">
        <v>103</v>
      </c>
      <c r="M11" s="103"/>
      <c r="N11" s="103" t="s">
        <v>101</v>
      </c>
      <c r="O11" s="106"/>
      <c r="P11" s="106">
        <f t="shared" si="0"/>
        <v>5.034782608695652</v>
      </c>
      <c r="Q11" s="106">
        <f t="shared" si="1"/>
        <v>1.593461030383091E-2</v>
      </c>
      <c r="R11" s="88">
        <f t="shared" si="3"/>
        <v>583.52542932628796</v>
      </c>
      <c r="S11" s="88"/>
      <c r="T11" s="88">
        <f t="shared" si="4"/>
        <v>4.4616908850726548E-3</v>
      </c>
      <c r="U11" s="88"/>
    </row>
    <row r="12" spans="1:24" x14ac:dyDescent="0.25">
      <c r="A12" s="103" t="s">
        <v>211</v>
      </c>
      <c r="B12" s="116">
        <v>0.4</v>
      </c>
      <c r="C12" s="99"/>
      <c r="D12" s="96">
        <v>39900</v>
      </c>
      <c r="E12" s="105">
        <v>632</v>
      </c>
      <c r="F12" s="99"/>
      <c r="G12" s="99"/>
      <c r="H12" s="117">
        <f t="shared" si="2"/>
        <v>1.7052506610544492E-2</v>
      </c>
      <c r="I12" s="105">
        <v>7500</v>
      </c>
      <c r="J12" s="105">
        <v>2500</v>
      </c>
      <c r="K12" s="105" t="s">
        <v>183</v>
      </c>
      <c r="L12" s="103" t="s">
        <v>100</v>
      </c>
      <c r="M12" s="99" t="s">
        <v>124</v>
      </c>
      <c r="N12" s="103" t="s">
        <v>101</v>
      </c>
      <c r="O12" s="88"/>
      <c r="P12" s="106">
        <f t="shared" si="0"/>
        <v>5.4956521739130437</v>
      </c>
      <c r="Q12" s="106">
        <f t="shared" si="1"/>
        <v>1.7393218846323204E-2</v>
      </c>
      <c r="R12" s="88">
        <f t="shared" si="3"/>
        <v>693.98943196829589</v>
      </c>
      <c r="S12" s="88"/>
      <c r="T12" s="88">
        <f t="shared" si="4"/>
        <v>6.9572875385292823E-3</v>
      </c>
      <c r="U12" s="88"/>
    </row>
    <row r="13" spans="1:24" x14ac:dyDescent="0.25">
      <c r="A13" s="8" t="s">
        <v>372</v>
      </c>
      <c r="B13" s="8"/>
      <c r="C13" s="8"/>
      <c r="D13" s="8"/>
      <c r="E13" s="8">
        <v>94</v>
      </c>
      <c r="F13" s="8">
        <v>115</v>
      </c>
      <c r="G13" s="8"/>
      <c r="H13" s="8"/>
      <c r="I13" s="8"/>
      <c r="J13" s="8"/>
      <c r="K13" s="8"/>
      <c r="L13" s="8" t="s">
        <v>100</v>
      </c>
      <c r="M13" s="8"/>
      <c r="N13" s="8"/>
      <c r="P13" s="17"/>
      <c r="Q13" s="17"/>
    </row>
    <row r="14" spans="1:24" x14ac:dyDescent="0.25">
      <c r="A14" s="17"/>
      <c r="B14" s="16"/>
      <c r="C14" s="16"/>
      <c r="D14" s="20"/>
      <c r="E14" s="12"/>
      <c r="F14" s="12"/>
      <c r="I14" s="12"/>
      <c r="J14" s="12"/>
      <c r="K14" s="12"/>
      <c r="L14" s="40"/>
      <c r="M14" s="17"/>
      <c r="P14" s="17"/>
      <c r="Q14" s="17"/>
    </row>
    <row r="15" spans="1:24" x14ac:dyDescent="0.25">
      <c r="A15" s="17"/>
      <c r="B15" s="16"/>
      <c r="C15" s="16"/>
      <c r="D15" s="12"/>
      <c r="E15" s="12"/>
      <c r="F15" s="12"/>
      <c r="I15" s="12"/>
      <c r="J15" s="12"/>
      <c r="K15" s="12"/>
      <c r="L15" s="17"/>
      <c r="M15" s="17"/>
      <c r="Q15" s="17"/>
    </row>
    <row r="16" spans="1:24" x14ac:dyDescent="0.25">
      <c r="Q16" s="17"/>
    </row>
    <row r="17" spans="17:17" x14ac:dyDescent="0.25">
      <c r="Q17" s="17"/>
    </row>
    <row r="18" spans="17:17" x14ac:dyDescent="0.25">
      <c r="Q18" s="17"/>
    </row>
    <row r="19" spans="17:17" x14ac:dyDescent="0.25">
      <c r="Q19" s="17"/>
    </row>
    <row r="20" spans="17:17" x14ac:dyDescent="0.25">
      <c r="Q20" s="17"/>
    </row>
    <row r="21" spans="17:17" x14ac:dyDescent="0.25">
      <c r="Q21" s="17"/>
    </row>
    <row r="22" spans="17:17" x14ac:dyDescent="0.25">
      <c r="Q22" s="17"/>
    </row>
    <row r="23" spans="17:17" x14ac:dyDescent="0.25">
      <c r="Q23" s="17"/>
    </row>
    <row r="24" spans="17:17" x14ac:dyDescent="0.25">
      <c r="Q24" s="17"/>
    </row>
    <row r="25" spans="17:17" x14ac:dyDescent="0.25">
      <c r="Q25" s="17"/>
    </row>
    <row r="26" spans="17:17" x14ac:dyDescent="0.25">
      <c r="Q26" s="17"/>
    </row>
    <row r="27" spans="17:17" x14ac:dyDescent="0.25">
      <c r="Q27" s="17"/>
    </row>
    <row r="28" spans="17:17" x14ac:dyDescent="0.25">
      <c r="Q28" s="17"/>
    </row>
    <row r="29" spans="17:17" x14ac:dyDescent="0.25">
      <c r="Q29" s="17"/>
    </row>
    <row r="30" spans="17:17" x14ac:dyDescent="0.25">
      <c r="Q30" s="17"/>
    </row>
    <row r="31" spans="17:17" x14ac:dyDescent="0.25">
      <c r="Q31" s="17"/>
    </row>
    <row r="32" spans="17:17" x14ac:dyDescent="0.25">
      <c r="Q32" s="17"/>
    </row>
    <row r="33" spans="17:17" x14ac:dyDescent="0.25">
      <c r="Q33" s="17"/>
    </row>
    <row r="34" spans="17:17" x14ac:dyDescent="0.25">
      <c r="Q34" s="17"/>
    </row>
    <row r="35" spans="17:17" x14ac:dyDescent="0.25">
      <c r="Q35" s="17"/>
    </row>
    <row r="36" spans="17:17" x14ac:dyDescent="0.25">
      <c r="Q36" s="17"/>
    </row>
    <row r="37" spans="17:17" x14ac:dyDescent="0.25">
      <c r="Q37" s="17"/>
    </row>
    <row r="38" spans="17:17" x14ac:dyDescent="0.25">
      <c r="Q38" s="17"/>
    </row>
    <row r="39" spans="17:17" x14ac:dyDescent="0.25">
      <c r="Q39" s="17"/>
    </row>
    <row r="40" spans="17:17" x14ac:dyDescent="0.25">
      <c r="Q40" s="17"/>
    </row>
    <row r="41" spans="17:17" x14ac:dyDescent="0.25">
      <c r="Q41" s="17"/>
    </row>
    <row r="42" spans="17:17" x14ac:dyDescent="0.25">
      <c r="Q42" s="17"/>
    </row>
    <row r="43" spans="17:17" x14ac:dyDescent="0.25">
      <c r="Q43" s="17"/>
    </row>
    <row r="44" spans="17:17" x14ac:dyDescent="0.25">
      <c r="Q44" s="17"/>
    </row>
    <row r="45" spans="17:17" x14ac:dyDescent="0.25">
      <c r="Q45" s="17"/>
    </row>
    <row r="46" spans="17:17" x14ac:dyDescent="0.25">
      <c r="Q46" s="17"/>
    </row>
    <row r="47" spans="17:17" x14ac:dyDescent="0.25">
      <c r="Q47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4"/>
  <sheetViews>
    <sheetView workbookViewId="0">
      <selection activeCell="H1" sqref="H1:I1048576"/>
    </sheetView>
  </sheetViews>
  <sheetFormatPr defaultRowHeight="15" x14ac:dyDescent="0.25"/>
  <cols>
    <col min="1" max="1" width="10.28515625" bestFit="1" customWidth="1"/>
    <col min="2" max="2" width="10.42578125" customWidth="1"/>
    <col min="7" max="7" width="6.28515625" customWidth="1"/>
    <col min="8" max="8" width="27.5703125" bestFit="1" customWidth="1"/>
    <col min="9" max="9" width="6" bestFit="1" customWidth="1"/>
    <col min="10" max="10" width="17.7109375" customWidth="1"/>
  </cols>
  <sheetData>
    <row r="1" spans="1:9" x14ac:dyDescent="0.25">
      <c r="A1" s="50" t="s">
        <v>316</v>
      </c>
      <c r="B1" s="50" t="s">
        <v>102</v>
      </c>
      <c r="C1" s="50" t="s">
        <v>240</v>
      </c>
      <c r="D1" s="50" t="s">
        <v>338</v>
      </c>
      <c r="E1" s="50" t="s">
        <v>241</v>
      </c>
      <c r="F1" s="50" t="s">
        <v>389</v>
      </c>
      <c r="H1" t="s">
        <v>361</v>
      </c>
      <c r="I1">
        <f>SUM(C2:C12)</f>
        <v>37062</v>
      </c>
    </row>
    <row r="2" spans="1:9" x14ac:dyDescent="0.25">
      <c r="A2" s="50" t="s">
        <v>272</v>
      </c>
      <c r="B2" s="50" t="s">
        <v>344</v>
      </c>
      <c r="C2" s="50">
        <v>14006</v>
      </c>
      <c r="D2" s="51">
        <f t="shared" ref="D2:D12" si="0">C2/$I$1</f>
        <v>0.3779072904862123</v>
      </c>
      <c r="E2" s="50">
        <v>17269</v>
      </c>
      <c r="F2" s="50"/>
    </row>
    <row r="3" spans="1:9" x14ac:dyDescent="0.25">
      <c r="A3" s="50" t="s">
        <v>293</v>
      </c>
      <c r="B3" s="50" t="s">
        <v>345</v>
      </c>
      <c r="C3" s="50">
        <v>7625</v>
      </c>
      <c r="D3" s="51">
        <f t="shared" si="0"/>
        <v>0.20573633371107874</v>
      </c>
      <c r="E3" s="50">
        <v>11024</v>
      </c>
      <c r="F3" s="50"/>
    </row>
    <row r="4" spans="1:9" x14ac:dyDescent="0.25">
      <c r="A4" s="50" t="s">
        <v>260</v>
      </c>
      <c r="B4" s="50" t="s">
        <v>346</v>
      </c>
      <c r="C4" s="50">
        <v>579</v>
      </c>
      <c r="D4" s="51">
        <f t="shared" si="0"/>
        <v>1.5622470454913388E-2</v>
      </c>
      <c r="E4" s="50" t="s">
        <v>276</v>
      </c>
      <c r="F4" s="50"/>
    </row>
    <row r="5" spans="1:9" x14ac:dyDescent="0.25">
      <c r="A5" s="50" t="s">
        <v>347</v>
      </c>
      <c r="B5" s="50" t="s">
        <v>348</v>
      </c>
      <c r="C5" s="50">
        <v>3937</v>
      </c>
      <c r="D5" s="51">
        <f t="shared" si="0"/>
        <v>0.1062274027305596</v>
      </c>
      <c r="E5" s="50">
        <v>4232</v>
      </c>
      <c r="F5" s="50"/>
    </row>
    <row r="6" spans="1:9" x14ac:dyDescent="0.25">
      <c r="A6" s="50" t="s">
        <v>349</v>
      </c>
      <c r="B6" s="50" t="s">
        <v>350</v>
      </c>
      <c r="C6" s="50">
        <v>3897</v>
      </c>
      <c r="D6" s="51">
        <f t="shared" si="0"/>
        <v>0.10514813016027198</v>
      </c>
      <c r="E6" s="50">
        <v>4569</v>
      </c>
      <c r="F6" s="50"/>
    </row>
    <row r="7" spans="1:9" x14ac:dyDescent="0.25">
      <c r="A7" s="50" t="s">
        <v>265</v>
      </c>
      <c r="B7" s="50" t="s">
        <v>351</v>
      </c>
      <c r="C7" s="50">
        <v>1728</v>
      </c>
      <c r="D7" s="51">
        <f t="shared" si="0"/>
        <v>4.6624575036425447E-2</v>
      </c>
      <c r="E7" s="50">
        <v>1015</v>
      </c>
      <c r="F7" s="50"/>
    </row>
    <row r="8" spans="1:9" x14ac:dyDescent="0.25">
      <c r="A8" s="50" t="s">
        <v>245</v>
      </c>
      <c r="B8" s="50" t="s">
        <v>352</v>
      </c>
      <c r="C8" s="50">
        <v>872</v>
      </c>
      <c r="D8" s="51">
        <f t="shared" si="0"/>
        <v>2.3528142032270251E-2</v>
      </c>
      <c r="E8" s="50">
        <v>1582</v>
      </c>
      <c r="F8" s="50"/>
    </row>
    <row r="9" spans="1:9" x14ac:dyDescent="0.25">
      <c r="A9" s="50" t="s">
        <v>306</v>
      </c>
      <c r="B9" s="50" t="s">
        <v>353</v>
      </c>
      <c r="C9" s="50">
        <v>632</v>
      </c>
      <c r="D9" s="51">
        <f t="shared" si="0"/>
        <v>1.7052506610544492E-2</v>
      </c>
      <c r="E9" s="50">
        <v>1906</v>
      </c>
      <c r="F9" s="50"/>
    </row>
    <row r="10" spans="1:9" x14ac:dyDescent="0.25">
      <c r="A10" s="50" t="s">
        <v>354</v>
      </c>
      <c r="B10" s="50" t="s">
        <v>355</v>
      </c>
      <c r="C10" s="50">
        <v>657</v>
      </c>
      <c r="D10" s="51">
        <f t="shared" si="0"/>
        <v>1.7727051966974258E-2</v>
      </c>
      <c r="E10" s="50">
        <v>1387</v>
      </c>
      <c r="F10" s="50"/>
    </row>
    <row r="11" spans="1:9" x14ac:dyDescent="0.25">
      <c r="A11" s="50" t="s">
        <v>260</v>
      </c>
      <c r="B11" s="50" t="s">
        <v>356</v>
      </c>
      <c r="C11" s="50">
        <v>3035</v>
      </c>
      <c r="D11" s="51">
        <f t="shared" si="0"/>
        <v>8.1889806270573628E-2</v>
      </c>
      <c r="E11" s="50">
        <v>2629</v>
      </c>
      <c r="F11" s="50"/>
    </row>
    <row r="12" spans="1:9" x14ac:dyDescent="0.25">
      <c r="A12" s="50" t="s">
        <v>357</v>
      </c>
      <c r="B12" s="50" t="s">
        <v>358</v>
      </c>
      <c r="C12" s="50">
        <v>94</v>
      </c>
      <c r="D12" s="51">
        <f t="shared" si="0"/>
        <v>2.5362905401759214E-3</v>
      </c>
      <c r="E12" s="50">
        <v>115</v>
      </c>
      <c r="F12" s="50" t="s">
        <v>100</v>
      </c>
    </row>
    <row r="13" spans="1:9" x14ac:dyDescent="0.25">
      <c r="A13" s="50" t="s">
        <v>247</v>
      </c>
      <c r="B13" s="50" t="s">
        <v>359</v>
      </c>
      <c r="C13" s="50" t="s">
        <v>276</v>
      </c>
      <c r="D13" s="50"/>
      <c r="E13" s="50">
        <v>2</v>
      </c>
      <c r="F13" s="50"/>
    </row>
    <row r="14" spans="1:9" x14ac:dyDescent="0.25">
      <c r="A14" s="50" t="s">
        <v>242</v>
      </c>
      <c r="B14" s="50" t="s">
        <v>360</v>
      </c>
      <c r="C14" s="50" t="s">
        <v>276</v>
      </c>
      <c r="D14" s="50"/>
      <c r="E14" s="50">
        <v>18</v>
      </c>
      <c r="F14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&amp; Source</vt:lpstr>
      <vt:lpstr>ICV Car</vt:lpstr>
      <vt:lpstr>ICV LDT</vt:lpstr>
      <vt:lpstr>Hybrid(Non-plugin)</vt:lpstr>
      <vt:lpstr>Hybrid_additional</vt:lpstr>
      <vt:lpstr>Hybrid(plugin)</vt:lpstr>
      <vt:lpstr>Hybrid(plugin)_Additional</vt:lpstr>
      <vt:lpstr>EV(Non-Tesla)</vt:lpstr>
      <vt:lpstr>EV_Additional</vt:lpstr>
      <vt:lpstr>EV(Tesla)</vt:lpstr>
      <vt:lpstr>All 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Eunhee Lee</dc:creator>
  <cp:lastModifiedBy>Eunhee Lee</cp:lastModifiedBy>
  <dcterms:created xsi:type="dcterms:W3CDTF">2017-11-03T16:28:43Z</dcterms:created>
  <dcterms:modified xsi:type="dcterms:W3CDTF">2018-05-31T18:33:24Z</dcterms:modified>
</cp:coreProperties>
</file>