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P Final Archive\Heat_Pump\"/>
    </mc:Choice>
  </mc:AlternateContent>
  <bookViews>
    <workbookView xWindow="0" yWindow="0" windowWidth="24210" windowHeight="13455"/>
  </bookViews>
  <sheets>
    <sheet name="Data" sheetId="4" r:id="rId1"/>
    <sheet name="Metadata" sheetId="3" r:id="rId2"/>
  </sheets>
  <externalReferences>
    <externalReference r:id="rId3"/>
  </externalReferences>
  <definedNames>
    <definedName name="Escalator">#REF!</definedName>
    <definedName name="Lifetime">#REF!</definedName>
  </definedNames>
  <calcPr calcId="162913"/>
</workbook>
</file>

<file path=xl/calcChain.xml><?xml version="1.0" encoding="utf-8"?>
<calcChain xmlns="http://schemas.openxmlformats.org/spreadsheetml/2006/main">
  <c r="I4" i="4" l="1"/>
  <c r="I25" i="4"/>
  <c r="H25" i="4"/>
  <c r="G25" i="4"/>
  <c r="I24" i="4"/>
  <c r="H24" i="4"/>
  <c r="G24" i="4"/>
  <c r="B24" i="4"/>
  <c r="I23" i="4"/>
  <c r="H23" i="4"/>
  <c r="G23" i="4"/>
  <c r="I22" i="4"/>
  <c r="H22" i="4"/>
  <c r="G22" i="4"/>
  <c r="F22" i="4"/>
  <c r="I21" i="4"/>
  <c r="H21" i="4"/>
  <c r="G21" i="4"/>
  <c r="C17" i="4"/>
  <c r="E17" i="4" s="1"/>
  <c r="D16" i="4"/>
  <c r="C16" i="4"/>
  <c r="E16" i="4" s="1"/>
  <c r="B16" i="4"/>
  <c r="C15" i="4"/>
  <c r="E15" i="4" s="1"/>
  <c r="D14" i="4"/>
  <c r="C14" i="4"/>
  <c r="B14" i="4"/>
  <c r="B22" i="4" s="1"/>
  <c r="D13" i="4"/>
  <c r="C13" i="4"/>
  <c r="B13" i="4"/>
  <c r="B21" i="4" s="1"/>
  <c r="E9" i="4"/>
  <c r="D9" i="4"/>
  <c r="C9" i="4"/>
  <c r="B9" i="4"/>
  <c r="I8" i="4"/>
  <c r="E7" i="4"/>
  <c r="H7" i="4" s="1"/>
  <c r="D7" i="4"/>
  <c r="C7" i="4"/>
  <c r="B7" i="4"/>
  <c r="F6" i="4"/>
  <c r="I6" i="4" s="1"/>
  <c r="E5" i="4"/>
  <c r="G5" i="4" s="1"/>
  <c r="E4" i="4"/>
  <c r="H3" i="4"/>
  <c r="E3" i="4"/>
  <c r="B23" i="4" s="1"/>
  <c r="C3" i="4"/>
  <c r="B3" i="4"/>
  <c r="F3" i="4" s="1"/>
  <c r="G3" i="4" l="1"/>
  <c r="I3" i="4" s="1"/>
  <c r="E13" i="4"/>
  <c r="F9" i="4"/>
  <c r="G7" i="4"/>
  <c r="H5" i="4"/>
  <c r="D24" i="4"/>
  <c r="B25" i="4"/>
  <c r="C23" i="4"/>
  <c r="F7" i="4"/>
  <c r="C21" i="4"/>
  <c r="D21" i="4"/>
  <c r="C22" i="4"/>
  <c r="F21" i="4"/>
  <c r="F4" i="4"/>
  <c r="D23" i="4"/>
  <c r="C24" i="4"/>
  <c r="E24" i="4" s="1"/>
  <c r="J24" i="4" s="1"/>
  <c r="G4" i="4"/>
  <c r="G9" i="4"/>
  <c r="C25" i="4"/>
  <c r="H4" i="4"/>
  <c r="H9" i="4"/>
  <c r="F23" i="4"/>
  <c r="D25" i="4"/>
  <c r="E14" i="4"/>
  <c r="F24" i="4"/>
  <c r="F25" i="4"/>
  <c r="F5" i="4"/>
  <c r="D22" i="4"/>
  <c r="I5" i="4" l="1"/>
  <c r="I7" i="4"/>
  <c r="E23" i="4"/>
  <c r="J23" i="4" s="1"/>
  <c r="E22" i="4"/>
  <c r="J22" i="4" s="1"/>
  <c r="E21" i="4"/>
  <c r="J21" i="4" s="1"/>
  <c r="I9" i="4"/>
  <c r="E25" i="4"/>
  <c r="J25" i="4" s="1"/>
</calcChain>
</file>

<file path=xl/comments1.xml><?xml version="1.0" encoding="utf-8"?>
<comments xmlns="http://schemas.openxmlformats.org/spreadsheetml/2006/main">
  <authors>
    <author>Author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be an underestimate http://geo-energy.org/reports/GeothermalGreenhouseEmissionsNov2012GEA_web.pdf</t>
        </r>
      </text>
    </comment>
  </commentList>
</comments>
</file>

<file path=xl/sharedStrings.xml><?xml version="1.0" encoding="utf-8"?>
<sst xmlns="http://schemas.openxmlformats.org/spreadsheetml/2006/main" count="91" uniqueCount="67">
  <si>
    <t>CO2e</t>
  </si>
  <si>
    <t>Nox</t>
  </si>
  <si>
    <t>Sox</t>
  </si>
  <si>
    <t>PM</t>
  </si>
  <si>
    <t>CO</t>
  </si>
  <si>
    <t>VOC</t>
  </si>
  <si>
    <t>Coal</t>
  </si>
  <si>
    <t>Natural Gas</t>
  </si>
  <si>
    <t>Geothermal</t>
  </si>
  <si>
    <t>Petroleum</t>
  </si>
  <si>
    <t>Biomass</t>
  </si>
  <si>
    <t>1. Data source (Data accesed : YYYY.MM)</t>
  </si>
  <si>
    <t>: USEPA, 2016 (2017.12)</t>
  </si>
  <si>
    <t>2. Data Description</t>
  </si>
  <si>
    <t>This is dataset to calculate the estimated emissions from electricity based on different energy grid mix.</t>
  </si>
  <si>
    <t>Criteria Pollutants</t>
  </si>
  <si>
    <t>NOx (kg/kWh)</t>
  </si>
  <si>
    <t>SOx (kg/kWh)</t>
  </si>
  <si>
    <t>PM (kg/kWh)</t>
  </si>
  <si>
    <t>CO (kg/kWh)</t>
  </si>
  <si>
    <t>VOC (kg/kWh)</t>
  </si>
  <si>
    <t>Natural Gas (boiler)</t>
  </si>
  <si>
    <t>Natural Gas (turbine)</t>
  </si>
  <si>
    <t>Large Hydro</t>
  </si>
  <si>
    <t>Other Renewable</t>
  </si>
  <si>
    <t>Unspecified Sources</t>
  </si>
  <si>
    <t>kg CO2/MMBTU</t>
  </si>
  <si>
    <t>kg CH4/MMBTU</t>
  </si>
  <si>
    <t>kg N2O/MMBTU</t>
  </si>
  <si>
    <t>Heat Rate (MMBTU/kWh)</t>
  </si>
  <si>
    <t>kg CO2/kWh</t>
  </si>
  <si>
    <t>kg CH4/kWH</t>
  </si>
  <si>
    <t>kg N2O/kWh</t>
  </si>
  <si>
    <t>kg CO2e/kWh</t>
  </si>
  <si>
    <t>NA</t>
  </si>
  <si>
    <t>NOx (lb/MMBTU)</t>
  </si>
  <si>
    <t>SOx (lb/MMBtu)</t>
  </si>
  <si>
    <t>PM (lb/MMBtu)</t>
  </si>
  <si>
    <t>CO (lb/MMBTU)</t>
  </si>
  <si>
    <t>VOC (lb/MMBTU)</t>
  </si>
  <si>
    <t>Table 3. Criteria Pollutant Emission Factors (kg/kWh)</t>
  </si>
  <si>
    <t>Table 2. Criteria Pollutant Emission Factors (lb/MMBTU)</t>
  </si>
  <si>
    <t>Table 1. GHG Emission Factors</t>
  </si>
  <si>
    <t xml:space="preserve">U.S. Energy Information Administration "Annual Energy Review 2011" (Heat rate data for Geothermal and Biomass in the Table 1) </t>
  </si>
  <si>
    <t xml:space="preserve">100 yr Global Warming Potentials </t>
  </si>
  <si>
    <t>CO2</t>
  </si>
  <si>
    <t>Methane</t>
  </si>
  <si>
    <t>Nitrous Oxide</t>
  </si>
  <si>
    <t>Fuel</t>
  </si>
  <si>
    <t>Heat Rate (BTU/kWh)</t>
  </si>
  <si>
    <t>Conversions</t>
  </si>
  <si>
    <t>kg/lb</t>
  </si>
  <si>
    <t>gram/lb</t>
  </si>
  <si>
    <t>lb/ton</t>
  </si>
  <si>
    <t>kg/ton</t>
  </si>
  <si>
    <t>ng/g</t>
  </si>
  <si>
    <t xml:space="preserve">: Amount of carbon dioxide equlivant to emit by generating electricity by energy source </t>
  </si>
  <si>
    <t xml:space="preserve">: Amount of oxide of nitrogen to emit by generating electricity by energy source </t>
  </si>
  <si>
    <t xml:space="preserve">: Amount of oxide of sulfur to emit the air by generating electricity by energy source </t>
  </si>
  <si>
    <t xml:space="preserve">: Amount of particulate matter to emit the air by generating electricity by energy source </t>
  </si>
  <si>
    <t>: Amount of carbon monoxide to emit the air by generating electricity by energy source</t>
  </si>
  <si>
    <t xml:space="preserve">: Amount of Volatile Organic Compound to emit the air by generating electricity by energy source </t>
  </si>
  <si>
    <t>3. Column &amp; row headings (unit is indicated in data)</t>
  </si>
  <si>
    <t xml:space="preserve">Table 4. other conversion factors </t>
  </si>
  <si>
    <t>Center for Climate and Energy Solution (Large Hydro GHG emission factor)</t>
  </si>
  <si>
    <t>EPA "Greenhouse Gas Inventory Guidance Direct Emissions from Stationary Combustion Sources", 2016 (Biomass GHG Emission Factor)</t>
  </si>
  <si>
    <t>U.S. Department of Energy "Geothermal Power Plants — Meeting Clean Air Standards" (Geothermal GHG emission factor)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</si>
</sst>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sz val="9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4">
    <xf numFmtId="0" fontId="0" fillId="0" borderId="0" xfId="0"/>
    <xf numFmtId="0" fontId="19" fillId="0" borderId="0" xfId="42" applyFont="1"/>
    <xf numFmtId="0" fontId="18" fillId="0" borderId="0" xfId="42" applyFont="1" applyAlignment="1">
      <alignment wrapText="1"/>
    </xf>
    <xf numFmtId="0" fontId="18" fillId="0" borderId="10" xfId="42" applyFont="1" applyBorder="1" applyAlignment="1">
      <alignment wrapText="1"/>
    </xf>
    <xf numFmtId="0" fontId="18" fillId="0" borderId="10" xfId="42" applyFont="1" applyBorder="1" applyAlignment="1"/>
    <xf numFmtId="0" fontId="18" fillId="0" borderId="11" xfId="42" applyFont="1" applyBorder="1" applyAlignment="1">
      <alignment wrapText="1"/>
    </xf>
    <xf numFmtId="0" fontId="18" fillId="0" borderId="10" xfId="42" applyFont="1" applyBorder="1" applyAlignment="1">
      <alignment horizontal="right" wrapText="1"/>
    </xf>
    <xf numFmtId="0" fontId="18" fillId="0" borderId="10" xfId="42" applyFont="1" applyFill="1" applyBorder="1" applyAlignment="1">
      <alignment wrapText="1"/>
    </xf>
    <xf numFmtId="0" fontId="19" fillId="0" borderId="0" xfId="42" applyFont="1" applyAlignment="1"/>
    <xf numFmtId="0" fontId="18" fillId="0" borderId="18" xfId="42" applyFont="1" applyBorder="1" applyAlignment="1">
      <alignment wrapText="1"/>
    </xf>
    <xf numFmtId="0" fontId="18" fillId="0" borderId="20" xfId="42" applyFont="1" applyBorder="1" applyAlignment="1">
      <alignment wrapText="1"/>
    </xf>
    <xf numFmtId="0" fontId="19" fillId="33" borderId="10" xfId="42" applyFont="1" applyFill="1" applyBorder="1" applyAlignment="1">
      <alignment horizontal="center" vertical="center" wrapText="1"/>
    </xf>
    <xf numFmtId="0" fontId="19" fillId="33" borderId="11" xfId="42" applyFont="1" applyFill="1" applyBorder="1" applyAlignment="1">
      <alignment horizontal="center" vertical="center" wrapText="1"/>
    </xf>
    <xf numFmtId="0" fontId="18" fillId="34" borderId="10" xfId="42" applyNumberFormat="1" applyFont="1" applyFill="1" applyBorder="1" applyAlignment="1">
      <alignment wrapText="1"/>
    </xf>
    <xf numFmtId="0" fontId="23" fillId="0" borderId="18" xfId="42" applyFont="1" applyBorder="1" applyAlignment="1">
      <alignment horizontal="left" vertical="top"/>
    </xf>
    <xf numFmtId="0" fontId="18" fillId="0" borderId="19" xfId="42" applyFont="1" applyBorder="1" applyAlignment="1">
      <alignment wrapText="1"/>
    </xf>
    <xf numFmtId="0" fontId="23" fillId="0" borderId="20" xfId="42" applyFont="1" applyBorder="1" applyAlignment="1">
      <alignment horizontal="left" vertical="top"/>
    </xf>
    <xf numFmtId="0" fontId="18" fillId="0" borderId="22" xfId="42" applyFont="1" applyBorder="1" applyAlignment="1">
      <alignment wrapText="1"/>
    </xf>
    <xf numFmtId="0" fontId="18" fillId="0" borderId="18" xfId="42" applyFont="1" applyBorder="1" applyAlignment="1"/>
    <xf numFmtId="0" fontId="18" fillId="0" borderId="19" xfId="42" applyFont="1" applyBorder="1" applyAlignment="1"/>
    <xf numFmtId="0" fontId="18" fillId="0" borderId="18" xfId="42" applyFont="1" applyBorder="1" applyAlignment="1">
      <alignment horizontal="left"/>
    </xf>
    <xf numFmtId="0" fontId="18" fillId="0" borderId="20" xfId="42" applyFont="1" applyBorder="1" applyAlignment="1"/>
    <xf numFmtId="11" fontId="18" fillId="0" borderId="22" xfId="42" applyNumberFormat="1" applyFont="1" applyBorder="1" applyAlignment="1"/>
    <xf numFmtId="0" fontId="16" fillId="18" borderId="15" xfId="27" applyFont="1" applyBorder="1" applyAlignment="1">
      <alignment horizontal="center" vertical="center" wrapText="1"/>
    </xf>
    <xf numFmtId="0" fontId="16" fillId="18" borderId="17" xfId="27" applyFont="1" applyBorder="1" applyAlignment="1">
      <alignment horizontal="center" vertical="center" wrapText="1"/>
    </xf>
    <xf numFmtId="0" fontId="18" fillId="0" borderId="10" xfId="42" applyBorder="1"/>
    <xf numFmtId="0" fontId="18" fillId="34" borderId="19" xfId="42" applyNumberFormat="1" applyFont="1" applyFill="1" applyBorder="1" applyAlignment="1">
      <alignment wrapText="1"/>
    </xf>
    <xf numFmtId="0" fontId="18" fillId="34" borderId="21" xfId="42" applyNumberFormat="1" applyFont="1" applyFill="1" applyBorder="1" applyAlignment="1">
      <alignment wrapText="1"/>
    </xf>
    <xf numFmtId="0" fontId="18" fillId="0" borderId="21" xfId="42" applyBorder="1"/>
    <xf numFmtId="0" fontId="18" fillId="34" borderId="22" xfId="42" applyNumberFormat="1" applyFont="1" applyFill="1" applyBorder="1" applyAlignment="1">
      <alignment wrapText="1"/>
    </xf>
    <xf numFmtId="0" fontId="19" fillId="0" borderId="0" xfId="42" applyFont="1" applyFill="1" applyBorder="1" applyAlignment="1"/>
    <xf numFmtId="0" fontId="22" fillId="35" borderId="15" xfId="42" applyFont="1" applyFill="1" applyBorder="1" applyAlignment="1">
      <alignment horizontal="center" vertical="center" wrapText="1"/>
    </xf>
    <xf numFmtId="0" fontId="22" fillId="35" borderId="17" xfId="42" applyFont="1" applyFill="1" applyBorder="1" applyAlignment="1">
      <alignment horizontal="center" vertical="center" wrapText="1"/>
    </xf>
    <xf numFmtId="0" fontId="22" fillId="35" borderId="23" xfId="42" applyFont="1" applyFill="1" applyBorder="1" applyAlignment="1">
      <alignment horizontal="center" wrapText="1"/>
    </xf>
    <xf numFmtId="0" fontId="22" fillId="35" borderId="24" xfId="42" applyFont="1" applyFill="1" applyBorder="1" applyAlignment="1">
      <alignment horizontal="center" wrapText="1"/>
    </xf>
    <xf numFmtId="0" fontId="18" fillId="0" borderId="0" xfId="42" applyFont="1"/>
    <xf numFmtId="0" fontId="18" fillId="0" borderId="0" xfId="42" applyFont="1" applyAlignment="1"/>
    <xf numFmtId="0" fontId="18" fillId="0" borderId="0" xfId="42"/>
    <xf numFmtId="0" fontId="16" fillId="30" borderId="15" xfId="39" applyFont="1" applyBorder="1" applyAlignment="1">
      <alignment horizontal="center" vertical="center" wrapText="1"/>
    </xf>
    <xf numFmtId="0" fontId="16" fillId="30" borderId="16" xfId="39" applyFont="1" applyBorder="1" applyAlignment="1">
      <alignment horizontal="center" vertical="center" wrapText="1"/>
    </xf>
    <xf numFmtId="0" fontId="16" fillId="30" borderId="17" xfId="39" applyFont="1" applyBorder="1" applyAlignment="1">
      <alignment horizontal="center" vertical="center" wrapText="1"/>
    </xf>
    <xf numFmtId="0" fontId="16" fillId="30" borderId="12" xfId="39" applyFont="1" applyBorder="1" applyAlignment="1">
      <alignment horizontal="center" vertical="center" wrapText="1"/>
    </xf>
    <xf numFmtId="165" fontId="18" fillId="0" borderId="13" xfId="42" applyNumberFormat="1" applyFont="1" applyBorder="1" applyAlignment="1">
      <alignment wrapText="1"/>
    </xf>
    <xf numFmtId="165" fontId="18" fillId="0" borderId="14" xfId="42" applyNumberFormat="1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7"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3" formatCode="#,##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3" formatCode="#,##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3" formatCode="#,##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3" formatCode="#,##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3" formatCode="#,##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eat%20Pump/Heatpump_outpu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Calculations"/>
      <sheetName val="Data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2"/>
  <sheetViews>
    <sheetView tabSelected="1" workbookViewId="0">
      <selection activeCell="I9" sqref="I9"/>
    </sheetView>
  </sheetViews>
  <sheetFormatPr defaultColWidth="14.42578125" defaultRowHeight="15" x14ac:dyDescent="0.25"/>
  <cols>
    <col min="1" max="1" width="24.28515625" style="36" customWidth="1"/>
    <col min="2" max="2" width="18.5703125" style="36" customWidth="1"/>
    <col min="3" max="3" width="22" style="36" customWidth="1"/>
    <col min="4" max="4" width="18.28515625" style="36" customWidth="1"/>
    <col min="5" max="5" width="16.5703125" style="36" customWidth="1"/>
    <col min="6" max="6" width="13.7109375" style="36" customWidth="1"/>
    <col min="7" max="9" width="15.28515625" style="36" customWidth="1"/>
    <col min="10" max="10" width="16" style="36" customWidth="1"/>
    <col min="11" max="11" width="30.140625" style="36" customWidth="1"/>
    <col min="12" max="13" width="14" style="36" customWidth="1"/>
    <col min="14" max="15" width="11.5703125" style="36" customWidth="1"/>
    <col min="16" max="16" width="13.5703125" style="36" customWidth="1"/>
    <col min="17" max="17" width="9.140625" style="36" customWidth="1"/>
    <col min="18" max="18" width="14" style="36" customWidth="1"/>
    <col min="19" max="19" width="13.7109375" style="36" customWidth="1"/>
    <col min="20" max="25" width="8.7109375" style="36" customWidth="1"/>
    <col min="26" max="16384" width="14.42578125" style="36"/>
  </cols>
  <sheetData>
    <row r="1" spans="1:25" ht="18.75" customHeight="1" thickBot="1" x14ac:dyDescent="0.3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30" x14ac:dyDescent="0.25">
      <c r="A2" s="11" t="s">
        <v>6</v>
      </c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31</v>
      </c>
      <c r="H2" s="12" t="s">
        <v>32</v>
      </c>
      <c r="I2" s="41" t="s">
        <v>33</v>
      </c>
      <c r="J2" s="2"/>
      <c r="K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3" t="s">
        <v>6</v>
      </c>
      <c r="B3" s="3">
        <f>95.52</f>
        <v>95.52</v>
      </c>
      <c r="C3" s="4">
        <f>11/1000</f>
        <v>1.0999999999999999E-2</v>
      </c>
      <c r="D3" s="4">
        <v>1.6000000000000001E-3</v>
      </c>
      <c r="E3" s="3">
        <f>10495/1000000</f>
        <v>1.0495000000000001E-2</v>
      </c>
      <c r="F3" s="3">
        <f t="shared" ref="F3:H5" si="0">B3*$E3</f>
        <v>1.0024824000000001</v>
      </c>
      <c r="G3" s="3">
        <f t="shared" si="0"/>
        <v>1.15445E-4</v>
      </c>
      <c r="H3" s="5">
        <f t="shared" si="0"/>
        <v>1.6792000000000001E-5</v>
      </c>
      <c r="I3" s="42">
        <f>F3*$B$29+G3*$B$30+H3*$B$31</f>
        <v>1.01016474</v>
      </c>
      <c r="J3" s="2"/>
      <c r="K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3" t="s">
        <v>7</v>
      </c>
      <c r="B4" s="3">
        <v>53.06</v>
      </c>
      <c r="C4" s="4">
        <v>1E-3</v>
      </c>
      <c r="D4" s="4">
        <v>1E-4</v>
      </c>
      <c r="E4" s="3">
        <f>7878/1000000</f>
        <v>7.8779999999999996E-3</v>
      </c>
      <c r="F4" s="3">
        <f t="shared" ref="F4:F5" si="1">B4*E4</f>
        <v>0.41800668000000002</v>
      </c>
      <c r="G4" s="3">
        <f t="shared" si="0"/>
        <v>7.8779999999999998E-6</v>
      </c>
      <c r="H4" s="5">
        <f t="shared" si="0"/>
        <v>7.878E-7</v>
      </c>
      <c r="I4" s="42">
        <f>F4*$B$29+G4*$B$30+H4*$B$31</f>
        <v>0.41843603100000004</v>
      </c>
      <c r="J4" s="2"/>
      <c r="K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3" t="s">
        <v>8</v>
      </c>
      <c r="B5" s="3">
        <v>7.71</v>
      </c>
      <c r="C5" s="3">
        <v>0</v>
      </c>
      <c r="D5" s="3">
        <v>0</v>
      </c>
      <c r="E5" s="3">
        <f>3412/1000000</f>
        <v>3.4120000000000001E-3</v>
      </c>
      <c r="F5" s="3">
        <f t="shared" si="1"/>
        <v>2.630652E-2</v>
      </c>
      <c r="G5" s="3">
        <f t="shared" si="0"/>
        <v>0</v>
      </c>
      <c r="H5" s="5">
        <f t="shared" si="0"/>
        <v>0</v>
      </c>
      <c r="I5" s="42">
        <f>F5*$B$29+G5*$B$30+H5*$B$31</f>
        <v>2.630652E-2</v>
      </c>
      <c r="J5" s="2"/>
      <c r="K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23</v>
      </c>
      <c r="B6" s="6" t="s">
        <v>34</v>
      </c>
      <c r="C6" s="6" t="s">
        <v>34</v>
      </c>
      <c r="D6" s="6" t="s">
        <v>34</v>
      </c>
      <c r="E6" s="6">
        <v>0</v>
      </c>
      <c r="F6" s="3">
        <f>AVERAGE(0.004,0.018)</f>
        <v>1.0999999999999999E-2</v>
      </c>
      <c r="G6" s="3">
        <v>0</v>
      </c>
      <c r="H6" s="5">
        <v>0</v>
      </c>
      <c r="I6" s="42">
        <f>F6*$B$29+G6*$B$30+H6*$B$31</f>
        <v>1.0999999999999999E-2</v>
      </c>
      <c r="J6" s="2"/>
      <c r="K6" s="2"/>
      <c r="N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 t="s">
        <v>10</v>
      </c>
      <c r="B7" s="3">
        <f>AVERAGE(118.17,111.84,105.51,93.8)</f>
        <v>107.33</v>
      </c>
      <c r="C7" s="3">
        <f>AVERAGE(32,32,32,7.2)/1000</f>
        <v>2.58E-2</v>
      </c>
      <c r="D7" s="3">
        <f>AVERAGE(4.2,4.2,4.2,3.6)/1000</f>
        <v>4.0500000000000006E-3</v>
      </c>
      <c r="E7" s="6">
        <f>3412/1000000</f>
        <v>3.4120000000000001E-3</v>
      </c>
      <c r="F7" s="3">
        <f>B7*E7</f>
        <v>0.36620996</v>
      </c>
      <c r="G7" s="3">
        <f t="shared" ref="G7:H7" si="2">C7*$E7</f>
        <v>8.8029600000000008E-5</v>
      </c>
      <c r="H7" s="5">
        <f t="shared" si="2"/>
        <v>1.3818600000000002E-5</v>
      </c>
      <c r="I7" s="42">
        <f>F7*$B$29+G7*$B$30+H7*$B$31</f>
        <v>0.37233671779999999</v>
      </c>
      <c r="J7" s="2"/>
      <c r="K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 t="s">
        <v>24</v>
      </c>
      <c r="B8" s="6" t="s">
        <v>34</v>
      </c>
      <c r="C8" s="6" t="s">
        <v>34</v>
      </c>
      <c r="D8" s="6" t="s">
        <v>34</v>
      </c>
      <c r="E8" s="6">
        <v>0</v>
      </c>
      <c r="F8" s="3">
        <v>0</v>
      </c>
      <c r="G8" s="3">
        <v>0</v>
      </c>
      <c r="H8" s="5">
        <v>0</v>
      </c>
      <c r="I8" s="42">
        <f>F8*$B$29+G8*$B$30+H8*$B$31</f>
        <v>0</v>
      </c>
      <c r="J8" s="2"/>
      <c r="K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thickBot="1" x14ac:dyDescent="0.3">
      <c r="A9" s="3" t="s">
        <v>25</v>
      </c>
      <c r="B9" s="7">
        <f>B4</f>
        <v>53.06</v>
      </c>
      <c r="C9" s="7">
        <f>C4</f>
        <v>1E-3</v>
      </c>
      <c r="D9" s="7">
        <f>D4</f>
        <v>1E-4</v>
      </c>
      <c r="E9" s="3">
        <f>7878/1000000</f>
        <v>7.8779999999999996E-3</v>
      </c>
      <c r="F9" s="3">
        <f t="shared" ref="F9" si="3">B9*E9</f>
        <v>0.41800668000000002</v>
      </c>
      <c r="G9" s="3">
        <f t="shared" ref="G9:H9" si="4">C9*$E9</f>
        <v>7.8779999999999998E-6</v>
      </c>
      <c r="H9" s="5">
        <f t="shared" si="4"/>
        <v>7.878E-7</v>
      </c>
      <c r="I9" s="43">
        <f>F9*$B$29+G9*$B$30+H9*$B$31</f>
        <v>0.41843603100000004</v>
      </c>
      <c r="J9" s="2"/>
      <c r="K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/>
      <c r="B10" s="2"/>
      <c r="C10" s="2"/>
      <c r="D10" s="2"/>
      <c r="E10" s="2"/>
      <c r="F10" s="2"/>
      <c r="G10" s="2"/>
      <c r="H10" s="2"/>
      <c r="I10"/>
      <c r="J10" s="2"/>
      <c r="K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8" t="s">
        <v>41</v>
      </c>
      <c r="B11" s="2"/>
      <c r="C11" s="2"/>
      <c r="D11" s="2"/>
      <c r="E11" s="2"/>
      <c r="F11" s="2"/>
      <c r="G11" s="2"/>
      <c r="H11" s="2"/>
      <c r="I11"/>
      <c r="J11" s="2"/>
      <c r="K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0" x14ac:dyDescent="0.25">
      <c r="A12" s="11" t="s">
        <v>15</v>
      </c>
      <c r="B12" s="11" t="s">
        <v>6</v>
      </c>
      <c r="C12" s="11" t="s">
        <v>21</v>
      </c>
      <c r="D12" s="11" t="s">
        <v>22</v>
      </c>
      <c r="E12" s="11" t="s">
        <v>7</v>
      </c>
      <c r="F12" s="11" t="s">
        <v>8</v>
      </c>
      <c r="G12" s="11" t="s">
        <v>10</v>
      </c>
      <c r="H12" s="11" t="s">
        <v>23</v>
      </c>
      <c r="I12" s="11" t="s">
        <v>24</v>
      </c>
      <c r="J12" s="2"/>
      <c r="K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5" x14ac:dyDescent="0.25">
      <c r="A13" s="3" t="s">
        <v>35</v>
      </c>
      <c r="B13" s="3">
        <f>AVERAGE(22,11,,12,12,7.4,31,14,15,9.7,10,8.4,7.2,31,14,24,33,17,11,8.8,7.5,9.5,9.1,5,15.2)/26</f>
        <v>0.53046153846153843</v>
      </c>
      <c r="C13" s="3">
        <f>100/1020</f>
        <v>9.8039215686274508E-2</v>
      </c>
      <c r="D13" s="3">
        <f>AVERAGE(0.13,0.099)</f>
        <v>0.1145</v>
      </c>
      <c r="E13" s="3">
        <f t="shared" ref="E13:E17" si="5">AVERAGE(C13:D13)</f>
        <v>0.10626960784313726</v>
      </c>
      <c r="F13" s="3"/>
      <c r="G13" s="3"/>
      <c r="H13" s="3">
        <v>0</v>
      </c>
      <c r="I13" s="3">
        <v>0</v>
      </c>
      <c r="J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5" x14ac:dyDescent="0.25">
      <c r="A14" s="3" t="s">
        <v>36</v>
      </c>
      <c r="B14" s="3">
        <f>AVERAGE(38,38,38,35,35,38,35,38,38,38,35,35,38,38,35,38,35,38,35,38,31,31)/26</f>
        <v>1.3951048951048952</v>
      </c>
      <c r="C14" s="3">
        <f>0.6/1020</f>
        <v>5.8823529411764701E-4</v>
      </c>
      <c r="D14" s="3">
        <f>0.0034</f>
        <v>3.3999999999999998E-3</v>
      </c>
      <c r="E14" s="3">
        <f t="shared" si="5"/>
        <v>1.9941176470588233E-3</v>
      </c>
      <c r="F14" s="3"/>
      <c r="G14" s="3"/>
      <c r="H14" s="3">
        <v>0</v>
      </c>
      <c r="I14" s="3">
        <v>0</v>
      </c>
      <c r="J14" s="2"/>
      <c r="K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5" x14ac:dyDescent="0.25">
      <c r="A15" s="3" t="s">
        <v>37</v>
      </c>
      <c r="B15" s="3">
        <v>0.3</v>
      </c>
      <c r="C15" s="3">
        <f>7.6/1020</f>
        <v>7.4509803921568628E-3</v>
      </c>
      <c r="D15" s="3">
        <v>4.7000000000000002E-3</v>
      </c>
      <c r="E15" s="3">
        <f t="shared" si="5"/>
        <v>6.0754901960784315E-3</v>
      </c>
      <c r="F15" s="3"/>
      <c r="G15" s="3"/>
      <c r="H15" s="3">
        <v>0</v>
      </c>
      <c r="I15" s="3">
        <v>0</v>
      </c>
      <c r="J15" s="2"/>
      <c r="K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5" x14ac:dyDescent="0.25">
      <c r="A16" s="3" t="s">
        <v>38</v>
      </c>
      <c r="B16" s="3">
        <f>AVERAGE(0.5,0.5,0.5,0.5,0.5,0.5,0.5,0.5,0.5,0.5,0.5,0.5,0.5,0.5,0.5,0.5,5,5,6,11,18,18)/26</f>
        <v>0.12412587412587411</v>
      </c>
      <c r="C16" s="3">
        <f>84/1020</f>
        <v>8.2352941176470587E-2</v>
      </c>
      <c r="D16" s="3">
        <f>AVERAGE(0.03,0.015)</f>
        <v>2.2499999999999999E-2</v>
      </c>
      <c r="E16" s="3">
        <f t="shared" si="5"/>
        <v>5.2426470588235297E-2</v>
      </c>
      <c r="F16" s="3"/>
      <c r="G16" s="3"/>
      <c r="H16" s="3">
        <v>0</v>
      </c>
      <c r="I16" s="3">
        <v>0</v>
      </c>
      <c r="J16" s="2"/>
      <c r="K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5" x14ac:dyDescent="0.25">
      <c r="A17" s="3" t="s">
        <v>39</v>
      </c>
      <c r="B17" s="3"/>
      <c r="C17" s="3">
        <f>11/1020</f>
        <v>1.0784313725490196E-2</v>
      </c>
      <c r="D17" s="3">
        <v>2.0999999999999999E-3</v>
      </c>
      <c r="E17" s="3">
        <f t="shared" si="5"/>
        <v>6.4421568627450977E-3</v>
      </c>
      <c r="F17" s="3"/>
      <c r="G17" s="3"/>
      <c r="H17" s="3">
        <v>0</v>
      </c>
      <c r="I17" s="3">
        <v>0</v>
      </c>
      <c r="J17" s="2"/>
      <c r="K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5" ht="15.75" thickBot="1" x14ac:dyDescent="0.3">
      <c r="A19" s="8" t="s">
        <v>40</v>
      </c>
      <c r="B19" s="2"/>
      <c r="C19" s="2"/>
      <c r="D19" s="2"/>
      <c r="E19" s="2"/>
      <c r="F19" s="2"/>
      <c r="G19" s="2"/>
      <c r="H19" s="2"/>
      <c r="I19" s="2"/>
      <c r="J19" s="2"/>
      <c r="K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5" ht="30" x14ac:dyDescent="0.25">
      <c r="A20" s="38" t="s">
        <v>15</v>
      </c>
      <c r="B20" s="39" t="s">
        <v>6</v>
      </c>
      <c r="C20" s="39" t="s">
        <v>21</v>
      </c>
      <c r="D20" s="39" t="s">
        <v>22</v>
      </c>
      <c r="E20" s="39" t="s">
        <v>7</v>
      </c>
      <c r="F20" s="39" t="s">
        <v>8</v>
      </c>
      <c r="G20" s="39" t="s">
        <v>10</v>
      </c>
      <c r="H20" s="39" t="s">
        <v>23</v>
      </c>
      <c r="I20" s="39" t="s">
        <v>24</v>
      </c>
      <c r="J20" s="40" t="s">
        <v>25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5" x14ac:dyDescent="0.25">
      <c r="A21" s="9" t="s">
        <v>16</v>
      </c>
      <c r="B21" s="13">
        <f>B13*VLOOKUP(B$20,$A$3:$I$9,5,FALSE)*$B$37</f>
        <v>2.5252345910646156E-3</v>
      </c>
      <c r="C21" s="13">
        <f>C13*VLOOKUP("Natural Gas",$A$3:$I$9,5,FALSE)*$B$37</f>
        <v>3.503331152941176E-4</v>
      </c>
      <c r="D21" s="13">
        <f>D13*VLOOKUP("Natural Gas",$A$3:$I$9,5,FALSE)*$B$37</f>
        <v>4.0915404535199999E-4</v>
      </c>
      <c r="E21" s="13">
        <f t="shared" ref="E21:E25" si="6">AVERAGE(C21:D21)</f>
        <v>3.797435803230588E-4</v>
      </c>
      <c r="F21" s="25">
        <f>F13*VLOOKUP(F$20,$A$3:$I$9,5,FALSE)*$B$37</f>
        <v>0</v>
      </c>
      <c r="G21" s="25">
        <f>0.9267/1000</f>
        <v>9.2669999999999992E-4</v>
      </c>
      <c r="H21" s="13">
        <f>H13*VLOOKUP(H$20,$A$3:$I$9,5,FALSE)*$B$37</f>
        <v>0</v>
      </c>
      <c r="I21" s="13">
        <f>I13*VLOOKUP(I$20,$A$3:$I$9,5,FALSE)*$B$37</f>
        <v>0</v>
      </c>
      <c r="J21" s="26">
        <f>E21</f>
        <v>3.797435803230588E-4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5" x14ac:dyDescent="0.25">
      <c r="A22" s="9" t="s">
        <v>17</v>
      </c>
      <c r="B22" s="13">
        <f>B14*VLOOKUP(B$20,$A$3:$I$9,5,FALSE)*$B$37</f>
        <v>6.6413243634965043E-3</v>
      </c>
      <c r="C22" s="13">
        <f>C14*VLOOKUP("Natural Gas",$A$3:$I$9,5,FALSE)*$B$37</f>
        <v>2.1019986917647055E-6</v>
      </c>
      <c r="D22" s="13">
        <f>D14*VLOOKUP("Natural Gas",$A$3:$I$9,5,FALSE)*$B$37</f>
        <v>1.2149552438399998E-5</v>
      </c>
      <c r="E22" s="13">
        <f t="shared" si="6"/>
        <v>7.1257755650823517E-6</v>
      </c>
      <c r="F22" s="25">
        <f>0.35*B37/1000</f>
        <v>1.587572E-4</v>
      </c>
      <c r="G22" s="25">
        <f>0.603/1000</f>
        <v>6.0300000000000002E-4</v>
      </c>
      <c r="H22" s="13">
        <f>H14*VLOOKUP(H$20,$A$3:$I$9,5,FALSE)*$B$37</f>
        <v>0</v>
      </c>
      <c r="I22" s="13">
        <f>I14*VLOOKUP(I$20,$A$3:$I$9,5,FALSE)*$B$37</f>
        <v>0</v>
      </c>
      <c r="J22" s="26">
        <f t="shared" ref="J22:J25" si="7">E22</f>
        <v>7.1257755650823517E-6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5" x14ac:dyDescent="0.25">
      <c r="A23" s="9" t="s">
        <v>18</v>
      </c>
      <c r="B23" s="13">
        <f>B15*VLOOKUP(B$20,$A$3:$I$9,5,FALSE)*$B$37</f>
        <v>1.428134412E-3</v>
      </c>
      <c r="C23" s="13">
        <f>C15*VLOOKUP("Natural Gas",$A$3:$I$9,5,FALSE)*$B$37</f>
        <v>2.662531676235294E-5</v>
      </c>
      <c r="D23" s="13">
        <f>D15*VLOOKUP("Natural Gas",$A$3:$I$9,5,FALSE)*$B$37</f>
        <v>1.67949695472E-5</v>
      </c>
      <c r="E23" s="13">
        <f t="shared" si="6"/>
        <v>2.1710143154776472E-5</v>
      </c>
      <c r="F23" s="25">
        <f>F15*VLOOKUP(F$20,$A$3:$I$9,5,FALSE)*$B$37</f>
        <v>0</v>
      </c>
      <c r="G23" s="25">
        <f>2.814/1000</f>
        <v>2.8140000000000001E-3</v>
      </c>
      <c r="H23" s="13">
        <f>H15*VLOOKUP(H$20,$A$3:$I$9,5,FALSE)*$B$37</f>
        <v>0</v>
      </c>
      <c r="I23" s="13">
        <f>I15*VLOOKUP(I$20,$A$3:$I$9,5,FALSE)*$B$37</f>
        <v>0</v>
      </c>
      <c r="J23" s="26">
        <f t="shared" si="7"/>
        <v>2.1710143154776472E-5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5" x14ac:dyDescent="0.25">
      <c r="A24" s="9" t="s">
        <v>19</v>
      </c>
      <c r="B24" s="13">
        <f>B16*VLOOKUP(B$20,$A$3:$I$9,5,FALSE)*$B$37</f>
        <v>5.9089477419580426E-4</v>
      </c>
      <c r="C24" s="13">
        <f>C16*VLOOKUP("Natural Gas",$A$3:$I$9,5,FALSE)*$B$37</f>
        <v>2.9427981684705879E-4</v>
      </c>
      <c r="D24" s="13">
        <f>D16*VLOOKUP("Natural Gas",$A$3:$I$9,5,FALSE)*$B$37</f>
        <v>8.0401449959999996E-5</v>
      </c>
      <c r="E24" s="13">
        <f t="shared" si="6"/>
        <v>1.8734063340352939E-4</v>
      </c>
      <c r="F24" s="25">
        <f>F16*VLOOKUP(F$20,$A$3:$I$9,5,FALSE)*$B$37</f>
        <v>0</v>
      </c>
      <c r="G24" s="25">
        <f>4.7546/1000</f>
        <v>4.7546000000000003E-3</v>
      </c>
      <c r="H24" s="13">
        <f>H16*VLOOKUP(H$20,$A$3:$I$9,5,FALSE)*$B$37</f>
        <v>0</v>
      </c>
      <c r="I24" s="13">
        <f>I16*VLOOKUP(I$20,$A$3:$I$9,5,FALSE)*$B$37</f>
        <v>0</v>
      </c>
      <c r="J24" s="26">
        <f t="shared" si="7"/>
        <v>1.8734063340352939E-4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5" ht="15.75" thickBot="1" x14ac:dyDescent="0.3">
      <c r="A25" s="10" t="s">
        <v>20</v>
      </c>
      <c r="B25" s="27">
        <f>B17*VLOOKUP(B$20,$A$3:$I$9,5,FALSE)*$B$37</f>
        <v>0</v>
      </c>
      <c r="C25" s="27">
        <f>C17*VLOOKUP("Natural Gas",$A$3:$I$9,5,FALSE)*$B$37</f>
        <v>3.8536642682352938E-5</v>
      </c>
      <c r="D25" s="27">
        <f>D17*VLOOKUP("Natural Gas",$A$3:$I$9,5,FALSE)*$B$37</f>
        <v>7.5041353295999996E-6</v>
      </c>
      <c r="E25" s="27">
        <f t="shared" si="6"/>
        <v>2.3020389005976469E-5</v>
      </c>
      <c r="F25" s="28">
        <f>F17*VLOOKUP(F$20,$A$3:$I$9,5,FALSE)*$B$37</f>
        <v>0</v>
      </c>
      <c r="G25" s="28">
        <f>0.1349/1000</f>
        <v>1.349E-4</v>
      </c>
      <c r="H25" s="27">
        <f>H17*VLOOKUP(H$20,$A$3:$I$9,5,FALSE)*$B$37</f>
        <v>0</v>
      </c>
      <c r="I25" s="27">
        <f>I17*VLOOKUP(I$20,$A$3:$I$9,5,FALSE)*$B$37</f>
        <v>0</v>
      </c>
      <c r="J25" s="29">
        <f t="shared" si="7"/>
        <v>2.3020389005976469E-5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thickBot="1" x14ac:dyDescent="0.3">
      <c r="A27" s="30" t="s">
        <v>63</v>
      </c>
      <c r="B27" s="2"/>
      <c r="C27" s="37"/>
      <c r="D27" s="37"/>
      <c r="E27" s="37"/>
      <c r="F27" s="37"/>
      <c r="G27" s="37"/>
      <c r="H27" s="37"/>
      <c r="I27" s="37"/>
      <c r="J27" s="3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1" t="s">
        <v>44</v>
      </c>
      <c r="B28" s="32"/>
      <c r="C28" s="37"/>
      <c r="D28" s="37"/>
      <c r="E28" s="37"/>
      <c r="F28" s="37"/>
      <c r="G28" s="37"/>
      <c r="H28" s="37"/>
      <c r="I28" s="37"/>
      <c r="J28" s="3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14" t="s">
        <v>45</v>
      </c>
      <c r="B29" s="15">
        <v>1</v>
      </c>
      <c r="C29" s="37"/>
      <c r="D29" s="37"/>
      <c r="E29" s="37"/>
      <c r="F29" s="37"/>
      <c r="G29" s="37"/>
      <c r="H29" s="37"/>
      <c r="I29" s="37"/>
      <c r="J29" s="3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14" t="s">
        <v>46</v>
      </c>
      <c r="B30" s="15">
        <v>28</v>
      </c>
      <c r="C30" s="37"/>
      <c r="D30" s="37"/>
      <c r="E30" s="37"/>
      <c r="F30" s="37"/>
      <c r="G30" s="37"/>
      <c r="H30" s="37"/>
      <c r="I30" s="37"/>
      <c r="J30" s="3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thickBot="1" x14ac:dyDescent="0.3">
      <c r="A31" s="16" t="s">
        <v>47</v>
      </c>
      <c r="B31" s="17">
        <v>265</v>
      </c>
      <c r="C31" s="37"/>
      <c r="D31" s="37"/>
      <c r="E31" s="37"/>
      <c r="F31" s="37"/>
      <c r="G31" s="37"/>
      <c r="H31" s="37"/>
      <c r="I31" s="37"/>
      <c r="J31" s="3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30" x14ac:dyDescent="0.25">
      <c r="A32" s="23" t="s">
        <v>48</v>
      </c>
      <c r="B32" s="24" t="s">
        <v>49</v>
      </c>
      <c r="C32" s="37"/>
      <c r="D32" s="37"/>
      <c r="E32" s="37"/>
      <c r="F32" s="37"/>
      <c r="G32" s="37"/>
      <c r="H32" s="37"/>
      <c r="I32" s="37"/>
      <c r="J32" s="3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14" t="s">
        <v>6</v>
      </c>
      <c r="B33" s="15">
        <v>10495</v>
      </c>
      <c r="C33" s="37"/>
      <c r="D33" s="37"/>
      <c r="E33" s="37"/>
      <c r="F33" s="37"/>
      <c r="G33" s="37"/>
      <c r="H33" s="37"/>
      <c r="I33" s="37"/>
      <c r="J33" s="3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14" t="s">
        <v>7</v>
      </c>
      <c r="B34" s="15">
        <v>7878</v>
      </c>
      <c r="C34" s="37"/>
      <c r="D34" s="37"/>
      <c r="E34" s="37"/>
      <c r="F34" s="37"/>
      <c r="G34" s="37"/>
      <c r="H34" s="37"/>
      <c r="I34" s="37"/>
      <c r="J34" s="3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thickBot="1" x14ac:dyDescent="0.3">
      <c r="A35" s="16" t="s">
        <v>9</v>
      </c>
      <c r="B35" s="17">
        <v>10687</v>
      </c>
      <c r="C35" s="37"/>
      <c r="D35" s="37"/>
      <c r="E35" s="37"/>
      <c r="F35" s="37"/>
      <c r="G35" s="37"/>
      <c r="H35" s="37"/>
      <c r="I35" s="37"/>
      <c r="J35" s="3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3" t="s">
        <v>50</v>
      </c>
      <c r="B36" s="34"/>
      <c r="C36" s="37"/>
      <c r="D36" s="37"/>
      <c r="E36" s="37"/>
      <c r="F36" s="37"/>
      <c r="G36" s="37"/>
      <c r="H36" s="37"/>
      <c r="I36" s="37"/>
      <c r="J36" s="3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9" t="s">
        <v>51</v>
      </c>
      <c r="B37" s="15">
        <v>0.453592</v>
      </c>
      <c r="C37" s="37"/>
      <c r="D37" s="37"/>
      <c r="E37" s="37"/>
      <c r="F37" s="37"/>
      <c r="G37" s="37"/>
      <c r="H37" s="37"/>
      <c r="I37" s="37"/>
      <c r="J37" s="3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18" t="s">
        <v>52</v>
      </c>
      <c r="B38" s="19">
        <v>453.59199999999998</v>
      </c>
      <c r="C38" s="37"/>
      <c r="D38" s="37"/>
      <c r="E38" s="37"/>
      <c r="F38" s="37"/>
      <c r="G38" s="37"/>
      <c r="H38" s="37"/>
      <c r="I38" s="37"/>
      <c r="J38" s="3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18" t="s">
        <v>53</v>
      </c>
      <c r="B39" s="19">
        <v>2000</v>
      </c>
      <c r="C39" s="37"/>
      <c r="D39" s="37"/>
      <c r="E39" s="37"/>
      <c r="F39" s="37"/>
      <c r="G39" s="37"/>
      <c r="H39" s="37"/>
      <c r="I39" s="37"/>
      <c r="J39" s="3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0" t="s">
        <v>54</v>
      </c>
      <c r="B40" s="19">
        <v>1.10231E-3</v>
      </c>
      <c r="C40" s="37"/>
      <c r="D40" s="37"/>
      <c r="E40" s="37"/>
      <c r="F40" s="37"/>
      <c r="G40" s="37"/>
      <c r="H40" s="37"/>
      <c r="I40" s="37"/>
      <c r="J40" s="3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thickBot="1" x14ac:dyDescent="0.3">
      <c r="A41" s="21" t="s">
        <v>55</v>
      </c>
      <c r="B41" s="22">
        <v>1000000000</v>
      </c>
      <c r="C41" s="37"/>
      <c r="D41" s="37"/>
      <c r="E41" s="37"/>
      <c r="F41" s="37"/>
      <c r="G41" s="37"/>
      <c r="H41" s="37"/>
      <c r="I41" s="37"/>
      <c r="J41" s="3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D4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D4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C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C49" s="2"/>
      <c r="F49" s="2"/>
      <c r="G49" s="2"/>
      <c r="H49" s="2"/>
      <c r="I49" s="2"/>
      <c r="J49" s="2"/>
      <c r="K49" s="2"/>
      <c r="L49" s="2"/>
      <c r="M49" s="35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C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C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3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3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3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3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3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3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3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3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3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3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3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3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3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3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3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3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3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3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3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3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3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3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3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3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3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3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3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3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3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3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3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3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3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3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3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3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3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3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3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3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3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3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3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3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3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3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3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3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3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3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3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3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3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3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3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3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3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3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3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3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3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3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3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3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3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3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3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3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3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3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3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3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3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3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3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3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3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3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3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3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3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3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3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3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3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3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3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3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3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3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3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3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3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3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3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3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3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3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3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3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3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3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3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3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3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3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3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3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3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3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3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3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3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3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3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3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3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3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3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3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3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3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3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3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3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3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3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3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3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3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3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3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3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3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3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3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3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3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3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3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3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3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3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3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3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3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3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3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3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3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3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3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3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3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3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3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3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3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3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3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3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3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3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3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3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3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3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3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3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3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3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3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3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3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3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3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3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3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3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3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3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3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3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3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3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3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3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3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3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3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3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3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3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3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3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3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3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3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3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3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3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3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3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3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3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3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3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3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3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3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3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3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3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3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3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3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3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3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3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3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3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3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3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3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3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3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3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3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3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3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3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3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3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3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3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3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3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3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3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3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3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3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3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3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3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3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3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3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3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3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3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3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3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3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3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3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3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3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3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3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3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3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3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3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3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3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3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3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3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3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3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3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3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3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3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3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3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3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3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3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3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3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3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3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3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3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3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3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3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3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3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3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3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3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3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3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3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3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3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3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3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3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3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3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3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3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3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3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3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3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3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3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3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3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3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3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3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3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3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3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3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3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3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3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3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3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3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3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3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3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3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3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3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3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3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3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3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3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3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3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3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3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3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3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3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3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3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3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3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3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3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3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3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3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3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3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3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3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3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3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3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3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3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3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3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3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3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3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3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3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3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3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3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3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3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3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3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3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3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3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3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3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3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3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3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3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3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3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3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3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3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3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3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3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3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3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3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3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3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3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3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3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3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3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3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3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3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3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3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3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3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3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3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3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3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3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3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3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3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3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3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3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3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3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3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3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3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3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3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3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3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3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3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3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3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3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3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3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3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3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3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3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3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3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3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3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3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3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3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3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3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3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3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3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3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3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3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3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3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3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3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3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3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3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3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3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3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3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3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3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3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3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3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3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3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3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3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3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3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3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3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3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3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3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3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3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3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3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3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3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3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3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3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3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3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3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3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3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3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3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3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3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3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3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3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3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3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3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3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3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3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3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3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3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3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3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3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3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3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3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3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3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3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3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3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3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3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3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3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3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3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3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3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3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3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3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3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3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3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3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3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3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3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3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3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3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3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3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3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3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3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3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3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3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3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3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3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3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3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3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3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3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3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3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3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3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3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3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3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3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3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3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3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3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3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3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3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3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3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3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3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3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3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3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3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3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3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3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3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3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3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3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3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3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3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3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3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3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3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3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3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3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3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3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3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3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3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3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3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3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3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3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3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3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3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3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3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3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3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3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3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3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3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3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3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3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3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3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3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3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3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3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3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3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3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3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3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3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3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3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3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3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3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3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3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3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3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3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3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3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3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3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3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3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3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3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3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3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3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3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3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3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3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3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3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3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3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3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3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3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3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3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3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3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3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3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3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3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3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3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3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3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3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3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3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3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3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3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3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3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3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3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3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3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3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3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3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3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3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3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3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3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3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3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3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3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3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3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3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3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3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3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3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3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3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3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3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3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3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3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3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3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3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3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3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3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3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3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3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3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3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3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3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3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3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3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3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3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3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3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3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3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3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3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3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3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3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3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3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3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3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3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3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3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3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3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3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3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3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3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3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3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3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3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3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3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3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3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3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3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3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3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3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3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3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3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3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3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3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3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3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3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3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3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3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3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3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3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3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3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3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3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3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3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3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3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3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3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3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3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3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3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3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3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3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3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3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3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3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3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3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3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3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3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3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3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3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3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3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3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3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3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3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3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3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3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3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3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3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3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3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3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3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3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3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3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3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3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3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3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3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3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3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3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3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3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3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3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3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3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3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3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3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3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3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3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3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3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3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3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3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3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3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3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3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3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3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3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3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3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3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3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3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3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3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3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3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3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3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3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3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3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3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3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3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3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3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3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3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3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3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3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3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3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3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3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3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3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3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3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3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3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3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3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3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3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3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3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3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3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3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3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3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3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3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3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3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3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3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3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3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3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</sheetData>
  <mergeCells count="2">
    <mergeCell ref="A28:B28"/>
    <mergeCell ref="A36:B36"/>
  </mergeCells>
  <conditionalFormatting sqref="F48:XFD51 C52:XFD53 C48:C51 N6 Q6:XFD6 E28:XFD28 E40:XFD41 J29:XFD39 G42:XFD46 N7:XFD19 A54:XFD1048576 A47:XFD47 A26:XFD26 N1:XFD5 A10:K10 B1:K1 A18:K18 B19:K19 B27:XFD27 K20:XFD25 J11:K17 A3:H9 J2:K9">
    <cfRule type="cellIs" dxfId="106" priority="100" operator="equal">
      <formula>0</formula>
    </cfRule>
    <cfRule type="cellIs" dxfId="105" priority="101" operator="greaterThanOrEqual">
      <formula>1</formula>
    </cfRule>
    <cfRule type="cellIs" dxfId="104" priority="102" operator="between">
      <formula>0.01</formula>
      <formula>1</formula>
    </cfRule>
    <cfRule type="cellIs" dxfId="103" priority="103" operator="between">
      <formula>0</formula>
      <formula>0.01</formula>
    </cfRule>
  </conditionalFormatting>
  <conditionalFormatting sqref="E29:I29">
    <cfRule type="cellIs" dxfId="102" priority="96" operator="equal">
      <formula>0</formula>
    </cfRule>
    <cfRule type="cellIs" dxfId="101" priority="97" operator="greaterThanOrEqual">
      <formula>1</formula>
    </cfRule>
    <cfRule type="cellIs" dxfId="100" priority="98" operator="between">
      <formula>0.01</formula>
      <formula>1</formula>
    </cfRule>
    <cfRule type="cellIs" dxfId="99" priority="99" operator="between">
      <formula>0</formula>
      <formula>0.01</formula>
    </cfRule>
  </conditionalFormatting>
  <conditionalFormatting sqref="D37:D39">
    <cfRule type="cellIs" dxfId="98" priority="92" operator="equal">
      <formula>0</formula>
    </cfRule>
    <cfRule type="cellIs" dxfId="97" priority="93" operator="greaterThanOrEqual">
      <formula>1</formula>
    </cfRule>
    <cfRule type="cellIs" dxfId="96" priority="94" operator="between">
      <formula>0.01</formula>
      <formula>1</formula>
    </cfRule>
    <cfRule type="cellIs" dxfId="95" priority="95" operator="between">
      <formula>0</formula>
      <formula>0.01</formula>
    </cfRule>
  </conditionalFormatting>
  <conditionalFormatting sqref="A1">
    <cfRule type="cellIs" dxfId="75" priority="69" operator="equal">
      <formula>0</formula>
    </cfRule>
    <cfRule type="cellIs" dxfId="74" priority="70" operator="greaterThanOrEqual">
      <formula>1</formula>
    </cfRule>
    <cfRule type="cellIs" dxfId="73" priority="71" operator="between">
      <formula>0.01</formula>
      <formula>1</formula>
    </cfRule>
    <cfRule type="cellIs" dxfId="72" priority="72" operator="between">
      <formula>0</formula>
      <formula>0.01</formula>
    </cfRule>
  </conditionalFormatting>
  <conditionalFormatting sqref="A19">
    <cfRule type="cellIs" dxfId="67" priority="61" operator="equal">
      <formula>0</formula>
    </cfRule>
    <cfRule type="cellIs" dxfId="66" priority="62" operator="greaterThanOrEqual">
      <formula>1</formula>
    </cfRule>
    <cfRule type="cellIs" dxfId="65" priority="63" operator="between">
      <formula>0.01</formula>
      <formula>1</formula>
    </cfRule>
    <cfRule type="cellIs" dxfId="64" priority="64" operator="between">
      <formula>0</formula>
      <formula>0.01</formula>
    </cfRule>
  </conditionalFormatting>
  <conditionalFormatting sqref="A27">
    <cfRule type="cellIs" dxfId="63" priority="57" operator="equal">
      <formula>0</formula>
    </cfRule>
    <cfRule type="cellIs" dxfId="62" priority="58" operator="greaterThanOrEqual">
      <formula>1</formula>
    </cfRule>
    <cfRule type="cellIs" dxfId="61" priority="59" operator="between">
      <formula>0.01</formula>
      <formula>1</formula>
    </cfRule>
    <cfRule type="cellIs" dxfId="60" priority="60" operator="between">
      <formula>0</formula>
      <formula>0.01</formula>
    </cfRule>
  </conditionalFormatting>
  <conditionalFormatting sqref="A29:B31 A37:B37 A33:B35">
    <cfRule type="cellIs" dxfId="54" priority="48" operator="equal">
      <formula>0</formula>
    </cfRule>
    <cfRule type="cellIs" dxfId="53" priority="49" operator="greaterThanOrEqual">
      <formula>1</formula>
    </cfRule>
    <cfRule type="cellIs" dxfId="52" priority="50" operator="between">
      <formula>0.01</formula>
      <formula>1</formula>
    </cfRule>
    <cfRule type="cellIs" dxfId="51" priority="51" operator="between">
      <formula>0</formula>
      <formula>0.01</formula>
    </cfRule>
  </conditionalFormatting>
  <conditionalFormatting sqref="B40 A39:A40">
    <cfRule type="cellIs" dxfId="50" priority="47" operator="greaterThanOrEqual">
      <formula>1</formula>
    </cfRule>
  </conditionalFormatting>
  <conditionalFormatting sqref="B40 A39:A40">
    <cfRule type="cellIs" dxfId="49" priority="46" operator="between">
      <formula>0.01</formula>
      <formula>1</formula>
    </cfRule>
  </conditionalFormatting>
  <conditionalFormatting sqref="B40 A39:A40">
    <cfRule type="cellIs" dxfId="48" priority="45" operator="between">
      <formula>0</formula>
      <formula>0.01</formula>
    </cfRule>
  </conditionalFormatting>
  <conditionalFormatting sqref="B40 A39:A40">
    <cfRule type="cellIs" dxfId="47" priority="44" operator="equal">
      <formula>0</formula>
    </cfRule>
  </conditionalFormatting>
  <conditionalFormatting sqref="A36">
    <cfRule type="cellIs" dxfId="46" priority="39" operator="lessThan">
      <formula>-1</formula>
    </cfRule>
    <cfRule type="cellIs" dxfId="45" priority="40" operator="equal">
      <formula>0</formula>
    </cfRule>
    <cfRule type="cellIs" dxfId="44" priority="41" operator="greaterThanOrEqual">
      <formula>100</formula>
    </cfRule>
    <cfRule type="cellIs" dxfId="43" priority="42" operator="between">
      <formula>0.01</formula>
      <formula>100</formula>
    </cfRule>
    <cfRule type="cellIs" dxfId="42" priority="43" operator="between">
      <formula>0</formula>
      <formula>0.01</formula>
    </cfRule>
  </conditionalFormatting>
  <conditionalFormatting sqref="A32:B32">
    <cfRule type="cellIs" dxfId="41" priority="29" operator="lessThan">
      <formula>-1</formula>
    </cfRule>
    <cfRule type="cellIs" dxfId="40" priority="30" operator="equal">
      <formula>0</formula>
    </cfRule>
    <cfRule type="cellIs" dxfId="39" priority="31" operator="greaterThanOrEqual">
      <formula>100</formula>
    </cfRule>
    <cfRule type="cellIs" dxfId="38" priority="32" operator="between">
      <formula>0.01</formula>
      <formula>100</formula>
    </cfRule>
    <cfRule type="cellIs" dxfId="37" priority="33" operator="between">
      <formula>0</formula>
      <formula>0.01</formula>
    </cfRule>
  </conditionalFormatting>
  <conditionalFormatting sqref="A28">
    <cfRule type="cellIs" dxfId="36" priority="34" operator="lessThan">
      <formula>-1</formula>
    </cfRule>
    <cfRule type="cellIs" dxfId="35" priority="35" operator="equal">
      <formula>0</formula>
    </cfRule>
    <cfRule type="cellIs" dxfId="34" priority="36" operator="greaterThanOrEqual">
      <formula>100</formula>
    </cfRule>
    <cfRule type="cellIs" dxfId="33" priority="37" operator="between">
      <formula>0.01</formula>
      <formula>100</formula>
    </cfRule>
    <cfRule type="cellIs" dxfId="32" priority="38" operator="between">
      <formula>0</formula>
      <formula>0.01</formula>
    </cfRule>
  </conditionalFormatting>
  <conditionalFormatting sqref="A21:E25 H21:J25 A20:J20">
    <cfRule type="cellIs" dxfId="31" priority="25" operator="equal">
      <formula>0</formula>
    </cfRule>
    <cfRule type="cellIs" dxfId="30" priority="26" operator="greaterThanOrEqual">
      <formula>1</formula>
    </cfRule>
    <cfRule type="cellIs" dxfId="29" priority="27" operator="between">
      <formula>0.01</formula>
      <formula>1</formula>
    </cfRule>
    <cfRule type="cellIs" dxfId="28" priority="28" operator="between">
      <formula>0</formula>
      <formula>0.01</formula>
    </cfRule>
  </conditionalFormatting>
  <conditionalFormatting sqref="F21:G25">
    <cfRule type="cellIs" dxfId="27" priority="21" operator="equal">
      <formula>0</formula>
    </cfRule>
    <cfRule type="cellIs" dxfId="26" priority="22" operator="greaterThanOrEqual">
      <formula>1</formula>
    </cfRule>
    <cfRule type="cellIs" dxfId="25" priority="23" operator="between">
      <formula>0.01</formula>
      <formula>1</formula>
    </cfRule>
    <cfRule type="cellIs" dxfId="24" priority="24" operator="between">
      <formula>0</formula>
      <formula>0.01</formula>
    </cfRule>
  </conditionalFormatting>
  <conditionalFormatting sqref="A11:I17">
    <cfRule type="cellIs" dxfId="23" priority="17" operator="equal">
      <formula>0</formula>
    </cfRule>
    <cfRule type="cellIs" dxfId="22" priority="18" operator="greaterThanOrEqual">
      <formula>1</formula>
    </cfRule>
    <cfRule type="cellIs" dxfId="21" priority="19" operator="between">
      <formula>0.01</formula>
      <formula>1</formula>
    </cfRule>
    <cfRule type="cellIs" dxfId="20" priority="20" operator="between">
      <formula>0</formula>
      <formula>0.01</formula>
    </cfRule>
  </conditionalFormatting>
  <conditionalFormatting sqref="A2:H2">
    <cfRule type="cellIs" dxfId="15" priority="13" operator="equal">
      <formula>0</formula>
    </cfRule>
    <cfRule type="cellIs" dxfId="14" priority="14" operator="greaterThanOrEqual">
      <formula>1</formula>
    </cfRule>
    <cfRule type="cellIs" dxfId="13" priority="15" operator="between">
      <formula>0.01</formula>
      <formula>1</formula>
    </cfRule>
    <cfRule type="cellIs" dxfId="12" priority="16" operator="between">
      <formula>0</formula>
      <formula>0.01</formula>
    </cfRule>
  </conditionalFormatting>
  <conditionalFormatting sqref="I3:I9">
    <cfRule type="cellIs" dxfId="11" priority="9" operator="equal">
      <formula>0</formula>
    </cfRule>
    <cfRule type="cellIs" dxfId="10" priority="10" operator="greaterThanOrEqual">
      <formula>1</formula>
    </cfRule>
    <cfRule type="cellIs" dxfId="9" priority="11" operator="between">
      <formula>0.01</formula>
      <formula>1</formula>
    </cfRule>
    <cfRule type="cellIs" dxfId="8" priority="12" operator="between">
      <formula>0</formula>
      <formula>0.01</formula>
    </cfRule>
  </conditionalFormatting>
  <conditionalFormatting sqref="I2">
    <cfRule type="cellIs" dxfId="3" priority="1" operator="equal">
      <formula>0</formula>
    </cfRule>
    <cfRule type="cellIs" dxfId="2" priority="2" operator="greaterThanOrEqual">
      <formula>1</formula>
    </cfRule>
    <cfRule type="cellIs" dxfId="1" priority="3" operator="between">
      <formula>0.01</formula>
      <formula>1</formula>
    </cfRule>
    <cfRule type="cellIs" dxfId="0" priority="4" operator="between">
      <formula>0</formula>
      <formula>0.01</formula>
    </cfRule>
  </conditionalFormatting>
  <pageMargins left="0.7" right="0.7" top="0.75" bottom="0.75" header="0.3" footer="0.3"/>
  <ignoredErrors>
    <ignoredError sqref="F21:G25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32" sqref="G32"/>
    </sheetView>
  </sheetViews>
  <sheetFormatPr defaultRowHeight="15" x14ac:dyDescent="0.25"/>
  <sheetData>
    <row r="1" spans="1:3" x14ac:dyDescent="0.25">
      <c r="A1" t="s">
        <v>11</v>
      </c>
    </row>
    <row r="2" spans="1:3" x14ac:dyDescent="0.25">
      <c r="B2" t="s">
        <v>12</v>
      </c>
    </row>
    <row r="3" spans="1:3" x14ac:dyDescent="0.25">
      <c r="B3" t="s">
        <v>43</v>
      </c>
    </row>
    <row r="4" spans="1:3" x14ac:dyDescent="0.25">
      <c r="B4" t="s">
        <v>64</v>
      </c>
    </row>
    <row r="5" spans="1:3" x14ac:dyDescent="0.25">
      <c r="B5" t="s">
        <v>65</v>
      </c>
    </row>
    <row r="6" spans="1:3" x14ac:dyDescent="0.25">
      <c r="B6" t="s">
        <v>66</v>
      </c>
    </row>
    <row r="7" spans="1:3" x14ac:dyDescent="0.25">
      <c r="A7" t="s">
        <v>13</v>
      </c>
    </row>
    <row r="8" spans="1:3" x14ac:dyDescent="0.25">
      <c r="B8" t="s">
        <v>14</v>
      </c>
    </row>
    <row r="9" spans="1:3" x14ac:dyDescent="0.25">
      <c r="A9" t="s">
        <v>62</v>
      </c>
    </row>
    <row r="10" spans="1:3" x14ac:dyDescent="0.25">
      <c r="B10" t="s">
        <v>0</v>
      </c>
      <c r="C10" t="s">
        <v>56</v>
      </c>
    </row>
    <row r="11" spans="1:3" x14ac:dyDescent="0.25">
      <c r="B11" t="s">
        <v>1</v>
      </c>
      <c r="C11" t="s">
        <v>57</v>
      </c>
    </row>
    <row r="12" spans="1:3" x14ac:dyDescent="0.25">
      <c r="B12" t="s">
        <v>2</v>
      </c>
      <c r="C12" t="s">
        <v>58</v>
      </c>
    </row>
    <row r="13" spans="1:3" x14ac:dyDescent="0.25">
      <c r="B13" t="s">
        <v>3</v>
      </c>
      <c r="C13" t="s">
        <v>59</v>
      </c>
    </row>
    <row r="14" spans="1:3" x14ac:dyDescent="0.25">
      <c r="B14" t="s">
        <v>4</v>
      </c>
      <c r="C14" t="s">
        <v>60</v>
      </c>
    </row>
    <row r="15" spans="1:3" x14ac:dyDescent="0.25">
      <c r="B15" t="s">
        <v>5</v>
      </c>
      <c r="C1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Eunhee Lee</dc:creator>
  <cp:lastModifiedBy>Eunhee Lee</cp:lastModifiedBy>
  <dcterms:created xsi:type="dcterms:W3CDTF">2018-06-07T00:47:03Z</dcterms:created>
  <dcterms:modified xsi:type="dcterms:W3CDTF">2018-06-07T23:37:36Z</dcterms:modified>
</cp:coreProperties>
</file>