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B1D0C6DB-109F-4542-9C45-D9EF672BE25A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REFS" sheetId="25" r:id="rId1"/>
    <sheet name="FIN_ETA" sheetId="2" r:id="rId2"/>
    <sheet name="Calcs" sheetId="8" r:id="rId3"/>
    <sheet name="Fleischer_1951" sheetId="22" r:id="rId4"/>
    <sheet name="DOE_2007" sheetId="11" r:id="rId5"/>
    <sheet name="OTA_1993" sheetId="24" r:id="rId6"/>
    <sheet name="IAI_2020_Alumina_refining" sheetId="7" r:id="rId7"/>
    <sheet name="Bravard_1972" sheetId="20" r:id="rId8"/>
    <sheet name="Hamel_1979" sheetId="23" r:id="rId9"/>
    <sheet name="Ayres_2006" sheetId="16" r:id="rId10"/>
    <sheet name="DOE_2017" sheetId="19" r:id="rId11"/>
    <sheet name="Brough_2020" sheetId="10" r:id="rId12"/>
    <sheet name="PB COMMENTS" sheetId="26" r:id="rId13"/>
    <sheet name="Units" sheetId="21" r:id="rId14"/>
  </sheets>
  <definedNames>
    <definedName name="Btu_to_GJ">Units!$B$1</definedName>
    <definedName name="kWh_to_GJ">Units!$B$3</definedName>
    <definedName name="lb_to_metrictonne">Units!$B$2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9" i="2" l="1" a="1"/>
  <c r="H9" i="2" s="1"/>
  <c r="H8" i="2" a="1"/>
  <c r="H8" i="2" s="1"/>
  <c r="H7" i="2" a="1"/>
  <c r="K7" i="2" s="1"/>
  <c r="H6" i="2" a="1"/>
  <c r="K6" i="2" s="1"/>
  <c r="H5" i="2" a="1"/>
  <c r="I5" i="2" s="1"/>
  <c r="H4" i="2" a="1"/>
  <c r="H4" i="2" s="1"/>
  <c r="H3" i="2" a="1"/>
  <c r="L3" i="2" s="1"/>
  <c r="H2" i="2" a="1"/>
  <c r="H2" i="2" s="1"/>
  <c r="V78" i="8"/>
  <c r="Z78" i="8" s="1"/>
  <c r="Y78" i="8"/>
  <c r="AC78" i="8"/>
  <c r="AD78" i="8"/>
  <c r="AG78" i="8"/>
  <c r="AH78" i="8"/>
  <c r="AK78" i="8"/>
  <c r="AL78" i="8" s="1"/>
  <c r="AO78" i="8"/>
  <c r="AP78" i="8"/>
  <c r="AS78" i="8"/>
  <c r="AT78" i="8" s="1"/>
  <c r="AW78" i="8"/>
  <c r="AX78" i="8"/>
  <c r="V79" i="8"/>
  <c r="AP79" i="8" s="1"/>
  <c r="Y79" i="8"/>
  <c r="AC79" i="8"/>
  <c r="AD79" i="8"/>
  <c r="AG79" i="8"/>
  <c r="AH79" i="8"/>
  <c r="AK79" i="8"/>
  <c r="AL79" i="8"/>
  <c r="AO79" i="8"/>
  <c r="AS79" i="8"/>
  <c r="AT79" i="8" s="1"/>
  <c r="AW79" i="8"/>
  <c r="AX79" i="8"/>
  <c r="M38" i="8"/>
  <c r="N38" i="8"/>
  <c r="O38" i="8"/>
  <c r="P38" i="8"/>
  <c r="Q38" i="8"/>
  <c r="R38" i="8"/>
  <c r="S38" i="8"/>
  <c r="M39" i="8"/>
  <c r="N39" i="8"/>
  <c r="O39" i="8"/>
  <c r="P39" i="8"/>
  <c r="Q39" i="8"/>
  <c r="R39" i="8"/>
  <c r="S39" i="8"/>
  <c r="A38" i="8"/>
  <c r="B38" i="8"/>
  <c r="C38" i="8"/>
  <c r="D38" i="8"/>
  <c r="E38" i="8"/>
  <c r="F38" i="8"/>
  <c r="G38" i="8"/>
  <c r="H38" i="8"/>
  <c r="I38" i="8"/>
  <c r="A39" i="8"/>
  <c r="B39" i="8"/>
  <c r="C39" i="8"/>
  <c r="D39" i="8"/>
  <c r="E39" i="8"/>
  <c r="F39" i="8"/>
  <c r="G39" i="8"/>
  <c r="H39" i="8"/>
  <c r="I39" i="8"/>
  <c r="F12" i="22"/>
  <c r="F13" i="22" s="1"/>
  <c r="AC9" i="2" l="1"/>
  <c r="BO9" i="2"/>
  <c r="BC9" i="2"/>
  <c r="AQ9" i="2"/>
  <c r="AE9" i="2"/>
  <c r="S9" i="2"/>
  <c r="BN9" i="2"/>
  <c r="AP9" i="2"/>
  <c r="R9" i="2"/>
  <c r="BM9" i="2"/>
  <c r="BA9" i="2"/>
  <c r="Q9" i="2"/>
  <c r="BL9" i="2"/>
  <c r="AN9" i="2"/>
  <c r="P9" i="2"/>
  <c r="BK9" i="2"/>
  <c r="AM9" i="2"/>
  <c r="O9" i="2"/>
  <c r="BJ9" i="2"/>
  <c r="AL9" i="2"/>
  <c r="N9" i="2"/>
  <c r="BI9" i="2"/>
  <c r="AK9" i="2"/>
  <c r="M9" i="2"/>
  <c r="BH9" i="2"/>
  <c r="AJ9" i="2"/>
  <c r="L9" i="2"/>
  <c r="AT9" i="2"/>
  <c r="V9" i="2"/>
  <c r="J9" i="2"/>
  <c r="BB9" i="2"/>
  <c r="AD9" i="2"/>
  <c r="AO9" i="2"/>
  <c r="AZ9" i="2"/>
  <c r="AB9" i="2"/>
  <c r="AY9" i="2"/>
  <c r="AA9" i="2"/>
  <c r="AX9" i="2"/>
  <c r="Z9" i="2"/>
  <c r="AW9" i="2"/>
  <c r="Y9" i="2"/>
  <c r="AV9" i="2"/>
  <c r="X9" i="2"/>
  <c r="BG9" i="2"/>
  <c r="AU9" i="2"/>
  <c r="AI9" i="2"/>
  <c r="W9" i="2"/>
  <c r="K9" i="2"/>
  <c r="BF9" i="2"/>
  <c r="AH9" i="2"/>
  <c r="BE9" i="2"/>
  <c r="AS9" i="2"/>
  <c r="AG9" i="2"/>
  <c r="U9" i="2"/>
  <c r="I9" i="2"/>
  <c r="BP9" i="2"/>
  <c r="BD9" i="2"/>
  <c r="AR9" i="2"/>
  <c r="AF9" i="2"/>
  <c r="T9" i="2"/>
  <c r="BC8" i="2"/>
  <c r="Q8" i="2"/>
  <c r="BO8" i="2"/>
  <c r="AQ8" i="2"/>
  <c r="AE8" i="2"/>
  <c r="S8" i="2"/>
  <c r="BN8" i="2"/>
  <c r="BB8" i="2"/>
  <c r="AP8" i="2"/>
  <c r="AD8" i="2"/>
  <c r="R8" i="2"/>
  <c r="BM8" i="2"/>
  <c r="BA8" i="2"/>
  <c r="AO8" i="2"/>
  <c r="AC8" i="2"/>
  <c r="BL8" i="2"/>
  <c r="AZ8" i="2"/>
  <c r="AN8" i="2"/>
  <c r="AB8" i="2"/>
  <c r="P8" i="2"/>
  <c r="BK8" i="2"/>
  <c r="AY8" i="2"/>
  <c r="AM8" i="2"/>
  <c r="AA8" i="2"/>
  <c r="O8" i="2"/>
  <c r="BJ8" i="2"/>
  <c r="AX8" i="2"/>
  <c r="AL8" i="2"/>
  <c r="Z8" i="2"/>
  <c r="N8" i="2"/>
  <c r="BI8" i="2"/>
  <c r="AW8" i="2"/>
  <c r="AK8" i="2"/>
  <c r="Y8" i="2"/>
  <c r="M8" i="2"/>
  <c r="BH8" i="2"/>
  <c r="AV8" i="2"/>
  <c r="AJ8" i="2"/>
  <c r="X8" i="2"/>
  <c r="L8" i="2"/>
  <c r="BG8" i="2"/>
  <c r="AU8" i="2"/>
  <c r="AI8" i="2"/>
  <c r="W8" i="2"/>
  <c r="K8" i="2"/>
  <c r="BF8" i="2"/>
  <c r="AT8" i="2"/>
  <c r="AH8" i="2"/>
  <c r="V8" i="2"/>
  <c r="J8" i="2"/>
  <c r="BE8" i="2"/>
  <c r="AS8" i="2"/>
  <c r="AG8" i="2"/>
  <c r="U8" i="2"/>
  <c r="I8" i="2"/>
  <c r="BP8" i="2"/>
  <c r="BD8" i="2"/>
  <c r="AR8" i="2"/>
  <c r="AF8" i="2"/>
  <c r="T8" i="2"/>
  <c r="AH7" i="2"/>
  <c r="V7" i="2"/>
  <c r="J7" i="2"/>
  <c r="BE7" i="2"/>
  <c r="AS7" i="2"/>
  <c r="AG7" i="2"/>
  <c r="U7" i="2"/>
  <c r="AT7" i="2"/>
  <c r="AR7" i="2"/>
  <c r="BN7" i="2"/>
  <c r="BB7" i="2"/>
  <c r="AP7" i="2"/>
  <c r="AD7" i="2"/>
  <c r="R7" i="2"/>
  <c r="BM7" i="2"/>
  <c r="AO7" i="2"/>
  <c r="Q7" i="2"/>
  <c r="P7" i="2"/>
  <c r="AY7" i="2"/>
  <c r="AA7" i="2"/>
  <c r="M7" i="2"/>
  <c r="BF7" i="2"/>
  <c r="I7" i="2"/>
  <c r="BP7" i="2"/>
  <c r="BD7" i="2"/>
  <c r="AF7" i="2"/>
  <c r="T7" i="2"/>
  <c r="H7" i="2"/>
  <c r="BO7" i="2"/>
  <c r="BC7" i="2"/>
  <c r="AQ7" i="2"/>
  <c r="AE7" i="2"/>
  <c r="S7" i="2"/>
  <c r="BA7" i="2"/>
  <c r="AC7" i="2"/>
  <c r="BL7" i="2"/>
  <c r="AZ7" i="2"/>
  <c r="AN7" i="2"/>
  <c r="AB7" i="2"/>
  <c r="BK7" i="2"/>
  <c r="AM7" i="2"/>
  <c r="O7" i="2"/>
  <c r="BJ7" i="2"/>
  <c r="AX7" i="2"/>
  <c r="AL7" i="2"/>
  <c r="Z7" i="2"/>
  <c r="N7" i="2"/>
  <c r="BI7" i="2"/>
  <c r="AW7" i="2"/>
  <c r="AK7" i="2"/>
  <c r="Y7" i="2"/>
  <c r="BH7" i="2"/>
  <c r="AV7" i="2"/>
  <c r="AJ7" i="2"/>
  <c r="X7" i="2"/>
  <c r="L7" i="2"/>
  <c r="BG7" i="2"/>
  <c r="AU7" i="2"/>
  <c r="AI7" i="2"/>
  <c r="W7" i="2"/>
  <c r="BF6" i="2"/>
  <c r="J6" i="2"/>
  <c r="AS6" i="2"/>
  <c r="I6" i="2"/>
  <c r="BP6" i="2"/>
  <c r="H6" i="2"/>
  <c r="AQ6" i="2"/>
  <c r="AN6" i="2"/>
  <c r="AT6" i="2"/>
  <c r="AH6" i="2"/>
  <c r="V6" i="2"/>
  <c r="BE6" i="2"/>
  <c r="U6" i="2"/>
  <c r="BD6" i="2"/>
  <c r="T6" i="2"/>
  <c r="BO6" i="2"/>
  <c r="AE6" i="2"/>
  <c r="BN6" i="2"/>
  <c r="AP6" i="2"/>
  <c r="R6" i="2"/>
  <c r="BM6" i="2"/>
  <c r="AO6" i="2"/>
  <c r="Q6" i="2"/>
  <c r="BL6" i="2"/>
  <c r="AB6" i="2"/>
  <c r="BK6" i="2"/>
  <c r="AM6" i="2"/>
  <c r="O6" i="2"/>
  <c r="AX6" i="2"/>
  <c r="Z6" i="2"/>
  <c r="AW6" i="2"/>
  <c r="M6" i="2"/>
  <c r="BH6" i="2"/>
  <c r="AV6" i="2"/>
  <c r="AJ6" i="2"/>
  <c r="X6" i="2"/>
  <c r="L6" i="2"/>
  <c r="AG6" i="2"/>
  <c r="AR6" i="2"/>
  <c r="AF6" i="2"/>
  <c r="BC6" i="2"/>
  <c r="S6" i="2"/>
  <c r="BB6" i="2"/>
  <c r="AD6" i="2"/>
  <c r="BA6" i="2"/>
  <c r="AC6" i="2"/>
  <c r="AZ6" i="2"/>
  <c r="P6" i="2"/>
  <c r="AY6" i="2"/>
  <c r="AA6" i="2"/>
  <c r="BJ6" i="2"/>
  <c r="AL6" i="2"/>
  <c r="N6" i="2"/>
  <c r="BI6" i="2"/>
  <c r="AK6" i="2"/>
  <c r="Y6" i="2"/>
  <c r="BG6" i="2"/>
  <c r="AU6" i="2"/>
  <c r="AI6" i="2"/>
  <c r="W6" i="2"/>
  <c r="BP5" i="2"/>
  <c r="BC5" i="2"/>
  <c r="BD5" i="2"/>
  <c r="AR5" i="2"/>
  <c r="AF5" i="2"/>
  <c r="T5" i="2"/>
  <c r="H5" i="2"/>
  <c r="BO5" i="2"/>
  <c r="AQ5" i="2"/>
  <c r="AE5" i="2"/>
  <c r="S5" i="2"/>
  <c r="BN5" i="2"/>
  <c r="BB5" i="2"/>
  <c r="AP5" i="2"/>
  <c r="AD5" i="2"/>
  <c r="R5" i="2"/>
  <c r="BM5" i="2"/>
  <c r="BA5" i="2"/>
  <c r="AO5" i="2"/>
  <c r="AC5" i="2"/>
  <c r="Q5" i="2"/>
  <c r="BL5" i="2"/>
  <c r="AZ5" i="2"/>
  <c r="AN5" i="2"/>
  <c r="AB5" i="2"/>
  <c r="P5" i="2"/>
  <c r="BK5" i="2"/>
  <c r="AY5" i="2"/>
  <c r="AM5" i="2"/>
  <c r="AA5" i="2"/>
  <c r="O5" i="2"/>
  <c r="BJ5" i="2"/>
  <c r="AX5" i="2"/>
  <c r="AL5" i="2"/>
  <c r="Z5" i="2"/>
  <c r="N5" i="2"/>
  <c r="BI5" i="2"/>
  <c r="AW5" i="2"/>
  <c r="AK5" i="2"/>
  <c r="Y5" i="2"/>
  <c r="M5" i="2"/>
  <c r="BH5" i="2"/>
  <c r="AV5" i="2"/>
  <c r="AJ5" i="2"/>
  <c r="X5" i="2"/>
  <c r="L5" i="2"/>
  <c r="BG5" i="2"/>
  <c r="AU5" i="2"/>
  <c r="AI5" i="2"/>
  <c r="W5" i="2"/>
  <c r="K5" i="2"/>
  <c r="BF5" i="2"/>
  <c r="AT5" i="2"/>
  <c r="AH5" i="2"/>
  <c r="V5" i="2"/>
  <c r="J5" i="2"/>
  <c r="BE5" i="2"/>
  <c r="AS5" i="2"/>
  <c r="AG5" i="2"/>
  <c r="U5" i="2"/>
  <c r="AO4" i="2"/>
  <c r="BO4" i="2"/>
  <c r="AQ4" i="2"/>
  <c r="S4" i="2"/>
  <c r="BN4" i="2"/>
  <c r="BB4" i="2"/>
  <c r="AP4" i="2"/>
  <c r="AD4" i="2"/>
  <c r="R4" i="2"/>
  <c r="BM4" i="2"/>
  <c r="BA4" i="2"/>
  <c r="AC4" i="2"/>
  <c r="Q4" i="2"/>
  <c r="BL4" i="2"/>
  <c r="AN4" i="2"/>
  <c r="AB4" i="2"/>
  <c r="BK4" i="2"/>
  <c r="AM4" i="2"/>
  <c r="AA4" i="2"/>
  <c r="O4" i="2"/>
  <c r="BJ4" i="2"/>
  <c r="AX4" i="2"/>
  <c r="AL4" i="2"/>
  <c r="Z4" i="2"/>
  <c r="N4" i="2"/>
  <c r="BI4" i="2"/>
  <c r="AW4" i="2"/>
  <c r="AK4" i="2"/>
  <c r="Y4" i="2"/>
  <c r="M4" i="2"/>
  <c r="BH4" i="2"/>
  <c r="AV4" i="2"/>
  <c r="AJ4" i="2"/>
  <c r="X4" i="2"/>
  <c r="L4" i="2"/>
  <c r="BC4" i="2"/>
  <c r="AE4" i="2"/>
  <c r="AZ4" i="2"/>
  <c r="P4" i="2"/>
  <c r="AY4" i="2"/>
  <c r="BG4" i="2"/>
  <c r="AU4" i="2"/>
  <c r="AI4" i="2"/>
  <c r="W4" i="2"/>
  <c r="K4" i="2"/>
  <c r="BF4" i="2"/>
  <c r="AT4" i="2"/>
  <c r="AH4" i="2"/>
  <c r="V4" i="2"/>
  <c r="J4" i="2"/>
  <c r="BE4" i="2"/>
  <c r="AS4" i="2"/>
  <c r="AG4" i="2"/>
  <c r="U4" i="2"/>
  <c r="I4" i="2"/>
  <c r="BP4" i="2"/>
  <c r="BD4" i="2"/>
  <c r="AR4" i="2"/>
  <c r="AF4" i="2"/>
  <c r="T4" i="2"/>
  <c r="BG3" i="2"/>
  <c r="K3" i="2"/>
  <c r="AT3" i="2"/>
  <c r="AS3" i="2"/>
  <c r="U3" i="2"/>
  <c r="BP3" i="2"/>
  <c r="AR3" i="2"/>
  <c r="H3" i="2"/>
  <c r="BO3" i="2"/>
  <c r="AE3" i="2"/>
  <c r="BN3" i="2"/>
  <c r="AB3" i="2"/>
  <c r="AU3" i="2"/>
  <c r="AI3" i="2"/>
  <c r="W3" i="2"/>
  <c r="BF3" i="2"/>
  <c r="AH3" i="2"/>
  <c r="V3" i="2"/>
  <c r="J3" i="2"/>
  <c r="BE3" i="2"/>
  <c r="AG3" i="2"/>
  <c r="I3" i="2"/>
  <c r="BD3" i="2"/>
  <c r="AF3" i="2"/>
  <c r="T3" i="2"/>
  <c r="BC3" i="2"/>
  <c r="AQ3" i="2"/>
  <c r="S3" i="2"/>
  <c r="BB3" i="2"/>
  <c r="AP3" i="2"/>
  <c r="AD3" i="2"/>
  <c r="R3" i="2"/>
  <c r="BM3" i="2"/>
  <c r="BA3" i="2"/>
  <c r="AO3" i="2"/>
  <c r="AC3" i="2"/>
  <c r="Q3" i="2"/>
  <c r="BL3" i="2"/>
  <c r="AZ3" i="2"/>
  <c r="AN3" i="2"/>
  <c r="P3" i="2"/>
  <c r="BK3" i="2"/>
  <c r="AY3" i="2"/>
  <c r="AM3" i="2"/>
  <c r="AA3" i="2"/>
  <c r="O3" i="2"/>
  <c r="BJ3" i="2"/>
  <c r="AX3" i="2"/>
  <c r="AL3" i="2"/>
  <c r="Z3" i="2"/>
  <c r="N3" i="2"/>
  <c r="BI3" i="2"/>
  <c r="AW3" i="2"/>
  <c r="AK3" i="2"/>
  <c r="Y3" i="2"/>
  <c r="M3" i="2"/>
  <c r="BH3" i="2"/>
  <c r="AV3" i="2"/>
  <c r="AJ3" i="2"/>
  <c r="X3" i="2"/>
  <c r="R2" i="2"/>
  <c r="BO2" i="2"/>
  <c r="AQ2" i="2"/>
  <c r="S2" i="2"/>
  <c r="BB2" i="2"/>
  <c r="AD2" i="2"/>
  <c r="AO2" i="2"/>
  <c r="Q2" i="2"/>
  <c r="AZ2" i="2"/>
  <c r="P2" i="2"/>
  <c r="AY2" i="2"/>
  <c r="O2" i="2"/>
  <c r="BJ2" i="2"/>
  <c r="AL2" i="2"/>
  <c r="N2" i="2"/>
  <c r="BI2" i="2"/>
  <c r="AK2" i="2"/>
  <c r="M2" i="2"/>
  <c r="BH2" i="2"/>
  <c r="AJ2" i="2"/>
  <c r="X2" i="2"/>
  <c r="BG2" i="2"/>
  <c r="AU2" i="2"/>
  <c r="AI2" i="2"/>
  <c r="K2" i="2"/>
  <c r="BF2" i="2"/>
  <c r="AT2" i="2"/>
  <c r="AH2" i="2"/>
  <c r="J2" i="2"/>
  <c r="BE2" i="2"/>
  <c r="AS2" i="2"/>
  <c r="AG2" i="2"/>
  <c r="U2" i="2"/>
  <c r="I2" i="2"/>
  <c r="BC2" i="2"/>
  <c r="AE2" i="2"/>
  <c r="BN2" i="2"/>
  <c r="AP2" i="2"/>
  <c r="BM2" i="2"/>
  <c r="BA2" i="2"/>
  <c r="AC2" i="2"/>
  <c r="BL2" i="2"/>
  <c r="AN2" i="2"/>
  <c r="AB2" i="2"/>
  <c r="BK2" i="2"/>
  <c r="AM2" i="2"/>
  <c r="AA2" i="2"/>
  <c r="AX2" i="2"/>
  <c r="Z2" i="2"/>
  <c r="AW2" i="2"/>
  <c r="Y2" i="2"/>
  <c r="AV2" i="2"/>
  <c r="L2" i="2"/>
  <c r="W2" i="2"/>
  <c r="V2" i="2"/>
  <c r="BP2" i="2"/>
  <c r="BD2" i="2"/>
  <c r="AR2" i="2"/>
  <c r="AF2" i="2"/>
  <c r="T2" i="2"/>
  <c r="Z79" i="8"/>
  <c r="D6" i="24"/>
  <c r="E6" i="24" s="1"/>
  <c r="AC38" i="8" s="1"/>
  <c r="D36" i="23"/>
  <c r="D37" i="23" s="1"/>
  <c r="D38" i="23" s="1"/>
  <c r="G47" i="20" l="1"/>
  <c r="G53" i="20" s="1"/>
  <c r="G48" i="20"/>
  <c r="G54" i="20" s="1"/>
  <c r="G49" i="20"/>
  <c r="G55" i="20" s="1"/>
  <c r="G50" i="20"/>
  <c r="G56" i="20" s="1"/>
  <c r="G46" i="20"/>
  <c r="G52" i="20" s="1"/>
  <c r="G58" i="20" l="1"/>
  <c r="G6" i="20"/>
  <c r="G7" i="20" s="1"/>
  <c r="G14" i="20" l="1"/>
  <c r="G15" i="20" s="1"/>
  <c r="G10" i="20"/>
  <c r="G11" i="20" s="1"/>
  <c r="F6" i="22" l="1"/>
  <c r="F7" i="22" l="1"/>
  <c r="AC3" i="8" s="1"/>
  <c r="B6" i="19"/>
  <c r="A4" i="8"/>
  <c r="B4" i="8"/>
  <c r="C4" i="8"/>
  <c r="M4" i="8" s="1"/>
  <c r="Y44" i="8" s="1"/>
  <c r="D4" i="8"/>
  <c r="N4" i="8" s="1"/>
  <c r="AC44" i="8" s="1"/>
  <c r="E4" i="8"/>
  <c r="O4" i="8" s="1"/>
  <c r="F4" i="8"/>
  <c r="P4" i="8" s="1"/>
  <c r="AK44" i="8" s="1"/>
  <c r="G4" i="8"/>
  <c r="Q4" i="8" s="1"/>
  <c r="AO44" i="8" s="1"/>
  <c r="H4" i="8"/>
  <c r="I4" i="8"/>
  <c r="S4" i="8" s="1"/>
  <c r="AW44" i="8" s="1"/>
  <c r="A5" i="8"/>
  <c r="B5" i="8"/>
  <c r="C5" i="8"/>
  <c r="M5" i="8" s="1"/>
  <c r="Y45" i="8" s="1"/>
  <c r="D5" i="8"/>
  <c r="N5" i="8" s="1"/>
  <c r="AC45" i="8" s="1"/>
  <c r="E5" i="8"/>
  <c r="O5" i="8" s="1"/>
  <c r="AG45" i="8" s="1"/>
  <c r="F5" i="8"/>
  <c r="P5" i="8" s="1"/>
  <c r="AK45" i="8" s="1"/>
  <c r="G5" i="8"/>
  <c r="Q5" i="8" s="1"/>
  <c r="AO45" i="8" s="1"/>
  <c r="H5" i="8"/>
  <c r="I5" i="8"/>
  <c r="S5" i="8" s="1"/>
  <c r="AW45" i="8" s="1"/>
  <c r="A6" i="8"/>
  <c r="B6" i="8"/>
  <c r="C6" i="8"/>
  <c r="M6" i="8" s="1"/>
  <c r="Y46" i="8" s="1"/>
  <c r="D6" i="8"/>
  <c r="N6" i="8" s="1"/>
  <c r="AC46" i="8" s="1"/>
  <c r="AS46" i="8" s="1"/>
  <c r="E6" i="8"/>
  <c r="O6" i="8" s="1"/>
  <c r="AG46" i="8" s="1"/>
  <c r="F6" i="8"/>
  <c r="P6" i="8" s="1"/>
  <c r="AK46" i="8" s="1"/>
  <c r="G6" i="8"/>
  <c r="Q6" i="8" s="1"/>
  <c r="AO46" i="8" s="1"/>
  <c r="H6" i="8"/>
  <c r="I6" i="8"/>
  <c r="S6" i="8" s="1"/>
  <c r="AW46" i="8" s="1"/>
  <c r="A7" i="8"/>
  <c r="B7" i="8"/>
  <c r="C7" i="8"/>
  <c r="M7" i="8" s="1"/>
  <c r="Y47" i="8" s="1"/>
  <c r="D7" i="8"/>
  <c r="N7" i="8" s="1"/>
  <c r="AC47" i="8" s="1"/>
  <c r="E7" i="8"/>
  <c r="O7" i="8" s="1"/>
  <c r="AG47" i="8" s="1"/>
  <c r="F7" i="8"/>
  <c r="P7" i="8" s="1"/>
  <c r="AK47" i="8" s="1"/>
  <c r="G7" i="8"/>
  <c r="Q7" i="8" s="1"/>
  <c r="AO47" i="8" s="1"/>
  <c r="H7" i="8"/>
  <c r="I7" i="8"/>
  <c r="S7" i="8" s="1"/>
  <c r="AW47" i="8" s="1"/>
  <c r="A8" i="8"/>
  <c r="B8" i="8"/>
  <c r="C8" i="8"/>
  <c r="M8" i="8" s="1"/>
  <c r="Y48" i="8" s="1"/>
  <c r="D8" i="8"/>
  <c r="N8" i="8" s="1"/>
  <c r="AC48" i="8" s="1"/>
  <c r="E8" i="8"/>
  <c r="O8" i="8" s="1"/>
  <c r="F8" i="8"/>
  <c r="P8" i="8" s="1"/>
  <c r="AK48" i="8" s="1"/>
  <c r="G8" i="8"/>
  <c r="Q8" i="8" s="1"/>
  <c r="AO48" i="8" s="1"/>
  <c r="H8" i="8"/>
  <c r="I8" i="8"/>
  <c r="S8" i="8" s="1"/>
  <c r="AW48" i="8" s="1"/>
  <c r="A9" i="8"/>
  <c r="B9" i="8"/>
  <c r="C9" i="8"/>
  <c r="M9" i="8" s="1"/>
  <c r="Y49" i="8" s="1"/>
  <c r="D9" i="8"/>
  <c r="N9" i="8" s="1"/>
  <c r="AC49" i="8" s="1"/>
  <c r="E9" i="8"/>
  <c r="O9" i="8" s="1"/>
  <c r="AG49" i="8" s="1"/>
  <c r="F9" i="8"/>
  <c r="P9" i="8" s="1"/>
  <c r="AK49" i="8" s="1"/>
  <c r="G9" i="8"/>
  <c r="Q9" i="8" s="1"/>
  <c r="AO49" i="8" s="1"/>
  <c r="H9" i="8"/>
  <c r="I9" i="8"/>
  <c r="S9" i="8" s="1"/>
  <c r="AW49" i="8" s="1"/>
  <c r="A10" i="8"/>
  <c r="B10" i="8"/>
  <c r="C10" i="8"/>
  <c r="M10" i="8" s="1"/>
  <c r="Y50" i="8" s="1"/>
  <c r="D10" i="8"/>
  <c r="N10" i="8" s="1"/>
  <c r="AC50" i="8" s="1"/>
  <c r="E10" i="8"/>
  <c r="O10" i="8" s="1"/>
  <c r="AG50" i="8" s="1"/>
  <c r="F10" i="8"/>
  <c r="P10" i="8" s="1"/>
  <c r="AK50" i="8" s="1"/>
  <c r="G10" i="8"/>
  <c r="Q10" i="8" s="1"/>
  <c r="AO50" i="8" s="1"/>
  <c r="H10" i="8"/>
  <c r="I10" i="8"/>
  <c r="S10" i="8" s="1"/>
  <c r="AW50" i="8" s="1"/>
  <c r="A11" i="8"/>
  <c r="B11" i="8"/>
  <c r="C11" i="8"/>
  <c r="M11" i="8" s="1"/>
  <c r="Y51" i="8" s="1"/>
  <c r="D11" i="8"/>
  <c r="N11" i="8" s="1"/>
  <c r="AC51" i="8" s="1"/>
  <c r="E11" i="8"/>
  <c r="O11" i="8" s="1"/>
  <c r="AG51" i="8" s="1"/>
  <c r="F11" i="8"/>
  <c r="P11" i="8" s="1"/>
  <c r="AK51" i="8" s="1"/>
  <c r="G11" i="8"/>
  <c r="Q11" i="8" s="1"/>
  <c r="AO51" i="8" s="1"/>
  <c r="H11" i="8"/>
  <c r="I11" i="8"/>
  <c r="S11" i="8" s="1"/>
  <c r="AW51" i="8" s="1"/>
  <c r="A12" i="8"/>
  <c r="B12" i="8"/>
  <c r="C12" i="8"/>
  <c r="M12" i="8" s="1"/>
  <c r="Y52" i="8" s="1"/>
  <c r="D12" i="8"/>
  <c r="N12" i="8" s="1"/>
  <c r="AC52" i="8" s="1"/>
  <c r="E12" i="8"/>
  <c r="O12" i="8" s="1"/>
  <c r="F12" i="8"/>
  <c r="P12" i="8" s="1"/>
  <c r="AK52" i="8" s="1"/>
  <c r="G12" i="8"/>
  <c r="Q12" i="8" s="1"/>
  <c r="AO52" i="8" s="1"/>
  <c r="H12" i="8"/>
  <c r="I12" i="8"/>
  <c r="S12" i="8" s="1"/>
  <c r="AW52" i="8" s="1"/>
  <c r="A13" i="8"/>
  <c r="B13" i="8"/>
  <c r="C13" i="8"/>
  <c r="M13" i="8" s="1"/>
  <c r="Y53" i="8" s="1"/>
  <c r="D13" i="8"/>
  <c r="N13" i="8" s="1"/>
  <c r="AC53" i="8" s="1"/>
  <c r="AS53" i="8" s="1"/>
  <c r="E13" i="8"/>
  <c r="O13" i="8" s="1"/>
  <c r="F13" i="8"/>
  <c r="P13" i="8" s="1"/>
  <c r="AK53" i="8" s="1"/>
  <c r="G13" i="8"/>
  <c r="Q13" i="8" s="1"/>
  <c r="AO53" i="8" s="1"/>
  <c r="H13" i="8"/>
  <c r="I13" i="8"/>
  <c r="S13" i="8" s="1"/>
  <c r="AW53" i="8" s="1"/>
  <c r="A14" i="8"/>
  <c r="B14" i="8"/>
  <c r="C14" i="8"/>
  <c r="M14" i="8" s="1"/>
  <c r="Y54" i="8" s="1"/>
  <c r="D14" i="8"/>
  <c r="N14" i="8" s="1"/>
  <c r="AC54" i="8" s="1"/>
  <c r="E14" i="8"/>
  <c r="O14" i="8" s="1"/>
  <c r="F14" i="8"/>
  <c r="P14" i="8" s="1"/>
  <c r="AK54" i="8" s="1"/>
  <c r="G14" i="8"/>
  <c r="Q14" i="8" s="1"/>
  <c r="AO54" i="8" s="1"/>
  <c r="H14" i="8"/>
  <c r="I14" i="8"/>
  <c r="S14" i="8" s="1"/>
  <c r="AW54" i="8" s="1"/>
  <c r="A15" i="8"/>
  <c r="B15" i="8"/>
  <c r="C15" i="8"/>
  <c r="M15" i="8" s="1"/>
  <c r="Y55" i="8" s="1"/>
  <c r="D15" i="8"/>
  <c r="N15" i="8" s="1"/>
  <c r="AC55" i="8" s="1"/>
  <c r="E15" i="8"/>
  <c r="O15" i="8" s="1"/>
  <c r="F15" i="8"/>
  <c r="P15" i="8" s="1"/>
  <c r="AK55" i="8" s="1"/>
  <c r="G15" i="8"/>
  <c r="Q15" i="8" s="1"/>
  <c r="AO55" i="8" s="1"/>
  <c r="H15" i="8"/>
  <c r="I15" i="8"/>
  <c r="S15" i="8" s="1"/>
  <c r="AW55" i="8" s="1"/>
  <c r="A16" i="8"/>
  <c r="B16" i="8"/>
  <c r="C16" i="8"/>
  <c r="M16" i="8" s="1"/>
  <c r="Y56" i="8" s="1"/>
  <c r="D16" i="8"/>
  <c r="N16" i="8" s="1"/>
  <c r="AC56" i="8" s="1"/>
  <c r="E16" i="8"/>
  <c r="O16" i="8" s="1"/>
  <c r="AG56" i="8" s="1"/>
  <c r="F16" i="8"/>
  <c r="P16" i="8" s="1"/>
  <c r="AK56" i="8" s="1"/>
  <c r="G16" i="8"/>
  <c r="Q16" i="8" s="1"/>
  <c r="AO56" i="8" s="1"/>
  <c r="H16" i="8"/>
  <c r="R16" i="8" s="1"/>
  <c r="AS56" i="8" s="1"/>
  <c r="AS38" i="8" s="1"/>
  <c r="I16" i="8"/>
  <c r="S16" i="8" s="1"/>
  <c r="AW56" i="8" s="1"/>
  <c r="A17" i="8"/>
  <c r="B17" i="8"/>
  <c r="C17" i="8"/>
  <c r="M17" i="8" s="1"/>
  <c r="Y57" i="8" s="1"/>
  <c r="D17" i="8"/>
  <c r="N17" i="8" s="1"/>
  <c r="AC57" i="8" s="1"/>
  <c r="E17" i="8"/>
  <c r="O17" i="8" s="1"/>
  <c r="F17" i="8"/>
  <c r="P17" i="8" s="1"/>
  <c r="AK57" i="8" s="1"/>
  <c r="G17" i="8"/>
  <c r="Q17" i="8" s="1"/>
  <c r="AO57" i="8" s="1"/>
  <c r="H17" i="8"/>
  <c r="R17" i="8" s="1"/>
  <c r="AS57" i="8" s="1"/>
  <c r="I17" i="8"/>
  <c r="S17" i="8" s="1"/>
  <c r="AW57" i="8" s="1"/>
  <c r="A18" i="8"/>
  <c r="B18" i="8"/>
  <c r="C18" i="8"/>
  <c r="M18" i="8" s="1"/>
  <c r="Y58" i="8" s="1"/>
  <c r="D18" i="8"/>
  <c r="N18" i="8" s="1"/>
  <c r="AC58" i="8" s="1"/>
  <c r="E18" i="8"/>
  <c r="O18" i="8" s="1"/>
  <c r="F18" i="8"/>
  <c r="P18" i="8" s="1"/>
  <c r="AK58" i="8" s="1"/>
  <c r="G18" i="8"/>
  <c r="Q18" i="8" s="1"/>
  <c r="AO58" i="8" s="1"/>
  <c r="H18" i="8"/>
  <c r="R18" i="8" s="1"/>
  <c r="AS58" i="8" s="1"/>
  <c r="I18" i="8"/>
  <c r="S18" i="8" s="1"/>
  <c r="AW58" i="8" s="1"/>
  <c r="A19" i="8"/>
  <c r="B19" i="8"/>
  <c r="C19" i="8"/>
  <c r="M19" i="8" s="1"/>
  <c r="Y59" i="8" s="1"/>
  <c r="D19" i="8"/>
  <c r="N19" i="8" s="1"/>
  <c r="AC59" i="8" s="1"/>
  <c r="E19" i="8"/>
  <c r="O19" i="8" s="1"/>
  <c r="F19" i="8"/>
  <c r="P19" i="8" s="1"/>
  <c r="AK59" i="8" s="1"/>
  <c r="G19" i="8"/>
  <c r="Q19" i="8" s="1"/>
  <c r="AO59" i="8" s="1"/>
  <c r="H19" i="8"/>
  <c r="R19" i="8" s="1"/>
  <c r="AS59" i="8" s="1"/>
  <c r="I19" i="8"/>
  <c r="S19" i="8" s="1"/>
  <c r="AW59" i="8" s="1"/>
  <c r="A20" i="8"/>
  <c r="B20" i="8"/>
  <c r="C20" i="8"/>
  <c r="M20" i="8" s="1"/>
  <c r="Y60" i="8" s="1"/>
  <c r="D20" i="8"/>
  <c r="N20" i="8" s="1"/>
  <c r="AC60" i="8" s="1"/>
  <c r="E20" i="8"/>
  <c r="O20" i="8" s="1"/>
  <c r="F20" i="8"/>
  <c r="P20" i="8" s="1"/>
  <c r="AK60" i="8" s="1"/>
  <c r="G20" i="8"/>
  <c r="Q20" i="8" s="1"/>
  <c r="AO60" i="8" s="1"/>
  <c r="H20" i="8"/>
  <c r="R20" i="8" s="1"/>
  <c r="AS60" i="8" s="1"/>
  <c r="I20" i="8"/>
  <c r="S20" i="8" s="1"/>
  <c r="AW60" i="8" s="1"/>
  <c r="A21" i="8"/>
  <c r="B21" i="8"/>
  <c r="C21" i="8"/>
  <c r="M21" i="8" s="1"/>
  <c r="Y61" i="8" s="1"/>
  <c r="D21" i="8"/>
  <c r="N21" i="8" s="1"/>
  <c r="AC61" i="8" s="1"/>
  <c r="E21" i="8"/>
  <c r="O21" i="8" s="1"/>
  <c r="AG61" i="8" s="1"/>
  <c r="F21" i="8"/>
  <c r="P21" i="8" s="1"/>
  <c r="AK61" i="8" s="1"/>
  <c r="G21" i="8"/>
  <c r="Q21" i="8" s="1"/>
  <c r="AO61" i="8" s="1"/>
  <c r="H21" i="8"/>
  <c r="R21" i="8" s="1"/>
  <c r="AS61" i="8" s="1"/>
  <c r="I21" i="8"/>
  <c r="S21" i="8" s="1"/>
  <c r="AW61" i="8" s="1"/>
  <c r="A22" i="8"/>
  <c r="B22" i="8"/>
  <c r="C22" i="8"/>
  <c r="M22" i="8" s="1"/>
  <c r="Y62" i="8" s="1"/>
  <c r="D22" i="8"/>
  <c r="N22" i="8" s="1"/>
  <c r="AC62" i="8" s="1"/>
  <c r="E22" i="8"/>
  <c r="O22" i="8" s="1"/>
  <c r="F22" i="8"/>
  <c r="P22" i="8" s="1"/>
  <c r="AK62" i="8" s="1"/>
  <c r="G22" i="8"/>
  <c r="Q22" i="8" s="1"/>
  <c r="AO62" i="8" s="1"/>
  <c r="H22" i="8"/>
  <c r="R22" i="8" s="1"/>
  <c r="AS62" i="8" s="1"/>
  <c r="I22" i="8"/>
  <c r="S22" i="8" s="1"/>
  <c r="AW62" i="8" s="1"/>
  <c r="A23" i="8"/>
  <c r="B23" i="8"/>
  <c r="C23" i="8"/>
  <c r="M23" i="8" s="1"/>
  <c r="Y63" i="8" s="1"/>
  <c r="D23" i="8"/>
  <c r="N23" i="8" s="1"/>
  <c r="AC63" i="8" s="1"/>
  <c r="E23" i="8"/>
  <c r="O23" i="8" s="1"/>
  <c r="F23" i="8"/>
  <c r="P23" i="8" s="1"/>
  <c r="AK63" i="8" s="1"/>
  <c r="G23" i="8"/>
  <c r="Q23" i="8" s="1"/>
  <c r="AO63" i="8" s="1"/>
  <c r="H23" i="8"/>
  <c r="R23" i="8" s="1"/>
  <c r="AS63" i="8" s="1"/>
  <c r="I23" i="8"/>
  <c r="S23" i="8" s="1"/>
  <c r="AW63" i="8" s="1"/>
  <c r="A24" i="8"/>
  <c r="B24" i="8"/>
  <c r="C24" i="8"/>
  <c r="M24" i="8" s="1"/>
  <c r="Y64" i="8" s="1"/>
  <c r="D24" i="8"/>
  <c r="N24" i="8" s="1"/>
  <c r="AC64" i="8" s="1"/>
  <c r="E24" i="8"/>
  <c r="O24" i="8" s="1"/>
  <c r="F24" i="8"/>
  <c r="P24" i="8" s="1"/>
  <c r="AK64" i="8" s="1"/>
  <c r="G24" i="8"/>
  <c r="Q24" i="8" s="1"/>
  <c r="AO64" i="8" s="1"/>
  <c r="H24" i="8"/>
  <c r="R24" i="8" s="1"/>
  <c r="AS64" i="8" s="1"/>
  <c r="I24" i="8"/>
  <c r="S24" i="8" s="1"/>
  <c r="AW64" i="8" s="1"/>
  <c r="A25" i="8"/>
  <c r="B25" i="8"/>
  <c r="C25" i="8"/>
  <c r="M25" i="8" s="1"/>
  <c r="Y65" i="8" s="1"/>
  <c r="D25" i="8"/>
  <c r="N25" i="8" s="1"/>
  <c r="AC65" i="8" s="1"/>
  <c r="E25" i="8"/>
  <c r="O25" i="8" s="1"/>
  <c r="AG65" i="8" s="1"/>
  <c r="F25" i="8"/>
  <c r="P25" i="8" s="1"/>
  <c r="AK65" i="8" s="1"/>
  <c r="G25" i="8"/>
  <c r="Q25" i="8" s="1"/>
  <c r="AO65" i="8" s="1"/>
  <c r="H25" i="8"/>
  <c r="R25" i="8" s="1"/>
  <c r="AS65" i="8" s="1"/>
  <c r="I25" i="8"/>
  <c r="S25" i="8" s="1"/>
  <c r="AW65" i="8" s="1"/>
  <c r="A26" i="8"/>
  <c r="B26" i="8"/>
  <c r="C26" i="8"/>
  <c r="M26" i="8" s="1"/>
  <c r="Y66" i="8" s="1"/>
  <c r="D26" i="8"/>
  <c r="N26" i="8" s="1"/>
  <c r="AC66" i="8" s="1"/>
  <c r="E26" i="8"/>
  <c r="O26" i="8" s="1"/>
  <c r="F26" i="8"/>
  <c r="P26" i="8" s="1"/>
  <c r="AK66" i="8" s="1"/>
  <c r="G26" i="8"/>
  <c r="Q26" i="8" s="1"/>
  <c r="AO66" i="8" s="1"/>
  <c r="H26" i="8"/>
  <c r="R26" i="8" s="1"/>
  <c r="AS66" i="8" s="1"/>
  <c r="I26" i="8"/>
  <c r="S26" i="8" s="1"/>
  <c r="AW66" i="8" s="1"/>
  <c r="A27" i="8"/>
  <c r="B27" i="8"/>
  <c r="C27" i="8"/>
  <c r="M27" i="8" s="1"/>
  <c r="Y67" i="8" s="1"/>
  <c r="D27" i="8"/>
  <c r="N27" i="8" s="1"/>
  <c r="AC67" i="8" s="1"/>
  <c r="E27" i="8"/>
  <c r="O27" i="8" s="1"/>
  <c r="F27" i="8"/>
  <c r="P27" i="8" s="1"/>
  <c r="AK67" i="8" s="1"/>
  <c r="G27" i="8"/>
  <c r="Q27" i="8" s="1"/>
  <c r="AO67" i="8" s="1"/>
  <c r="H27" i="8"/>
  <c r="R27" i="8" s="1"/>
  <c r="AS67" i="8" s="1"/>
  <c r="I27" i="8"/>
  <c r="S27" i="8" s="1"/>
  <c r="AW67" i="8" s="1"/>
  <c r="A28" i="8"/>
  <c r="B28" i="8"/>
  <c r="C28" i="8"/>
  <c r="M28" i="8" s="1"/>
  <c r="Y68" i="8" s="1"/>
  <c r="D28" i="8"/>
  <c r="N28" i="8" s="1"/>
  <c r="AC68" i="8" s="1"/>
  <c r="E28" i="8"/>
  <c r="O28" i="8" s="1"/>
  <c r="F28" i="8"/>
  <c r="P28" i="8" s="1"/>
  <c r="AK68" i="8" s="1"/>
  <c r="G28" i="8"/>
  <c r="Q28" i="8" s="1"/>
  <c r="AO68" i="8" s="1"/>
  <c r="H28" i="8"/>
  <c r="R28" i="8" s="1"/>
  <c r="AS68" i="8" s="1"/>
  <c r="I28" i="8"/>
  <c r="S28" i="8" s="1"/>
  <c r="AW68" i="8" s="1"/>
  <c r="A29" i="8"/>
  <c r="B29" i="8"/>
  <c r="C29" i="8"/>
  <c r="M29" i="8" s="1"/>
  <c r="Y69" i="8" s="1"/>
  <c r="D29" i="8"/>
  <c r="N29" i="8" s="1"/>
  <c r="AC69" i="8" s="1"/>
  <c r="E29" i="8"/>
  <c r="O29" i="8" s="1"/>
  <c r="AG69" i="8" s="1"/>
  <c r="F29" i="8"/>
  <c r="P29" i="8" s="1"/>
  <c r="AK69" i="8" s="1"/>
  <c r="G29" i="8"/>
  <c r="Q29" i="8" s="1"/>
  <c r="AO69" i="8" s="1"/>
  <c r="H29" i="8"/>
  <c r="R29" i="8" s="1"/>
  <c r="AS69" i="8" s="1"/>
  <c r="I29" i="8"/>
  <c r="S29" i="8" s="1"/>
  <c r="AW69" i="8" s="1"/>
  <c r="A30" i="8"/>
  <c r="B30" i="8"/>
  <c r="C30" i="8"/>
  <c r="M30" i="8" s="1"/>
  <c r="Y70" i="8" s="1"/>
  <c r="D30" i="8"/>
  <c r="N30" i="8" s="1"/>
  <c r="AC70" i="8" s="1"/>
  <c r="E30" i="8"/>
  <c r="O30" i="8" s="1"/>
  <c r="AG70" i="8" s="1"/>
  <c r="F30" i="8"/>
  <c r="P30" i="8" s="1"/>
  <c r="AK70" i="8" s="1"/>
  <c r="G30" i="8"/>
  <c r="Q30" i="8" s="1"/>
  <c r="AO70" i="8" s="1"/>
  <c r="H30" i="8"/>
  <c r="R30" i="8" s="1"/>
  <c r="AS70" i="8" s="1"/>
  <c r="I30" i="8"/>
  <c r="S30" i="8" s="1"/>
  <c r="AW70" i="8" s="1"/>
  <c r="A31" i="8"/>
  <c r="B31" i="8"/>
  <c r="C31" i="8"/>
  <c r="M31" i="8" s="1"/>
  <c r="Y71" i="8" s="1"/>
  <c r="D31" i="8"/>
  <c r="N31" i="8" s="1"/>
  <c r="AC71" i="8" s="1"/>
  <c r="E31" i="8"/>
  <c r="O31" i="8" s="1"/>
  <c r="F31" i="8"/>
  <c r="P31" i="8" s="1"/>
  <c r="AK71" i="8" s="1"/>
  <c r="G31" i="8"/>
  <c r="Q31" i="8" s="1"/>
  <c r="AO71" i="8" s="1"/>
  <c r="H31" i="8"/>
  <c r="R31" i="8" s="1"/>
  <c r="AS71" i="8" s="1"/>
  <c r="I31" i="8"/>
  <c r="S31" i="8" s="1"/>
  <c r="AW71" i="8" s="1"/>
  <c r="A32" i="8"/>
  <c r="B32" i="8"/>
  <c r="C32" i="8"/>
  <c r="M32" i="8" s="1"/>
  <c r="Y72" i="8" s="1"/>
  <c r="D32" i="8"/>
  <c r="N32" i="8" s="1"/>
  <c r="AC72" i="8" s="1"/>
  <c r="E32" i="8"/>
  <c r="O32" i="8" s="1"/>
  <c r="F32" i="8"/>
  <c r="P32" i="8" s="1"/>
  <c r="AK72" i="8" s="1"/>
  <c r="G32" i="8"/>
  <c r="Q32" i="8" s="1"/>
  <c r="AO72" i="8" s="1"/>
  <c r="H32" i="8"/>
  <c r="R32" i="8" s="1"/>
  <c r="AS72" i="8" s="1"/>
  <c r="I32" i="8"/>
  <c r="S32" i="8" s="1"/>
  <c r="AW72" i="8" s="1"/>
  <c r="A33" i="8"/>
  <c r="B33" i="8"/>
  <c r="C33" i="8"/>
  <c r="M33" i="8" s="1"/>
  <c r="Y73" i="8" s="1"/>
  <c r="D33" i="8"/>
  <c r="N33" i="8" s="1"/>
  <c r="AC73" i="8" s="1"/>
  <c r="E33" i="8"/>
  <c r="O33" i="8" s="1"/>
  <c r="AG73" i="8" s="1"/>
  <c r="F33" i="8"/>
  <c r="P33" i="8" s="1"/>
  <c r="AK73" i="8" s="1"/>
  <c r="G33" i="8"/>
  <c r="Q33" i="8" s="1"/>
  <c r="AO73" i="8" s="1"/>
  <c r="H33" i="8"/>
  <c r="R33" i="8" s="1"/>
  <c r="AS73" i="8" s="1"/>
  <c r="I33" i="8"/>
  <c r="S33" i="8" s="1"/>
  <c r="AW73" i="8" s="1"/>
  <c r="A34" i="8"/>
  <c r="B34" i="8"/>
  <c r="C34" i="8"/>
  <c r="M34" i="8" s="1"/>
  <c r="Y74" i="8" s="1"/>
  <c r="D34" i="8"/>
  <c r="N34" i="8" s="1"/>
  <c r="AC74" i="8" s="1"/>
  <c r="E34" i="8"/>
  <c r="O34" i="8" s="1"/>
  <c r="AG74" i="8" s="1"/>
  <c r="F34" i="8"/>
  <c r="P34" i="8" s="1"/>
  <c r="AK74" i="8" s="1"/>
  <c r="G34" i="8"/>
  <c r="Q34" i="8" s="1"/>
  <c r="AO74" i="8" s="1"/>
  <c r="H34" i="8"/>
  <c r="R34" i="8" s="1"/>
  <c r="AS74" i="8" s="1"/>
  <c r="I34" i="8"/>
  <c r="S34" i="8" s="1"/>
  <c r="AW74" i="8" s="1"/>
  <c r="A35" i="8"/>
  <c r="B35" i="8"/>
  <c r="C35" i="8"/>
  <c r="M35" i="8" s="1"/>
  <c r="Y75" i="8" s="1"/>
  <c r="D35" i="8"/>
  <c r="N35" i="8" s="1"/>
  <c r="AC75" i="8" s="1"/>
  <c r="E35" i="8"/>
  <c r="O35" i="8" s="1"/>
  <c r="F35" i="8"/>
  <c r="P35" i="8" s="1"/>
  <c r="AK75" i="8" s="1"/>
  <c r="G35" i="8"/>
  <c r="Q35" i="8" s="1"/>
  <c r="AO75" i="8" s="1"/>
  <c r="H35" i="8"/>
  <c r="R35" i="8" s="1"/>
  <c r="AS75" i="8" s="1"/>
  <c r="I35" i="8"/>
  <c r="S35" i="8" s="1"/>
  <c r="AW75" i="8" s="1"/>
  <c r="A36" i="8"/>
  <c r="B36" i="8"/>
  <c r="C36" i="8"/>
  <c r="M36" i="8" s="1"/>
  <c r="Y76" i="8" s="1"/>
  <c r="D36" i="8"/>
  <c r="N36" i="8" s="1"/>
  <c r="AC76" i="8" s="1"/>
  <c r="E36" i="8"/>
  <c r="O36" i="8" s="1"/>
  <c r="F36" i="8"/>
  <c r="P36" i="8" s="1"/>
  <c r="AK76" i="8" s="1"/>
  <c r="G36" i="8"/>
  <c r="Q36" i="8" s="1"/>
  <c r="AO76" i="8" s="1"/>
  <c r="H36" i="8"/>
  <c r="R36" i="8" s="1"/>
  <c r="AS76" i="8" s="1"/>
  <c r="I36" i="8"/>
  <c r="S36" i="8" s="1"/>
  <c r="AW76" i="8" s="1"/>
  <c r="A37" i="8"/>
  <c r="B37" i="8"/>
  <c r="C37" i="8"/>
  <c r="M37" i="8" s="1"/>
  <c r="Y77" i="8" s="1"/>
  <c r="D37" i="8"/>
  <c r="N37" i="8" s="1"/>
  <c r="AC77" i="8" s="1"/>
  <c r="E37" i="8"/>
  <c r="O37" i="8" s="1"/>
  <c r="AG77" i="8" s="1"/>
  <c r="F37" i="8"/>
  <c r="P37" i="8" s="1"/>
  <c r="AK77" i="8" s="1"/>
  <c r="G37" i="8"/>
  <c r="Q37" i="8" s="1"/>
  <c r="AO77" i="8" s="1"/>
  <c r="H37" i="8"/>
  <c r="R37" i="8" s="1"/>
  <c r="AS77" i="8" s="1"/>
  <c r="I37" i="8"/>
  <c r="S37" i="8" s="1"/>
  <c r="AW77" i="8" s="1"/>
  <c r="B3" i="8"/>
  <c r="C3" i="8"/>
  <c r="M3" i="8" s="1"/>
  <c r="Y43" i="8" s="1"/>
  <c r="D3" i="8"/>
  <c r="N3" i="8" s="1"/>
  <c r="AC43" i="8" s="1"/>
  <c r="E3" i="8"/>
  <c r="O3" i="8" s="1"/>
  <c r="AG43" i="8" s="1"/>
  <c r="AG38" i="8" s="1"/>
  <c r="F3" i="8"/>
  <c r="P3" i="8" s="1"/>
  <c r="AK43" i="8" s="1"/>
  <c r="G3" i="8"/>
  <c r="Q3" i="8" s="1"/>
  <c r="AO43" i="8" s="1"/>
  <c r="H3" i="8"/>
  <c r="I3" i="8"/>
  <c r="S3" i="8" s="1"/>
  <c r="AW43" i="8" s="1"/>
  <c r="A3" i="8"/>
  <c r="A6" i="11"/>
  <c r="B6" i="11" s="1"/>
  <c r="C6" i="11" s="1"/>
  <c r="AS44" i="8" l="1"/>
  <c r="AS50" i="8"/>
  <c r="AS49" i="8"/>
  <c r="AS51" i="8"/>
  <c r="AS48" i="8"/>
  <c r="AS55" i="8"/>
  <c r="Y38" i="8"/>
  <c r="V3" i="8"/>
  <c r="AD3" i="8" s="1"/>
  <c r="V50" i="8"/>
  <c r="V56" i="8"/>
  <c r="AH56" i="8" s="1"/>
  <c r="V22" i="8"/>
  <c r="V21" i="8"/>
  <c r="V12" i="8"/>
  <c r="V67" i="8"/>
  <c r="AL67" i="8" s="1"/>
  <c r="V7" i="8"/>
  <c r="V17" i="8"/>
  <c r="V43" i="8"/>
  <c r="V47" i="8"/>
  <c r="AH47" i="8" s="1"/>
  <c r="V66" i="8"/>
  <c r="AT66" i="8" s="1"/>
  <c r="V54" i="8"/>
  <c r="V38" i="8"/>
  <c r="V73" i="8"/>
  <c r="AX73" i="8" s="1"/>
  <c r="V48" i="8"/>
  <c r="AT48" i="8" s="1"/>
  <c r="V14" i="8"/>
  <c r="V13" i="8"/>
  <c r="V24" i="8"/>
  <c r="V51" i="8"/>
  <c r="V59" i="8"/>
  <c r="V6" i="8"/>
  <c r="V8" i="8"/>
  <c r="V62" i="8"/>
  <c r="Z62" i="8" s="1"/>
  <c r="V10" i="8"/>
  <c r="V20" i="8"/>
  <c r="V65" i="8"/>
  <c r="AD65" i="8" s="1"/>
  <c r="V40" i="8"/>
  <c r="V5" i="8"/>
  <c r="V4" i="8"/>
  <c r="V35" i="8"/>
  <c r="V75" i="8"/>
  <c r="AP75" i="8" s="1"/>
  <c r="V9" i="8"/>
  <c r="V39" i="8"/>
  <c r="V23" i="8"/>
  <c r="V58" i="8"/>
  <c r="AP58" i="8" s="1"/>
  <c r="V15" i="8"/>
  <c r="V68" i="8"/>
  <c r="Z68" i="8" s="1"/>
  <c r="V70" i="8"/>
  <c r="Z70" i="8" s="1"/>
  <c r="V26" i="8"/>
  <c r="V44" i="8"/>
  <c r="AT44" i="8" s="1"/>
  <c r="V72" i="8"/>
  <c r="V57" i="8"/>
  <c r="AP57" i="8" s="1"/>
  <c r="V32" i="8"/>
  <c r="V16" i="8"/>
  <c r="V74" i="8"/>
  <c r="AL74" i="8" s="1"/>
  <c r="V42" i="8"/>
  <c r="V25" i="8"/>
  <c r="V63" i="8"/>
  <c r="AL63" i="8" s="1"/>
  <c r="V55" i="8"/>
  <c r="V19" i="8"/>
  <c r="V71" i="8"/>
  <c r="AL71" i="8" s="1"/>
  <c r="V31" i="8"/>
  <c r="V77" i="8"/>
  <c r="Z77" i="8" s="1"/>
  <c r="V60" i="8"/>
  <c r="AP60" i="8" s="1"/>
  <c r="V53" i="8"/>
  <c r="AT53" i="8" s="1"/>
  <c r="V36" i="8"/>
  <c r="V64" i="8"/>
  <c r="V49" i="8"/>
  <c r="AT49" i="8" s="1"/>
  <c r="V11" i="8"/>
  <c r="V27" i="8"/>
  <c r="V34" i="8"/>
  <c r="V52" i="8"/>
  <c r="AT52" i="8" s="1"/>
  <c r="V46" i="8"/>
  <c r="AD46" i="8" s="1"/>
  <c r="V28" i="8"/>
  <c r="V29" i="8"/>
  <c r="V41" i="8"/>
  <c r="V76" i="8"/>
  <c r="AX76" i="8" s="1"/>
  <c r="V69" i="8"/>
  <c r="AT69" i="8" s="1"/>
  <c r="V18" i="8"/>
  <c r="V37" i="8"/>
  <c r="V33" i="8"/>
  <c r="V45" i="8"/>
  <c r="AT45" i="8" s="1"/>
  <c r="V30" i="8"/>
  <c r="V61" i="8"/>
  <c r="Z61" i="8" s="1"/>
  <c r="Z69" i="8"/>
  <c r="AS52" i="8"/>
  <c r="AW38" i="8"/>
  <c r="AS54" i="8"/>
  <c r="AS43" i="8"/>
  <c r="AC39" i="8"/>
  <c r="AS45" i="8"/>
  <c r="AO38" i="8"/>
  <c r="AK38" i="8"/>
  <c r="AS47" i="8"/>
  <c r="AS3" i="8"/>
  <c r="AW3" i="8"/>
  <c r="AO3" i="8"/>
  <c r="AP3" i="8" s="1"/>
  <c r="AK3" i="8"/>
  <c r="AG3" i="8"/>
  <c r="Y3" i="8"/>
  <c r="AC4" i="8"/>
  <c r="AG48" i="8"/>
  <c r="AL56" i="8"/>
  <c r="AX57" i="8"/>
  <c r="Z52" i="8"/>
  <c r="AG76" i="8"/>
  <c r="AH76" i="8" s="1"/>
  <c r="AG44" i="8"/>
  <c r="AX71" i="8"/>
  <c r="AT74" i="8"/>
  <c r="AL52" i="8"/>
  <c r="AX49" i="8"/>
  <c r="AG72" i="8"/>
  <c r="AH72" i="8" s="1"/>
  <c r="AD69" i="8"/>
  <c r="AT57" i="8"/>
  <c r="AL51" i="8"/>
  <c r="AG68" i="8"/>
  <c r="AH68" i="8" s="1"/>
  <c r="AT59" i="8"/>
  <c r="AP65" i="8"/>
  <c r="AG64" i="8"/>
  <c r="AH64" i="8" s="1"/>
  <c r="AG60" i="8"/>
  <c r="AL65" i="8"/>
  <c r="AD57" i="8"/>
  <c r="AD74" i="8"/>
  <c r="AX69" i="8"/>
  <c r="AT64" i="8"/>
  <c r="AG52" i="8"/>
  <c r="AD64" i="8"/>
  <c r="AD56" i="8"/>
  <c r="AD52" i="8"/>
  <c r="AH51" i="8"/>
  <c r="AL76" i="8"/>
  <c r="AL72" i="8"/>
  <c r="AL68" i="8"/>
  <c r="AL64" i="8"/>
  <c r="AT68" i="8"/>
  <c r="AX56" i="8"/>
  <c r="AD43" i="8"/>
  <c r="AG75" i="8"/>
  <c r="AG71" i="8"/>
  <c r="AG67" i="8"/>
  <c r="AH67" i="8" s="1"/>
  <c r="AG63" i="8"/>
  <c r="AH63" i="8" s="1"/>
  <c r="AG59" i="8"/>
  <c r="AH59" i="8" s="1"/>
  <c r="AG55" i="8"/>
  <c r="AH55" i="8" s="1"/>
  <c r="AL59" i="8"/>
  <c r="AL50" i="8"/>
  <c r="AP76" i="8"/>
  <c r="AP72" i="8"/>
  <c r="AP68" i="8"/>
  <c r="AP64" i="8"/>
  <c r="AX51" i="8"/>
  <c r="AD72" i="8"/>
  <c r="AD59" i="8"/>
  <c r="AD55" i="8"/>
  <c r="AD51" i="8"/>
  <c r="AD47" i="8"/>
  <c r="AH50" i="8"/>
  <c r="AL75" i="8"/>
  <c r="AT56" i="8"/>
  <c r="AT72" i="8"/>
  <c r="AT67" i="8"/>
  <c r="AX64" i="8"/>
  <c r="AD76" i="8"/>
  <c r="AD67" i="8"/>
  <c r="AH43" i="8"/>
  <c r="AG66" i="8"/>
  <c r="AH66" i="8" s="1"/>
  <c r="AG62" i="8"/>
  <c r="AG58" i="8"/>
  <c r="AH58" i="8" s="1"/>
  <c r="AG54" i="8"/>
  <c r="AH54" i="8" s="1"/>
  <c r="AL58" i="8"/>
  <c r="AL49" i="8"/>
  <c r="AP59" i="8"/>
  <c r="AX68" i="8"/>
  <c r="AX59" i="8"/>
  <c r="AX50" i="8"/>
  <c r="AD54" i="8"/>
  <c r="AD50" i="8"/>
  <c r="AH73" i="8"/>
  <c r="AH69" i="8"/>
  <c r="AH65" i="8"/>
  <c r="AL70" i="8"/>
  <c r="AT76" i="8"/>
  <c r="AX72" i="8"/>
  <c r="AX54" i="8"/>
  <c r="AD75" i="8"/>
  <c r="AD66" i="8"/>
  <c r="AG57" i="8"/>
  <c r="AG53" i="8"/>
  <c r="AL43" i="8"/>
  <c r="AD70" i="8"/>
  <c r="AL69" i="8"/>
  <c r="AP43" i="8"/>
  <c r="Z71" i="8"/>
  <c r="Z55" i="8"/>
  <c r="Z64" i="8"/>
  <c r="Z72" i="8"/>
  <c r="Z50" i="8"/>
  <c r="Z65" i="8"/>
  <c r="Z57" i="8"/>
  <c r="Z49" i="8"/>
  <c r="Z76" i="8"/>
  <c r="Z59" i="8"/>
  <c r="Z51" i="8"/>
  <c r="AX44" i="8" l="1"/>
  <c r="AP46" i="8"/>
  <c r="AD63" i="8"/>
  <c r="AT3" i="8"/>
  <c r="AX67" i="8"/>
  <c r="AT62" i="8"/>
  <c r="Z74" i="8"/>
  <c r="AX62" i="8"/>
  <c r="AL57" i="8"/>
  <c r="AX46" i="8"/>
  <c r="AH70" i="8"/>
  <c r="AD68" i="8"/>
  <c r="AP74" i="8"/>
  <c r="AP49" i="8"/>
  <c r="AT65" i="8"/>
  <c r="AH44" i="8"/>
  <c r="Z63" i="8"/>
  <c r="AH46" i="8"/>
  <c r="AL48" i="8"/>
  <c r="AP70" i="8"/>
  <c r="Z67" i="8"/>
  <c r="Z44" i="8"/>
  <c r="AL62" i="8"/>
  <c r="AH74" i="8"/>
  <c r="AX74" i="8"/>
  <c r="AT70" i="8"/>
  <c r="Z3" i="8"/>
  <c r="AX63" i="8"/>
  <c r="AX45" i="8"/>
  <c r="AX3" i="8"/>
  <c r="Z75" i="8"/>
  <c r="AD62" i="8"/>
  <c r="AP52" i="8"/>
  <c r="AX52" i="8"/>
  <c r="AP44" i="8"/>
  <c r="AH3" i="8"/>
  <c r="AT47" i="8"/>
  <c r="Z56" i="8"/>
  <c r="AH52" i="8"/>
  <c r="AH57" i="8"/>
  <c r="AH49" i="8"/>
  <c r="AH62" i="8"/>
  <c r="AP56" i="8"/>
  <c r="AX70" i="8"/>
  <c r="AD44" i="8"/>
  <c r="AD49" i="8"/>
  <c r="AP73" i="8"/>
  <c r="AL44" i="8"/>
  <c r="AL3" i="8"/>
  <c r="AT55" i="8"/>
  <c r="AT43" i="8"/>
  <c r="AD39" i="8"/>
  <c r="AL38" i="8"/>
  <c r="AH38" i="8"/>
  <c r="AX38" i="8"/>
  <c r="AP38" i="8"/>
  <c r="Z38" i="8"/>
  <c r="AT38" i="8"/>
  <c r="AD38" i="8"/>
  <c r="AH53" i="8"/>
  <c r="AT54" i="8"/>
  <c r="Z54" i="8"/>
  <c r="AD48" i="8"/>
  <c r="AD60" i="8"/>
  <c r="AT73" i="8"/>
  <c r="AX66" i="8"/>
  <c r="AX61" i="8"/>
  <c r="AT60" i="8"/>
  <c r="AT71" i="8"/>
  <c r="AX77" i="8"/>
  <c r="AD77" i="8"/>
  <c r="AP45" i="8"/>
  <c r="Z45" i="8"/>
  <c r="AD53" i="8"/>
  <c r="AP53" i="8"/>
  <c r="AH77" i="8"/>
  <c r="Z73" i="8"/>
  <c r="AX55" i="8"/>
  <c r="AX60" i="8"/>
  <c r="AX47" i="8"/>
  <c r="AP66" i="8"/>
  <c r="AP61" i="8"/>
  <c r="AX53" i="8"/>
  <c r="AP69" i="8"/>
  <c r="AL47" i="8"/>
  <c r="AT46" i="8"/>
  <c r="Z46" i="8"/>
  <c r="Z48" i="8"/>
  <c r="AP47" i="8"/>
  <c r="AL73" i="8"/>
  <c r="AX75" i="8"/>
  <c r="AO39" i="8"/>
  <c r="AP39" i="8" s="1"/>
  <c r="AK39" i="8"/>
  <c r="AL39" i="8" s="1"/>
  <c r="AG39" i="8"/>
  <c r="AH39" i="8" s="1"/>
  <c r="Y39" i="8"/>
  <c r="Z39" i="8" s="1"/>
  <c r="AS39" i="8"/>
  <c r="AT39" i="8" s="1"/>
  <c r="AW39" i="8"/>
  <c r="AX39" i="8" s="1"/>
  <c r="AC40" i="8"/>
  <c r="Z60" i="8"/>
  <c r="AD71" i="8"/>
  <c r="Z66" i="8"/>
  <c r="AD45" i="8"/>
  <c r="AL45" i="8"/>
  <c r="AT63" i="8"/>
  <c r="AH60" i="8"/>
  <c r="AT58" i="8"/>
  <c r="AP77" i="8"/>
  <c r="AT50" i="8"/>
  <c r="AP50" i="8"/>
  <c r="AD58" i="8"/>
  <c r="AL66" i="8"/>
  <c r="AT61" i="8"/>
  <c r="AX58" i="8"/>
  <c r="AL60" i="8"/>
  <c r="AL61" i="8"/>
  <c r="AH71" i="8"/>
  <c r="Z58" i="8"/>
  <c r="AP63" i="8"/>
  <c r="AP54" i="8"/>
  <c r="AH45" i="8"/>
  <c r="AP67" i="8"/>
  <c r="AL46" i="8"/>
  <c r="AD73" i="8"/>
  <c r="AT75" i="8"/>
  <c r="AX65" i="8"/>
  <c r="AT51" i="8"/>
  <c r="AP51" i="8"/>
  <c r="Z53" i="8"/>
  <c r="AH48" i="8"/>
  <c r="AD61" i="8"/>
  <c r="AX43" i="8"/>
  <c r="AP48" i="8"/>
  <c r="AL54" i="8"/>
  <c r="AL55" i="8"/>
  <c r="AT77" i="8"/>
  <c r="AL77" i="8"/>
  <c r="AH75" i="8"/>
  <c r="AL53" i="8"/>
  <c r="AP71" i="8"/>
  <c r="Z47" i="8"/>
  <c r="AP62" i="8"/>
  <c r="AH61" i="8"/>
  <c r="AX48" i="8"/>
  <c r="AP55" i="8"/>
  <c r="Z43" i="8"/>
  <c r="AS4" i="8"/>
  <c r="AT4" i="8" s="1"/>
  <c r="AC5" i="8"/>
  <c r="AW4" i="8"/>
  <c r="AX4" i="8" s="1"/>
  <c r="AG4" i="8"/>
  <c r="AH4" i="8" s="1"/>
  <c r="AO4" i="8"/>
  <c r="AP4" i="8" s="1"/>
  <c r="AK4" i="8"/>
  <c r="AL4" i="8" s="1"/>
  <c r="Y4" i="8"/>
  <c r="Z4" i="8" s="1"/>
  <c r="AD4" i="8"/>
  <c r="AC41" i="8" l="1"/>
  <c r="AW40" i="8"/>
  <c r="AX40" i="8" s="1"/>
  <c r="AK40" i="8"/>
  <c r="AL40" i="8" s="1"/>
  <c r="AG40" i="8"/>
  <c r="AH40" i="8" s="1"/>
  <c r="AS40" i="8"/>
  <c r="AT40" i="8" s="1"/>
  <c r="AO40" i="8"/>
  <c r="AP40" i="8" s="1"/>
  <c r="Y40" i="8"/>
  <c r="Z40" i="8" s="1"/>
  <c r="AD40" i="8"/>
  <c r="AC6" i="8"/>
  <c r="AS5" i="8"/>
  <c r="AT5" i="8" s="1"/>
  <c r="AW5" i="8"/>
  <c r="AX5" i="8" s="1"/>
  <c r="AO5" i="8"/>
  <c r="AP5" i="8" s="1"/>
  <c r="AK5" i="8"/>
  <c r="AL5" i="8" s="1"/>
  <c r="AG5" i="8"/>
  <c r="AH5" i="8" s="1"/>
  <c r="Y5" i="8"/>
  <c r="Z5" i="8" s="1"/>
  <c r="AD5" i="8"/>
  <c r="AW41" i="8" l="1"/>
  <c r="AX41" i="8" s="1"/>
  <c r="AO41" i="8"/>
  <c r="AP41" i="8" s="1"/>
  <c r="AK41" i="8"/>
  <c r="AL41" i="8" s="1"/>
  <c r="AG41" i="8"/>
  <c r="AH41" i="8" s="1"/>
  <c r="AS41" i="8"/>
  <c r="AT41" i="8" s="1"/>
  <c r="AC42" i="8"/>
  <c r="Y41" i="8"/>
  <c r="Z41" i="8" s="1"/>
  <c r="AD41" i="8"/>
  <c r="AC7" i="8"/>
  <c r="AO6" i="8"/>
  <c r="AP6" i="8" s="1"/>
  <c r="AS6" i="8"/>
  <c r="AT6" i="8" s="1"/>
  <c r="AW6" i="8"/>
  <c r="AX6" i="8" s="1"/>
  <c r="AK6" i="8"/>
  <c r="AL6" i="8" s="1"/>
  <c r="AG6" i="8"/>
  <c r="AH6" i="8" s="1"/>
  <c r="Y6" i="8"/>
  <c r="Z6" i="8" s="1"/>
  <c r="AD6" i="8"/>
  <c r="AW42" i="8" l="1"/>
  <c r="AX42" i="8" s="1"/>
  <c r="AO42" i="8"/>
  <c r="AP42" i="8" s="1"/>
  <c r="AK42" i="8"/>
  <c r="AL42" i="8" s="1"/>
  <c r="AG42" i="8"/>
  <c r="AH42" i="8" s="1"/>
  <c r="Y42" i="8"/>
  <c r="Z42" i="8" s="1"/>
  <c r="AS42" i="8"/>
  <c r="AT42" i="8" s="1"/>
  <c r="AD42" i="8"/>
  <c r="AC8" i="8"/>
  <c r="AW7" i="8"/>
  <c r="AX7" i="8" s="1"/>
  <c r="AO7" i="8"/>
  <c r="AP7" i="8" s="1"/>
  <c r="AK7" i="8"/>
  <c r="AL7" i="8" s="1"/>
  <c r="AG7" i="8"/>
  <c r="AH7" i="8" s="1"/>
  <c r="Y7" i="8"/>
  <c r="Z7" i="8" s="1"/>
  <c r="AS7" i="8"/>
  <c r="AT7" i="8" s="1"/>
  <c r="AD7" i="8"/>
  <c r="AC9" i="8" l="1"/>
  <c r="AW8" i="8"/>
  <c r="AX8" i="8" s="1"/>
  <c r="AO8" i="8"/>
  <c r="AP8" i="8" s="1"/>
  <c r="AK8" i="8"/>
  <c r="AL8" i="8" s="1"/>
  <c r="AG8" i="8"/>
  <c r="AH8" i="8" s="1"/>
  <c r="Y8" i="8"/>
  <c r="Z8" i="8" s="1"/>
  <c r="AS8" i="8"/>
  <c r="AT8" i="8" s="1"/>
  <c r="AD8" i="8"/>
  <c r="AC10" i="8" l="1"/>
  <c r="AW9" i="8"/>
  <c r="AX9" i="8" s="1"/>
  <c r="AO9" i="8"/>
  <c r="AP9" i="8" s="1"/>
  <c r="AK9" i="8"/>
  <c r="AL9" i="8" s="1"/>
  <c r="AG9" i="8"/>
  <c r="AH9" i="8" s="1"/>
  <c r="Y9" i="8"/>
  <c r="Z9" i="8" s="1"/>
  <c r="AS9" i="8"/>
  <c r="AT9" i="8" s="1"/>
  <c r="AD9" i="8"/>
  <c r="AC11" i="8" l="1"/>
  <c r="AW10" i="8"/>
  <c r="AX10" i="8" s="1"/>
  <c r="AO10" i="8"/>
  <c r="AP10" i="8" s="1"/>
  <c r="AK10" i="8"/>
  <c r="AL10" i="8" s="1"/>
  <c r="AG10" i="8"/>
  <c r="AH10" i="8" s="1"/>
  <c r="Y10" i="8"/>
  <c r="Z10" i="8" s="1"/>
  <c r="AS10" i="8"/>
  <c r="AT10" i="8" s="1"/>
  <c r="AD10" i="8"/>
  <c r="AC12" i="8" l="1"/>
  <c r="AS11" i="8"/>
  <c r="AT11" i="8" s="1"/>
  <c r="AW11" i="8"/>
  <c r="AX11" i="8" s="1"/>
  <c r="AO11" i="8"/>
  <c r="AP11" i="8" s="1"/>
  <c r="AK11" i="8"/>
  <c r="AL11" i="8" s="1"/>
  <c r="AG11" i="8"/>
  <c r="AH11" i="8" s="1"/>
  <c r="Y11" i="8"/>
  <c r="Z11" i="8" s="1"/>
  <c r="AD11" i="8"/>
  <c r="AC13" i="8" l="1"/>
  <c r="AS12" i="8"/>
  <c r="AT12" i="8" s="1"/>
  <c r="AO12" i="8"/>
  <c r="AP12" i="8" s="1"/>
  <c r="AK12" i="8"/>
  <c r="AL12" i="8" s="1"/>
  <c r="Y12" i="8"/>
  <c r="Z12" i="8" s="1"/>
  <c r="AW12" i="8"/>
  <c r="AX12" i="8" s="1"/>
  <c r="AG12" i="8"/>
  <c r="AH12" i="8" s="1"/>
  <c r="AD12" i="8"/>
  <c r="AC14" i="8" l="1"/>
  <c r="AS13" i="8"/>
  <c r="AT13" i="8" s="1"/>
  <c r="AW13" i="8"/>
  <c r="AX13" i="8" s="1"/>
  <c r="AO13" i="8"/>
  <c r="AP13" i="8" s="1"/>
  <c r="AK13" i="8"/>
  <c r="AL13" i="8" s="1"/>
  <c r="AG13" i="8"/>
  <c r="AH13" i="8" s="1"/>
  <c r="Y13" i="8"/>
  <c r="Z13" i="8" s="1"/>
  <c r="AD13" i="8"/>
  <c r="AC15" i="8" l="1"/>
  <c r="AW14" i="8"/>
  <c r="AX14" i="8" s="1"/>
  <c r="AK14" i="8"/>
  <c r="AL14" i="8" s="1"/>
  <c r="AS14" i="8"/>
  <c r="AT14" i="8" s="1"/>
  <c r="AO14" i="8"/>
  <c r="AP14" i="8" s="1"/>
  <c r="AG14" i="8"/>
  <c r="AH14" i="8" s="1"/>
  <c r="Y14" i="8"/>
  <c r="Z14" i="8" s="1"/>
  <c r="AD14" i="8"/>
  <c r="AC16" i="8" l="1"/>
  <c r="AW15" i="8"/>
  <c r="AX15" i="8" s="1"/>
  <c r="AO15" i="8"/>
  <c r="AP15" i="8" s="1"/>
  <c r="AK15" i="8"/>
  <c r="AL15" i="8" s="1"/>
  <c r="AG15" i="8"/>
  <c r="AH15" i="8" s="1"/>
  <c r="Y15" i="8"/>
  <c r="Z15" i="8" s="1"/>
  <c r="AS15" i="8"/>
  <c r="AT15" i="8" s="1"/>
  <c r="AD15" i="8"/>
  <c r="AC17" i="8" l="1"/>
  <c r="AW16" i="8"/>
  <c r="AX16" i="8" s="1"/>
  <c r="AO16" i="8"/>
  <c r="AP16" i="8" s="1"/>
  <c r="AK16" i="8"/>
  <c r="AL16" i="8" s="1"/>
  <c r="AG16" i="8"/>
  <c r="AH16" i="8" s="1"/>
  <c r="Y16" i="8"/>
  <c r="Z16" i="8" s="1"/>
  <c r="AS16" i="8"/>
  <c r="AT16" i="8" s="1"/>
  <c r="AD16" i="8"/>
  <c r="AC18" i="8" l="1"/>
  <c r="AW17" i="8"/>
  <c r="AX17" i="8" s="1"/>
  <c r="AO17" i="8"/>
  <c r="AP17" i="8" s="1"/>
  <c r="AK17" i="8"/>
  <c r="AL17" i="8" s="1"/>
  <c r="AG17" i="8"/>
  <c r="AH17" i="8" s="1"/>
  <c r="Y17" i="8"/>
  <c r="Z17" i="8" s="1"/>
  <c r="AS17" i="8"/>
  <c r="AT17" i="8" s="1"/>
  <c r="AD17" i="8"/>
  <c r="AC19" i="8" l="1"/>
  <c r="AW18" i="8"/>
  <c r="AX18" i="8" s="1"/>
  <c r="AO18" i="8"/>
  <c r="AP18" i="8" s="1"/>
  <c r="AK18" i="8"/>
  <c r="AL18" i="8" s="1"/>
  <c r="AG18" i="8"/>
  <c r="AH18" i="8" s="1"/>
  <c r="Y18" i="8"/>
  <c r="Z18" i="8" s="1"/>
  <c r="AS18" i="8"/>
  <c r="AT18" i="8" s="1"/>
  <c r="AD18" i="8"/>
  <c r="AC20" i="8" l="1"/>
  <c r="AS19" i="8"/>
  <c r="AT19" i="8" s="1"/>
  <c r="AW19" i="8"/>
  <c r="AX19" i="8" s="1"/>
  <c r="AO19" i="8"/>
  <c r="AP19" i="8" s="1"/>
  <c r="AK19" i="8"/>
  <c r="AL19" i="8" s="1"/>
  <c r="AG19" i="8"/>
  <c r="AH19" i="8" s="1"/>
  <c r="Y19" i="8"/>
  <c r="Z19" i="8" s="1"/>
  <c r="AD19" i="8"/>
  <c r="AC21" i="8" l="1"/>
  <c r="AS20" i="8"/>
  <c r="AT20" i="8" s="1"/>
  <c r="AW20" i="8"/>
  <c r="AX20" i="8" s="1"/>
  <c r="AG20" i="8"/>
  <c r="AH20" i="8" s="1"/>
  <c r="AO20" i="8"/>
  <c r="AP20" i="8" s="1"/>
  <c r="AK20" i="8"/>
  <c r="AL20" i="8" s="1"/>
  <c r="Y20" i="8"/>
  <c r="Z20" i="8" s="1"/>
  <c r="AD20" i="8"/>
  <c r="AC22" i="8" l="1"/>
  <c r="AS21" i="8"/>
  <c r="AT21" i="8" s="1"/>
  <c r="Y21" i="8"/>
  <c r="Z21" i="8" s="1"/>
  <c r="AW21" i="8"/>
  <c r="AX21" i="8" s="1"/>
  <c r="AO21" i="8"/>
  <c r="AP21" i="8" s="1"/>
  <c r="AK21" i="8"/>
  <c r="AL21" i="8" s="1"/>
  <c r="AG21" i="8"/>
  <c r="AH21" i="8" s="1"/>
  <c r="AD21" i="8"/>
  <c r="AC23" i="8" l="1"/>
  <c r="AO22" i="8"/>
  <c r="AP22" i="8" s="1"/>
  <c r="AS22" i="8"/>
  <c r="AT22" i="8" s="1"/>
  <c r="AW22" i="8"/>
  <c r="AX22" i="8" s="1"/>
  <c r="Y22" i="8"/>
  <c r="Z22" i="8" s="1"/>
  <c r="AG22" i="8"/>
  <c r="AH22" i="8" s="1"/>
  <c r="AK22" i="8"/>
  <c r="AL22" i="8" s="1"/>
  <c r="AD22" i="8"/>
  <c r="AC24" i="8" l="1"/>
  <c r="AW23" i="8"/>
  <c r="AX23" i="8" s="1"/>
  <c r="AO23" i="8"/>
  <c r="AP23" i="8" s="1"/>
  <c r="AK23" i="8"/>
  <c r="AL23" i="8" s="1"/>
  <c r="AG23" i="8"/>
  <c r="AH23" i="8" s="1"/>
  <c r="Y23" i="8"/>
  <c r="Z23" i="8" s="1"/>
  <c r="AS23" i="8"/>
  <c r="AT23" i="8" s="1"/>
  <c r="AD23" i="8"/>
  <c r="AC25" i="8" l="1"/>
  <c r="AW24" i="8"/>
  <c r="AX24" i="8" s="1"/>
  <c r="AO24" i="8"/>
  <c r="AP24" i="8" s="1"/>
  <c r="AK24" i="8"/>
  <c r="AL24" i="8" s="1"/>
  <c r="AG24" i="8"/>
  <c r="AH24" i="8" s="1"/>
  <c r="Y24" i="8"/>
  <c r="Z24" i="8" s="1"/>
  <c r="AS24" i="8"/>
  <c r="AT24" i="8" s="1"/>
  <c r="AD24" i="8"/>
  <c r="AC26" i="8" l="1"/>
  <c r="AW25" i="8"/>
  <c r="AX25" i="8" s="1"/>
  <c r="AO25" i="8"/>
  <c r="AP25" i="8" s="1"/>
  <c r="AK25" i="8"/>
  <c r="AL25" i="8" s="1"/>
  <c r="AG25" i="8"/>
  <c r="AH25" i="8" s="1"/>
  <c r="Y25" i="8"/>
  <c r="Z25" i="8" s="1"/>
  <c r="AS25" i="8"/>
  <c r="AT25" i="8" s="1"/>
  <c r="AD25" i="8"/>
  <c r="AC27" i="8" l="1"/>
  <c r="AW26" i="8"/>
  <c r="AX26" i="8" s="1"/>
  <c r="AO26" i="8"/>
  <c r="AP26" i="8" s="1"/>
  <c r="AK26" i="8"/>
  <c r="AL26" i="8" s="1"/>
  <c r="AG26" i="8"/>
  <c r="AH26" i="8" s="1"/>
  <c r="Y26" i="8"/>
  <c r="Z26" i="8" s="1"/>
  <c r="AS26" i="8"/>
  <c r="AT26" i="8" s="1"/>
  <c r="AD26" i="8"/>
  <c r="AC28" i="8" l="1"/>
  <c r="AS27" i="8"/>
  <c r="AT27" i="8" s="1"/>
  <c r="AW27" i="8"/>
  <c r="AX27" i="8" s="1"/>
  <c r="AO27" i="8"/>
  <c r="AP27" i="8" s="1"/>
  <c r="AK27" i="8"/>
  <c r="AL27" i="8" s="1"/>
  <c r="AG27" i="8"/>
  <c r="AH27" i="8" s="1"/>
  <c r="Y27" i="8"/>
  <c r="Z27" i="8" s="1"/>
  <c r="AD27" i="8"/>
  <c r="AC29" i="8" l="1"/>
  <c r="AS28" i="8"/>
  <c r="AT28" i="8" s="1"/>
  <c r="AO28" i="8"/>
  <c r="AP28" i="8" s="1"/>
  <c r="AK28" i="8"/>
  <c r="AL28" i="8" s="1"/>
  <c r="Y28" i="8"/>
  <c r="Z28" i="8" s="1"/>
  <c r="AW28" i="8"/>
  <c r="AX28" i="8" s="1"/>
  <c r="AG28" i="8"/>
  <c r="AH28" i="8" s="1"/>
  <c r="AD28" i="8"/>
  <c r="AC30" i="8" l="1"/>
  <c r="AS29" i="8"/>
  <c r="AT29" i="8" s="1"/>
  <c r="AW29" i="8"/>
  <c r="AX29" i="8" s="1"/>
  <c r="AO29" i="8"/>
  <c r="AP29" i="8" s="1"/>
  <c r="AK29" i="8"/>
  <c r="AL29" i="8" s="1"/>
  <c r="AG29" i="8"/>
  <c r="AH29" i="8" s="1"/>
  <c r="Y29" i="8"/>
  <c r="Z29" i="8" s="1"/>
  <c r="AD29" i="8"/>
  <c r="AC31" i="8" l="1"/>
  <c r="AW30" i="8"/>
  <c r="AX30" i="8" s="1"/>
  <c r="AS30" i="8"/>
  <c r="AT30" i="8" s="1"/>
  <c r="AO30" i="8"/>
  <c r="AP30" i="8" s="1"/>
  <c r="Y30" i="8"/>
  <c r="Z30" i="8" s="1"/>
  <c r="AK30" i="8"/>
  <c r="AL30" i="8" s="1"/>
  <c r="AG30" i="8"/>
  <c r="AH30" i="8" s="1"/>
  <c r="AD30" i="8"/>
  <c r="AC32" i="8" l="1"/>
  <c r="AW31" i="8"/>
  <c r="AX31" i="8" s="1"/>
  <c r="AO31" i="8"/>
  <c r="AP31" i="8" s="1"/>
  <c r="AK31" i="8"/>
  <c r="AL31" i="8" s="1"/>
  <c r="AG31" i="8"/>
  <c r="AH31" i="8" s="1"/>
  <c r="Y31" i="8"/>
  <c r="Z31" i="8" s="1"/>
  <c r="AS31" i="8"/>
  <c r="AT31" i="8" s="1"/>
  <c r="AD31" i="8"/>
  <c r="AC33" i="8" l="1"/>
  <c r="AW32" i="8"/>
  <c r="AX32" i="8" s="1"/>
  <c r="AO32" i="8"/>
  <c r="AP32" i="8" s="1"/>
  <c r="AK32" i="8"/>
  <c r="AL32" i="8" s="1"/>
  <c r="AG32" i="8"/>
  <c r="AH32" i="8" s="1"/>
  <c r="Y32" i="8"/>
  <c r="Z32" i="8" s="1"/>
  <c r="AS32" i="8"/>
  <c r="AT32" i="8" s="1"/>
  <c r="AD32" i="8"/>
  <c r="AC34" i="8" l="1"/>
  <c r="AW33" i="8"/>
  <c r="AX33" i="8" s="1"/>
  <c r="AO33" i="8"/>
  <c r="AP33" i="8" s="1"/>
  <c r="AK33" i="8"/>
  <c r="AL33" i="8" s="1"/>
  <c r="AG33" i="8"/>
  <c r="AH33" i="8" s="1"/>
  <c r="Y33" i="8"/>
  <c r="Z33" i="8" s="1"/>
  <c r="AS33" i="8"/>
  <c r="AT33" i="8" s="1"/>
  <c r="AD33" i="8"/>
  <c r="AC35" i="8" l="1"/>
  <c r="AW34" i="8"/>
  <c r="AX34" i="8" s="1"/>
  <c r="AO34" i="8"/>
  <c r="AP34" i="8" s="1"/>
  <c r="AK34" i="8"/>
  <c r="AL34" i="8" s="1"/>
  <c r="AG34" i="8"/>
  <c r="AH34" i="8" s="1"/>
  <c r="Y34" i="8"/>
  <c r="Z34" i="8" s="1"/>
  <c r="AS34" i="8"/>
  <c r="AT34" i="8" s="1"/>
  <c r="AD34" i="8"/>
  <c r="AC36" i="8" l="1"/>
  <c r="AS35" i="8"/>
  <c r="AT35" i="8" s="1"/>
  <c r="AW35" i="8"/>
  <c r="AX35" i="8" s="1"/>
  <c r="AO35" i="8"/>
  <c r="AP35" i="8" s="1"/>
  <c r="AK35" i="8"/>
  <c r="AL35" i="8" s="1"/>
  <c r="AG35" i="8"/>
  <c r="AH35" i="8" s="1"/>
  <c r="Y35" i="8"/>
  <c r="Z35" i="8" s="1"/>
  <c r="AD35" i="8"/>
  <c r="AC37" i="8" l="1"/>
  <c r="AS36" i="8"/>
  <c r="AT36" i="8" s="1"/>
  <c r="AW36" i="8"/>
  <c r="AX36" i="8" s="1"/>
  <c r="AG36" i="8"/>
  <c r="AH36" i="8" s="1"/>
  <c r="Y36" i="8"/>
  <c r="Z36" i="8" s="1"/>
  <c r="AO36" i="8"/>
  <c r="AP36" i="8" s="1"/>
  <c r="AK36" i="8"/>
  <c r="AL36" i="8" s="1"/>
  <c r="AD36" i="8"/>
  <c r="AS37" i="8" l="1"/>
  <c r="AT37" i="8" s="1"/>
  <c r="AW37" i="8"/>
  <c r="AX37" i="8" s="1"/>
  <c r="AO37" i="8"/>
  <c r="AP37" i="8" s="1"/>
  <c r="AK37" i="8"/>
  <c r="AL37" i="8" s="1"/>
  <c r="AG37" i="8"/>
  <c r="AH37" i="8" s="1"/>
  <c r="Y37" i="8"/>
  <c r="Z37" i="8" s="1"/>
  <c r="AD37" i="8"/>
  <c r="H5" i="26" l="1" a="1"/>
  <c r="H8" i="26" a="1"/>
  <c r="H3" i="26" a="1"/>
  <c r="H4" i="26" a="1"/>
  <c r="H10" i="26" a="1"/>
  <c r="H6" i="26" a="1"/>
  <c r="H7" i="26" a="1"/>
  <c r="H9" i="26" a="1"/>
  <c r="BH9" i="26" l="1"/>
  <c r="AZ9" i="26"/>
  <c r="AR9" i="26"/>
  <c r="AJ9" i="26"/>
  <c r="AB9" i="26"/>
  <c r="T9" i="26"/>
  <c r="L9" i="26"/>
  <c r="BO9" i="26"/>
  <c r="BG9" i="26"/>
  <c r="AY9" i="26"/>
  <c r="AQ9" i="26"/>
  <c r="AI9" i="26"/>
  <c r="AA9" i="26"/>
  <c r="S9" i="26"/>
  <c r="K9" i="26"/>
  <c r="BN9" i="26"/>
  <c r="BF9" i="26"/>
  <c r="AX9" i="26"/>
  <c r="AP9" i="26"/>
  <c r="AH9" i="26"/>
  <c r="Z9" i="26"/>
  <c r="R9" i="26"/>
  <c r="J9" i="26"/>
  <c r="BM9" i="26"/>
  <c r="BE9" i="26"/>
  <c r="AW9" i="26"/>
  <c r="AO9" i="26"/>
  <c r="AG9" i="26"/>
  <c r="Y9" i="26"/>
  <c r="Q9" i="26"/>
  <c r="I9" i="26"/>
  <c r="BL9" i="26"/>
  <c r="BD9" i="26"/>
  <c r="AV9" i="26"/>
  <c r="AN9" i="26"/>
  <c r="AF9" i="26"/>
  <c r="X9" i="26"/>
  <c r="P9" i="26"/>
  <c r="H9" i="26"/>
  <c r="BK9" i="26"/>
  <c r="BC9" i="26"/>
  <c r="AU9" i="26"/>
  <c r="AM9" i="26"/>
  <c r="AE9" i="26"/>
  <c r="W9" i="26"/>
  <c r="O9" i="26"/>
  <c r="BJ9" i="26"/>
  <c r="AD9" i="26"/>
  <c r="AC9" i="26"/>
  <c r="BB9" i="26"/>
  <c r="U9" i="26"/>
  <c r="AT9" i="26"/>
  <c r="N9" i="26"/>
  <c r="AS9" i="26"/>
  <c r="M9" i="26"/>
  <c r="BI9" i="26"/>
  <c r="V9" i="26"/>
  <c r="BA9" i="26"/>
  <c r="AL9" i="26"/>
  <c r="AK9" i="26"/>
  <c r="BJ7" i="26"/>
  <c r="BB7" i="26"/>
  <c r="AT7" i="26"/>
  <c r="AL7" i="26"/>
  <c r="AD7" i="26"/>
  <c r="V7" i="26"/>
  <c r="N7" i="26"/>
  <c r="BI7" i="26"/>
  <c r="BA7" i="26"/>
  <c r="AS7" i="26"/>
  <c r="AK7" i="26"/>
  <c r="AC7" i="26"/>
  <c r="U7" i="26"/>
  <c r="M7" i="26"/>
  <c r="BH7" i="26"/>
  <c r="AZ7" i="26"/>
  <c r="AR7" i="26"/>
  <c r="AJ7" i="26"/>
  <c r="AB7" i="26"/>
  <c r="T7" i="26"/>
  <c r="L7" i="26"/>
  <c r="BO7" i="26"/>
  <c r="BG7" i="26"/>
  <c r="AY7" i="26"/>
  <c r="AQ7" i="26"/>
  <c r="AI7" i="26"/>
  <c r="AA7" i="26"/>
  <c r="S7" i="26"/>
  <c r="K7" i="26"/>
  <c r="BN7" i="26"/>
  <c r="BF7" i="26"/>
  <c r="AX7" i="26"/>
  <c r="AP7" i="26"/>
  <c r="AH7" i="26"/>
  <c r="Z7" i="26"/>
  <c r="R7" i="26"/>
  <c r="J7" i="26"/>
  <c r="BM7" i="26"/>
  <c r="BE7" i="26"/>
  <c r="AW7" i="26"/>
  <c r="AO7" i="26"/>
  <c r="AG7" i="26"/>
  <c r="Y7" i="26"/>
  <c r="Q7" i="26"/>
  <c r="I7" i="26"/>
  <c r="BD7" i="26"/>
  <c r="X7" i="26"/>
  <c r="BC7" i="26"/>
  <c r="W7" i="26"/>
  <c r="P7" i="26"/>
  <c r="AU7" i="26"/>
  <c r="AN7" i="26"/>
  <c r="H7" i="26"/>
  <c r="AM7" i="26"/>
  <c r="AV7" i="26"/>
  <c r="O7" i="26"/>
  <c r="BL7" i="26"/>
  <c r="AF7" i="26"/>
  <c r="BK7" i="26"/>
  <c r="AE7" i="26"/>
  <c r="BN3" i="26"/>
  <c r="BF3" i="26"/>
  <c r="AX3" i="26"/>
  <c r="AP3" i="26"/>
  <c r="AH3" i="26"/>
  <c r="Z3" i="26"/>
  <c r="R3" i="26"/>
  <c r="J3" i="26"/>
  <c r="BL3" i="26"/>
  <c r="BD3" i="26"/>
  <c r="AV3" i="26"/>
  <c r="BM3" i="26"/>
  <c r="BE3" i="26"/>
  <c r="AW3" i="26"/>
  <c r="AO3" i="26"/>
  <c r="AG3" i="26"/>
  <c r="Y3" i="26"/>
  <c r="Q3" i="26"/>
  <c r="I3" i="26"/>
  <c r="BK3" i="26"/>
  <c r="BC3" i="26"/>
  <c r="AU3" i="26"/>
  <c r="AM3" i="26"/>
  <c r="AE3" i="26"/>
  <c r="W3" i="26"/>
  <c r="O3" i="26"/>
  <c r="BJ3" i="26"/>
  <c r="BB3" i="26"/>
  <c r="AT3" i="26"/>
  <c r="AL3" i="26"/>
  <c r="AD3" i="26"/>
  <c r="V3" i="26"/>
  <c r="N3" i="26"/>
  <c r="BA3" i="26"/>
  <c r="AS3" i="26"/>
  <c r="AC3" i="26"/>
  <c r="M3" i="26"/>
  <c r="BI3" i="26"/>
  <c r="AK3" i="26"/>
  <c r="U3" i="26"/>
  <c r="AY3" i="26"/>
  <c r="AA3" i="26"/>
  <c r="X3" i="26"/>
  <c r="T3" i="26"/>
  <c r="AN3" i="26"/>
  <c r="S3" i="26"/>
  <c r="BO3" i="26"/>
  <c r="AJ3" i="26"/>
  <c r="P3" i="26"/>
  <c r="H3" i="26"/>
  <c r="AR3" i="26"/>
  <c r="AQ3" i="26"/>
  <c r="BH3" i="26"/>
  <c r="AI3" i="26"/>
  <c r="L3" i="26"/>
  <c r="BG3" i="26"/>
  <c r="AF3" i="26"/>
  <c r="K3" i="26"/>
  <c r="AZ3" i="26"/>
  <c r="AB3" i="26"/>
  <c r="BM8" i="26"/>
  <c r="BE8" i="26"/>
  <c r="AW8" i="26"/>
  <c r="AO8" i="26"/>
  <c r="AG8" i="26"/>
  <c r="Y8" i="26"/>
  <c r="Q8" i="26"/>
  <c r="I8" i="26"/>
  <c r="BL8" i="26"/>
  <c r="BD8" i="26"/>
  <c r="AV8" i="26"/>
  <c r="AN8" i="26"/>
  <c r="AF8" i="26"/>
  <c r="X8" i="26"/>
  <c r="P8" i="26"/>
  <c r="H8" i="26"/>
  <c r="BK8" i="26"/>
  <c r="BC8" i="26"/>
  <c r="AU8" i="26"/>
  <c r="AM8" i="26"/>
  <c r="AE8" i="26"/>
  <c r="W8" i="26"/>
  <c r="O8" i="26"/>
  <c r="BJ8" i="26"/>
  <c r="BB8" i="26"/>
  <c r="AT8" i="26"/>
  <c r="AL8" i="26"/>
  <c r="AD8" i="26"/>
  <c r="V8" i="26"/>
  <c r="N8" i="26"/>
  <c r="BI8" i="26"/>
  <c r="BA8" i="26"/>
  <c r="AS8" i="26"/>
  <c r="AK8" i="26"/>
  <c r="AC8" i="26"/>
  <c r="U8" i="26"/>
  <c r="M8" i="26"/>
  <c r="BH8" i="26"/>
  <c r="AZ8" i="26"/>
  <c r="AR8" i="26"/>
  <c r="AJ8" i="26"/>
  <c r="AB8" i="26"/>
  <c r="T8" i="26"/>
  <c r="L8" i="26"/>
  <c r="BG8" i="26"/>
  <c r="AA8" i="26"/>
  <c r="BF8" i="26"/>
  <c r="AY8" i="26"/>
  <c r="S8" i="26"/>
  <c r="AQ8" i="26"/>
  <c r="K8" i="26"/>
  <c r="AP8" i="26"/>
  <c r="J8" i="26"/>
  <c r="Z8" i="26"/>
  <c r="AX8" i="26"/>
  <c r="R8" i="26"/>
  <c r="BO8" i="26"/>
  <c r="AI8" i="26"/>
  <c r="BN8" i="26"/>
  <c r="AH8" i="26"/>
  <c r="BO6" i="26"/>
  <c r="BG6" i="26"/>
  <c r="AY6" i="26"/>
  <c r="AQ6" i="26"/>
  <c r="AI6" i="26"/>
  <c r="AA6" i="26"/>
  <c r="S6" i="26"/>
  <c r="K6" i="26"/>
  <c r="AW6" i="26"/>
  <c r="I6" i="26"/>
  <c r="BN6" i="26"/>
  <c r="BF6" i="26"/>
  <c r="AX6" i="26"/>
  <c r="AP6" i="26"/>
  <c r="AH6" i="26"/>
  <c r="Z6" i="26"/>
  <c r="R6" i="26"/>
  <c r="J6" i="26"/>
  <c r="BM6" i="26"/>
  <c r="BE6" i="26"/>
  <c r="AO6" i="26"/>
  <c r="AG6" i="26"/>
  <c r="Y6" i="26"/>
  <c r="Q6" i="26"/>
  <c r="BL6" i="26"/>
  <c r="BD6" i="26"/>
  <c r="AV6" i="26"/>
  <c r="AN6" i="26"/>
  <c r="AF6" i="26"/>
  <c r="X6" i="26"/>
  <c r="P6" i="26"/>
  <c r="H6" i="26"/>
  <c r="BK6" i="26"/>
  <c r="BC6" i="26"/>
  <c r="AU6" i="26"/>
  <c r="AM6" i="26"/>
  <c r="AE6" i="26"/>
  <c r="W6" i="26"/>
  <c r="O6" i="26"/>
  <c r="BJ6" i="26"/>
  <c r="BB6" i="26"/>
  <c r="AT6" i="26"/>
  <c r="AL6" i="26"/>
  <c r="AD6" i="26"/>
  <c r="V6" i="26"/>
  <c r="N6" i="26"/>
  <c r="BA6" i="26"/>
  <c r="U6" i="26"/>
  <c r="T6" i="26"/>
  <c r="M6" i="26"/>
  <c r="AR6" i="26"/>
  <c r="AK6" i="26"/>
  <c r="AZ6" i="26"/>
  <c r="AS6" i="26"/>
  <c r="L6" i="26"/>
  <c r="AJ6" i="26"/>
  <c r="BI6" i="26"/>
  <c r="AC6" i="26"/>
  <c r="BH6" i="26"/>
  <c r="AB6" i="26"/>
  <c r="BK10" i="26"/>
  <c r="BC10" i="26"/>
  <c r="AU10" i="26"/>
  <c r="AM10" i="26"/>
  <c r="AE10" i="26"/>
  <c r="W10" i="26"/>
  <c r="O10" i="26"/>
  <c r="BJ10" i="26"/>
  <c r="BB10" i="26"/>
  <c r="AT10" i="26"/>
  <c r="AL10" i="26"/>
  <c r="AD10" i="26"/>
  <c r="V10" i="26"/>
  <c r="N10" i="26"/>
  <c r="BI10" i="26"/>
  <c r="BA10" i="26"/>
  <c r="AS10" i="26"/>
  <c r="AK10" i="26"/>
  <c r="AC10" i="26"/>
  <c r="U10" i="26"/>
  <c r="M10" i="26"/>
  <c r="BH10" i="26"/>
  <c r="AZ10" i="26"/>
  <c r="AR10" i="26"/>
  <c r="AJ10" i="26"/>
  <c r="AB10" i="26"/>
  <c r="T10" i="26"/>
  <c r="L10" i="26"/>
  <c r="BO10" i="26"/>
  <c r="BG10" i="26"/>
  <c r="AY10" i="26"/>
  <c r="AQ10" i="26"/>
  <c r="AI10" i="26"/>
  <c r="AA10" i="26"/>
  <c r="S10" i="26"/>
  <c r="K10" i="26"/>
  <c r="BN10" i="26"/>
  <c r="BF10" i="26"/>
  <c r="AX10" i="26"/>
  <c r="AP10" i="26"/>
  <c r="AH10" i="26"/>
  <c r="Z10" i="26"/>
  <c r="R10" i="26"/>
  <c r="J10" i="26"/>
  <c r="BM10" i="26"/>
  <c r="AG10" i="26"/>
  <c r="BL10" i="26"/>
  <c r="AF10" i="26"/>
  <c r="BE10" i="26"/>
  <c r="Y10" i="26"/>
  <c r="AW10" i="26"/>
  <c r="Q10" i="26"/>
  <c r="AV10" i="26"/>
  <c r="P10" i="26"/>
  <c r="BD10" i="26"/>
  <c r="X10" i="26"/>
  <c r="AO10" i="26"/>
  <c r="I10" i="26"/>
  <c r="AN10" i="26"/>
  <c r="H10" i="26"/>
  <c r="BI4" i="26"/>
  <c r="BA4" i="26"/>
  <c r="AS4" i="26"/>
  <c r="AK4" i="26"/>
  <c r="AC4" i="26"/>
  <c r="U4" i="26"/>
  <c r="M4" i="26"/>
  <c r="BO4" i="26"/>
  <c r="BG4" i="26"/>
  <c r="AY4" i="26"/>
  <c r="AQ4" i="26"/>
  <c r="AI4" i="26"/>
  <c r="AA4" i="26"/>
  <c r="S4" i="26"/>
  <c r="K4" i="26"/>
  <c r="BH4" i="26"/>
  <c r="AZ4" i="26"/>
  <c r="AR4" i="26"/>
  <c r="AJ4" i="26"/>
  <c r="AB4" i="26"/>
  <c r="T4" i="26"/>
  <c r="L4" i="26"/>
  <c r="BN4" i="26"/>
  <c r="BF4" i="26"/>
  <c r="AX4" i="26"/>
  <c r="AP4" i="26"/>
  <c r="AH4" i="26"/>
  <c r="Z4" i="26"/>
  <c r="R4" i="26"/>
  <c r="J4" i="26"/>
  <c r="BM4" i="26"/>
  <c r="BE4" i="26"/>
  <c r="AW4" i="26"/>
  <c r="AO4" i="26"/>
  <c r="AG4" i="26"/>
  <c r="Y4" i="26"/>
  <c r="Q4" i="26"/>
  <c r="I4" i="26"/>
  <c r="BL4" i="26"/>
  <c r="AV4" i="26"/>
  <c r="AF4" i="26"/>
  <c r="P4" i="26"/>
  <c r="H4" i="26"/>
  <c r="BD4" i="26"/>
  <c r="AN4" i="26"/>
  <c r="X4" i="26"/>
  <c r="BB4" i="26"/>
  <c r="V4" i="26"/>
  <c r="O4" i="26"/>
  <c r="N4" i="26"/>
  <c r="AM4" i="26"/>
  <c r="AL4" i="26"/>
  <c r="BC4" i="26"/>
  <c r="AU4" i="26"/>
  <c r="AT4" i="26"/>
  <c r="BK4" i="26"/>
  <c r="AE4" i="26"/>
  <c r="BJ4" i="26"/>
  <c r="AD4" i="26"/>
  <c r="W4" i="26"/>
  <c r="BL5" i="26"/>
  <c r="BL12" i="26" s="1"/>
  <c r="BD5" i="26"/>
  <c r="BD12" i="26" s="1"/>
  <c r="AV5" i="26"/>
  <c r="AV12" i="26" s="1"/>
  <c r="AN5" i="26"/>
  <c r="AN12" i="26" s="1"/>
  <c r="AF5" i="26"/>
  <c r="AF12" i="26" s="1"/>
  <c r="X5" i="26"/>
  <c r="X12" i="26" s="1"/>
  <c r="P5" i="26"/>
  <c r="P12" i="26" s="1"/>
  <c r="H5" i="26"/>
  <c r="H12" i="26" s="1"/>
  <c r="AT5" i="26"/>
  <c r="AT12" i="26" s="1"/>
  <c r="AD5" i="26"/>
  <c r="AD12" i="26" s="1"/>
  <c r="N5" i="26"/>
  <c r="N12" i="26" s="1"/>
  <c r="BK5" i="26"/>
  <c r="BK12" i="26" s="1"/>
  <c r="BC5" i="26"/>
  <c r="BC12" i="26" s="1"/>
  <c r="AU5" i="26"/>
  <c r="AU12" i="26" s="1"/>
  <c r="AM5" i="26"/>
  <c r="AM12" i="26" s="1"/>
  <c r="AE5" i="26"/>
  <c r="AE12" i="26" s="1"/>
  <c r="W5" i="26"/>
  <c r="W12" i="26" s="1"/>
  <c r="O5" i="26"/>
  <c r="O12" i="26" s="1"/>
  <c r="BJ5" i="26"/>
  <c r="BJ12" i="26" s="1"/>
  <c r="BB5" i="26"/>
  <c r="BB12" i="26" s="1"/>
  <c r="AL5" i="26"/>
  <c r="AL12" i="26" s="1"/>
  <c r="BI5" i="26"/>
  <c r="BI12" i="26" s="1"/>
  <c r="BA5" i="26"/>
  <c r="BA12" i="26" s="1"/>
  <c r="AS5" i="26"/>
  <c r="AS12" i="26" s="1"/>
  <c r="AK5" i="26"/>
  <c r="AK12" i="26" s="1"/>
  <c r="AC5" i="26"/>
  <c r="AC12" i="26" s="1"/>
  <c r="U5" i="26"/>
  <c r="U12" i="26" s="1"/>
  <c r="M5" i="26"/>
  <c r="M12" i="26" s="1"/>
  <c r="BH5" i="26"/>
  <c r="BH12" i="26" s="1"/>
  <c r="AZ5" i="26"/>
  <c r="AZ12" i="26" s="1"/>
  <c r="AR5" i="26"/>
  <c r="AR12" i="26" s="1"/>
  <c r="AJ5" i="26"/>
  <c r="AJ12" i="26" s="1"/>
  <c r="AB5" i="26"/>
  <c r="AB12" i="26" s="1"/>
  <c r="T5" i="26"/>
  <c r="T12" i="26" s="1"/>
  <c r="L5" i="26"/>
  <c r="L12" i="26" s="1"/>
  <c r="AI5" i="26"/>
  <c r="AI12" i="26" s="1"/>
  <c r="BO5" i="26"/>
  <c r="BO12" i="26" s="1"/>
  <c r="BG5" i="26"/>
  <c r="BG12" i="26" s="1"/>
  <c r="AY5" i="26"/>
  <c r="AY12" i="26" s="1"/>
  <c r="AQ5" i="26"/>
  <c r="AQ12" i="26" s="1"/>
  <c r="AA5" i="26"/>
  <c r="AA12" i="26" s="1"/>
  <c r="S5" i="26"/>
  <c r="S12" i="26" s="1"/>
  <c r="K5" i="26"/>
  <c r="K12" i="26" s="1"/>
  <c r="AX5" i="26"/>
  <c r="AX12" i="26" s="1"/>
  <c r="V5" i="26"/>
  <c r="V12" i="26" s="1"/>
  <c r="R5" i="26"/>
  <c r="R12" i="26" s="1"/>
  <c r="Q5" i="26"/>
  <c r="Q12" i="26" s="1"/>
  <c r="AO5" i="26"/>
  <c r="AO12" i="26" s="1"/>
  <c r="BN5" i="26"/>
  <c r="BN12" i="26" s="1"/>
  <c r="AH5" i="26"/>
  <c r="AH12" i="26" s="1"/>
  <c r="I5" i="26"/>
  <c r="I12" i="26" s="1"/>
  <c r="AW5" i="26"/>
  <c r="AW12" i="26" s="1"/>
  <c r="AP5" i="26"/>
  <c r="AP12" i="26" s="1"/>
  <c r="J5" i="26"/>
  <c r="J12" i="26" s="1"/>
  <c r="BM5" i="26"/>
  <c r="BM12" i="26" s="1"/>
  <c r="AG5" i="26"/>
  <c r="AG12" i="26" s="1"/>
  <c r="BF5" i="26"/>
  <c r="BF12" i="26" s="1"/>
  <c r="Z5" i="26"/>
  <c r="Z12" i="26" s="1"/>
  <c r="BE5" i="26"/>
  <c r="BE12" i="26" s="1"/>
  <c r="Y5" i="26"/>
  <c r="Y12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46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2lb of alumina required per 1lb of aluminium following Section 12.2.1</t>
        </r>
      </text>
    </comment>
  </commentList>
</comments>
</file>

<file path=xl/sharedStrings.xml><?xml version="1.0" encoding="utf-8"?>
<sst xmlns="http://schemas.openxmlformats.org/spreadsheetml/2006/main" count="1223" uniqueCount="187">
  <si>
    <t>Machine</t>
  </si>
  <si>
    <t>Eu.product</t>
  </si>
  <si>
    <t>Metric</t>
  </si>
  <si>
    <t>Start Date</t>
  </si>
  <si>
    <t>End Date</t>
  </si>
  <si>
    <t>Africa &amp; Asia (ex China)</t>
  </si>
  <si>
    <t>North America</t>
  </si>
  <si>
    <t>South America</t>
  </si>
  <si>
    <t>Europe</t>
  </si>
  <si>
    <t>Oceania</t>
  </si>
  <si>
    <t>China</t>
  </si>
  <si>
    <t>World</t>
  </si>
  <si>
    <t>ND</t>
  </si>
  <si>
    <t>Year</t>
  </si>
  <si>
    <t>Cleaned Data</t>
  </si>
  <si>
    <t>Raw Data</t>
  </si>
  <si>
    <t>https://www.sciencedirect.com/science/article/pii/S2666202719300072</t>
  </si>
  <si>
    <t>https://www1.eere.energy.gov/manufacturing/resources/aluminum/pdfs/al_theoretical.pdf</t>
  </si>
  <si>
    <t>IAI (2020)</t>
  </si>
  <si>
    <t>Smelting energy [kWh/ton Al]</t>
  </si>
  <si>
    <t>Smelting energy [kWh/kg Al]</t>
  </si>
  <si>
    <t>AFR</t>
  </si>
  <si>
    <t>NAM</t>
  </si>
  <si>
    <t>ASA</t>
  </si>
  <si>
    <t>SAM</t>
  </si>
  <si>
    <t>EUR</t>
  </si>
  <si>
    <t>CHN</t>
  </si>
  <si>
    <t>Minimum</t>
  </si>
  <si>
    <t>Theoretical Minimum [GJ/ton]</t>
  </si>
  <si>
    <t>IAI (International Aluminum Institute) (2020), Current IAI Statistics, http://www.world-Aluminum.org/statistics/</t>
  </si>
  <si>
    <t>DOE (2007) - U.S. Energy requirements for Aluminum production</t>
  </si>
  <si>
    <t>Brough, D. and Jouhara, H., 2020. The Aluminum industry: A review on state-of-the-art technologies, environmental impacts and possibilities for waste heat recovery. International Journal of Thermofluids, p.100007.</t>
  </si>
  <si>
    <t>DOE (2017) - Bandwidth Study on Energy Use and Potential Energy Savings in the U.S. Aluminum Manufacturing</t>
  </si>
  <si>
    <t>https://www.energy.gov/sites/prod/files/2019/05/f62/Aluminum_bandwidth_study_2017.pdf</t>
  </si>
  <si>
    <t>Country</t>
  </si>
  <si>
    <t>GJ/ton Alumina</t>
  </si>
  <si>
    <t>Source/Method</t>
  </si>
  <si>
    <t>Energy Intensity [GJ/ton]</t>
  </si>
  <si>
    <t>Eta.fu [%]</t>
  </si>
  <si>
    <t>DOE (2007)</t>
  </si>
  <si>
    <t>Theoretical minimum [Btu/lb aluminium]</t>
  </si>
  <si>
    <t>Theoretical minimum [GJ/ton aluminium]</t>
  </si>
  <si>
    <t>Bayer kilns</t>
  </si>
  <si>
    <t>MTH.200.C</t>
  </si>
  <si>
    <t>Energy.type</t>
  </si>
  <si>
    <t>Last.stage</t>
  </si>
  <si>
    <t>Method</t>
  </si>
  <si>
    <t>E</t>
  </si>
  <si>
    <t>Final</t>
  </si>
  <si>
    <t>PCM</t>
  </si>
  <si>
    <t>Quantity</t>
  </si>
  <si>
    <t>Bravard et al (1972) - Energy Expenditures Associated With The Production and Recycle of Metals</t>
  </si>
  <si>
    <t>https://www.google.co.uk/books/edition/Energy_Expenditures_Associated_with_the/LPTgx-mhGPoC?hl=en&amp;gbpv=1&amp;dq=alumina+bayer+energy+intensity&amp;pg=PA1&amp;printsec=frontcover</t>
  </si>
  <si>
    <t>Energy Intensity</t>
  </si>
  <si>
    <t>Units</t>
  </si>
  <si>
    <t>USA</t>
  </si>
  <si>
    <t>Ef.product</t>
  </si>
  <si>
    <t>Natural gas</t>
  </si>
  <si>
    <t>HTH.1100.C</t>
  </si>
  <si>
    <t>Btu/lb</t>
  </si>
  <si>
    <t>MJ per ton of alumina</t>
  </si>
  <si>
    <t>GJ/ton</t>
  </si>
  <si>
    <t>Btu_to_GJ</t>
  </si>
  <si>
    <t>lb_to_metrictonne</t>
  </si>
  <si>
    <t>Fleischer &amp; Glasser (1951) - Production of Aluminium from Kalunite Alumina</t>
  </si>
  <si>
    <t>https://link.springer.com/article/10.1007/BF03397357</t>
  </si>
  <si>
    <t>Bayer process</t>
  </si>
  <si>
    <t>kWh_to_GJ</t>
  </si>
  <si>
    <t>Bayer rotary kilns</t>
  </si>
  <si>
    <t>Coal and coal products</t>
  </si>
  <si>
    <t>Heat</t>
  </si>
  <si>
    <t>Bayer steam digestors &amp; evaporators</t>
  </si>
  <si>
    <t>Raw Material Beneficiation</t>
  </si>
  <si>
    <t>Theoretical minimum [kWh/ton Al]</t>
  </si>
  <si>
    <t>Alumina to Aluminium Ratio</t>
  </si>
  <si>
    <t>Theoretical minimum [kWh/ton Alumina]</t>
  </si>
  <si>
    <t>Theoretical minimum [GJ/ton Alumina]</t>
  </si>
  <si>
    <t>Fleischer &amp; Glasser (1951)</t>
  </si>
  <si>
    <t>Electrical power</t>
  </si>
  <si>
    <t>Steam</t>
  </si>
  <si>
    <t>Gas</t>
  </si>
  <si>
    <t>"Limestone (grinding)"</t>
  </si>
  <si>
    <t>"Soda Ash"</t>
  </si>
  <si>
    <t>kWh/ton Alumina</t>
  </si>
  <si>
    <t>kWh/ton Aluminium</t>
  </si>
  <si>
    <t>Equivalent coal energy</t>
  </si>
  <si>
    <t>MTH.140.C</t>
  </si>
  <si>
    <t>MD</t>
  </si>
  <si>
    <t>Total (All)</t>
  </si>
  <si>
    <t>Hamel &amp; Brown (1979) - Energy Analysis of 108 Industrial Processes</t>
  </si>
  <si>
    <t>https://www.osti.gov/biblio/6201565-energy-analysis-industrial-processes</t>
  </si>
  <si>
    <t>Unit Operation</t>
  </si>
  <si>
    <t>Material</t>
  </si>
  <si>
    <t>Energy</t>
  </si>
  <si>
    <t>Energy units</t>
  </si>
  <si>
    <t>Temperature (F)</t>
  </si>
  <si>
    <t>10E6 Btu/ton Aluminium</t>
  </si>
  <si>
    <t>Crushing</t>
  </si>
  <si>
    <t>Coke</t>
  </si>
  <si>
    <t>Pitch</t>
  </si>
  <si>
    <t>Electricity</t>
  </si>
  <si>
    <t>Mixing</t>
  </si>
  <si>
    <t>Moulding press</t>
  </si>
  <si>
    <t>Carbon mix</t>
  </si>
  <si>
    <t>Baking furnace</t>
  </si>
  <si>
    <t>Anodes</t>
  </si>
  <si>
    <t>Fuel</t>
  </si>
  <si>
    <t>Electrolysis</t>
  </si>
  <si>
    <t>Alumina</t>
  </si>
  <si>
    <t>Cryolite</t>
  </si>
  <si>
    <t>-</t>
  </si>
  <si>
    <t>Casting</t>
  </si>
  <si>
    <t>Cooling</t>
  </si>
  <si>
    <t>Molten aluminium</t>
  </si>
  <si>
    <t>Water</t>
  </si>
  <si>
    <t>Solid aluminium</t>
  </si>
  <si>
    <t>Air</t>
  </si>
  <si>
    <t>Boiler</t>
  </si>
  <si>
    <t>Purch</t>
  </si>
  <si>
    <t>Generation</t>
  </si>
  <si>
    <t>Balance</t>
  </si>
  <si>
    <t>In</t>
  </si>
  <si>
    <t>CW</t>
  </si>
  <si>
    <t>eta.fu</t>
  </si>
  <si>
    <t>Pre-electrolysis</t>
  </si>
  <si>
    <t>Energy carriers</t>
  </si>
  <si>
    <t>Btu/ton Aluminium</t>
  </si>
  <si>
    <t>https://ota.fas.org/reports/9330.pdf</t>
  </si>
  <si>
    <t>OTA (1993) - Industrial energy efficiency</t>
  </si>
  <si>
    <t>Energy intensity [million Btu/ton aluminium]</t>
  </si>
  <si>
    <t>Energy intensity [GJ/ton aluminium]</t>
  </si>
  <si>
    <t>Energy intensity [GJ/ton alumina]</t>
  </si>
  <si>
    <t>OTA (1993)</t>
  </si>
  <si>
    <t>kWh/lb aluminium</t>
  </si>
  <si>
    <t>GJ/ton aluminium</t>
  </si>
  <si>
    <t>GJ/ton alumina</t>
  </si>
  <si>
    <t>Linear interpolation</t>
  </si>
  <si>
    <t>Indexed to North America</t>
  </si>
  <si>
    <t>OCN</t>
  </si>
  <si>
    <t>Date: 17/05/2021</t>
  </si>
  <si>
    <t xml:space="preserve">  title={Production of aluminum from Kalunite alumina},</t>
  </si>
  <si>
    <t xml:space="preserve">  author={Fleischer, Arthur and Glasser, Julian},</t>
  </si>
  <si>
    <t xml:space="preserve">  journal={JOM},</t>
  </si>
  <si>
    <t xml:space="preserve">  volume={3},</t>
  </si>
  <si>
    <t xml:space="preserve">  number={8},</t>
  </si>
  <si>
    <t xml:space="preserve">  pages={634--636},</t>
  </si>
  <si>
    <t xml:space="preserve">  year={1951},</t>
  </si>
  <si>
    <t xml:space="preserve">  publisher={Springer},</t>
  </si>
  <si>
    <t xml:space="preserve">  DOI={https://doi.org/10.1007/BF03397357}</t>
  </si>
  <si>
    <t>}</t>
  </si>
  <si>
    <t>@techreport{congress1993office,</t>
  </si>
  <si>
    <t xml:space="preserve">  title={Office of Technology Assessment, Industrial Energy Efficiency},</t>
  </si>
  <si>
    <t xml:space="preserve">  author={Congress, US},</t>
  </si>
  <si>
    <t xml:space="preserve">  year={1993},</t>
  </si>
  <si>
    <t xml:space="preserve">  institution={OTA-E-560. US Government Printing Office, Washington, DC}</t>
  </si>
  <si>
    <t xml:space="preserve">@misc{iai2021, </t>
  </si>
  <si>
    <t xml:space="preserve">  url={https://www.world-aluminium.org/statistics/}, </t>
  </si>
  <si>
    <t xml:space="preserve">  journal={Current IA Statistics}, </t>
  </si>
  <si>
    <t xml:space="preserve">  publisher={International Aluminium Institute (IAI)}, </t>
  </si>
  <si>
    <t xml:space="preserve">  year={2021}</t>
  </si>
  <si>
    <t>@article{doe2007aluminium,</t>
  </si>
  <si>
    <t xml:space="preserve">  title={U.S. Energy Requirements for Aluminum Production Historical Perspective, Theoretical Limits and Current Practices},</t>
  </si>
  <si>
    <t xml:space="preserve">  author={U.S. Department of Energy (DOE)},</t>
  </si>
  <si>
    <t>phi.u</t>
  </si>
  <si>
    <t>AMR</t>
  </si>
  <si>
    <t>277.8kWh = 1GJ</t>
  </si>
  <si>
    <t>277.8kwH = 1GJ</t>
  </si>
  <si>
    <t>2240lbs = 1ton</t>
  </si>
  <si>
    <t>PB comments</t>
  </si>
  <si>
    <t>eta - none - all good. calcs and logic all ok</t>
  </si>
  <si>
    <t>phi - is this set by default to 1.00 then other calcs apply carnot temperature penalty?</t>
  </si>
  <si>
    <t>ZM Comments</t>
  </si>
  <si>
    <t>Removed in FIN_ETA</t>
  </si>
  <si>
    <t>WRLD</t>
  </si>
  <si>
    <t>CHNM</t>
  </si>
  <si>
    <t>AFRI</t>
  </si>
  <si>
    <t>ASIA</t>
  </si>
  <si>
    <t>NAMR</t>
  </si>
  <si>
    <t>SAMR</t>
  </si>
  <si>
    <t>EURP</t>
  </si>
  <si>
    <t>OCEN</t>
  </si>
  <si>
    <t>@article{fleischer1951,</t>
  </si>
  <si>
    <t xml:space="preserve">  year={2007},</t>
  </si>
  <si>
    <t xml:space="preserve">  month={Feb},</t>
  </si>
  <si>
    <t xml:space="preserve">  url={https://www.energy.gov/eere/amo/downloads/us-energy-requirements-aluminum-production}</t>
  </si>
  <si>
    <t>Source</t>
  </si>
  <si>
    <t>IAI (2022)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</si>
</sst>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0000000000%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Arial"/>
      <family val="2"/>
    </font>
    <font>
      <b/>
      <sz val="12"/>
      <color rgb="FF0070C0"/>
      <name val="Arial"/>
      <family val="2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8" fillId="0" borderId="0"/>
    <xf numFmtId="0" fontId="11" fillId="0" borderId="0" applyNumberFormat="0" applyFill="0" applyBorder="0" applyAlignment="0" applyProtection="0"/>
    <xf numFmtId="0" fontId="6" fillId="0" borderId="0"/>
  </cellStyleXfs>
  <cellXfs count="82">
    <xf numFmtId="0" fontId="0" fillId="0" borderId="0" xfId="0"/>
    <xf numFmtId="0" fontId="11" fillId="0" borderId="0" xfId="2"/>
    <xf numFmtId="0" fontId="6" fillId="0" borderId="0" xfId="3"/>
    <xf numFmtId="15" fontId="6" fillId="0" borderId="0" xfId="3" applyNumberFormat="1"/>
    <xf numFmtId="3" fontId="6" fillId="0" borderId="0" xfId="3" applyNumberFormat="1"/>
    <xf numFmtId="0" fontId="6" fillId="0" borderId="0" xfId="3" applyAlignment="1">
      <alignment horizontal="center"/>
    </xf>
    <xf numFmtId="3" fontId="6" fillId="0" borderId="0" xfId="3" applyNumberFormat="1" applyAlignment="1">
      <alignment horizontal="center"/>
    </xf>
    <xf numFmtId="10" fontId="6" fillId="0" borderId="0" xfId="3" applyNumberFormat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4" fillId="0" borderId="0" xfId="3" applyNumberFormat="1" applyFont="1" applyAlignment="1">
      <alignment horizontal="center"/>
    </xf>
    <xf numFmtId="0" fontId="6" fillId="5" borderId="0" xfId="3" applyFill="1"/>
    <xf numFmtId="10" fontId="4" fillId="0" borderId="0" xfId="3" applyNumberFormat="1" applyFont="1" applyAlignment="1">
      <alignment horizontal="center"/>
    </xf>
    <xf numFmtId="2" fontId="5" fillId="0" borderId="0" xfId="3" applyNumberFormat="1" applyFont="1" applyAlignment="1">
      <alignment horizontal="center"/>
    </xf>
    <xf numFmtId="0" fontId="3" fillId="0" borderId="0" xfId="3" applyFont="1" applyAlignment="1">
      <alignment horizontal="center"/>
    </xf>
    <xf numFmtId="15" fontId="6" fillId="0" borderId="0" xfId="3" applyNumberFormat="1" applyAlignment="1">
      <alignment horizontal="center"/>
    </xf>
    <xf numFmtId="2" fontId="6" fillId="0" borderId="0" xfId="3" applyNumberFormat="1" applyAlignment="1">
      <alignment horizontal="center"/>
    </xf>
    <xf numFmtId="4" fontId="6" fillId="0" borderId="0" xfId="3" applyNumberFormat="1" applyAlignment="1">
      <alignment horizontal="center"/>
    </xf>
    <xf numFmtId="0" fontId="7" fillId="4" borderId="0" xfId="3" applyFont="1" applyFill="1" applyAlignment="1">
      <alignment horizontal="center"/>
    </xf>
    <xf numFmtId="0" fontId="6" fillId="0" borderId="0" xfId="3" applyAlignment="1">
      <alignment horizontal="left"/>
    </xf>
    <xf numFmtId="0" fontId="6" fillId="7" borderId="0" xfId="3" applyFill="1" applyAlignment="1">
      <alignment horizontal="left"/>
    </xf>
    <xf numFmtId="0" fontId="7" fillId="4" borderId="0" xfId="3" applyFont="1" applyFill="1" applyAlignment="1">
      <alignment horizontal="left" vertical="center"/>
    </xf>
    <xf numFmtId="0" fontId="7" fillId="3" borderId="0" xfId="3" applyFont="1" applyFill="1" applyAlignment="1">
      <alignment horizontal="left" vertical="center"/>
    </xf>
    <xf numFmtId="0" fontId="6" fillId="3" borderId="0" xfId="3" applyFill="1" applyAlignment="1">
      <alignment horizontal="left"/>
    </xf>
    <xf numFmtId="0" fontId="6" fillId="6" borderId="0" xfId="3" applyFill="1" applyAlignment="1">
      <alignment horizontal="center"/>
    </xf>
    <xf numFmtId="0" fontId="7" fillId="8" borderId="0" xfId="3" applyFont="1" applyFill="1" applyAlignment="1">
      <alignment horizontal="left" vertical="center"/>
    </xf>
    <xf numFmtId="0" fontId="7" fillId="9" borderId="0" xfId="3" applyFont="1" applyFill="1" applyAlignment="1">
      <alignment horizontal="left" vertical="center"/>
    </xf>
    <xf numFmtId="0" fontId="7" fillId="7" borderId="0" xfId="3" applyFont="1" applyFill="1" applyAlignment="1">
      <alignment horizontal="left"/>
    </xf>
    <xf numFmtId="0" fontId="7" fillId="6" borderId="0" xfId="3" applyFont="1" applyFill="1" applyAlignment="1">
      <alignment horizontal="left"/>
    </xf>
    <xf numFmtId="0" fontId="7" fillId="0" borderId="1" xfId="3" applyFont="1" applyBorder="1" applyAlignment="1">
      <alignment horizontal="center" vertical="center"/>
    </xf>
    <xf numFmtId="0" fontId="7" fillId="0" borderId="1" xfId="3" applyFont="1" applyBorder="1" applyAlignment="1">
      <alignment vertical="center"/>
    </xf>
    <xf numFmtId="0" fontId="7" fillId="0" borderId="1" xfId="3" applyFont="1" applyBorder="1" applyAlignment="1">
      <alignment horizontal="center" vertical="center" wrapText="1"/>
    </xf>
    <xf numFmtId="0" fontId="7" fillId="2" borderId="0" xfId="3" applyFont="1" applyFill="1"/>
    <xf numFmtId="0" fontId="6" fillId="2" borderId="0" xfId="3" applyFill="1"/>
    <xf numFmtId="0" fontId="7" fillId="2" borderId="0" xfId="3" applyFont="1" applyFill="1" applyAlignment="1">
      <alignment horizontal="left"/>
    </xf>
    <xf numFmtId="0" fontId="6" fillId="2" borderId="0" xfId="3" applyFill="1" applyAlignment="1">
      <alignment horizontal="left"/>
    </xf>
    <xf numFmtId="0" fontId="6" fillId="4" borderId="0" xfId="3" applyFill="1"/>
    <xf numFmtId="0" fontId="6" fillId="8" borderId="0" xfId="3" applyFill="1"/>
    <xf numFmtId="0" fontId="6" fillId="9" borderId="0" xfId="3" applyFill="1"/>
    <xf numFmtId="0" fontId="7" fillId="5" borderId="0" xfId="3" applyFont="1" applyFill="1"/>
    <xf numFmtId="2" fontId="4" fillId="0" borderId="0" xfId="3" applyNumberFormat="1" applyFont="1" applyAlignment="1">
      <alignment horizontal="center"/>
    </xf>
    <xf numFmtId="0" fontId="7" fillId="4" borderId="0" xfId="3" applyFont="1" applyFill="1" applyAlignment="1">
      <alignment horizontal="left"/>
    </xf>
    <xf numFmtId="1" fontId="3" fillId="0" borderId="0" xfId="3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0" fontId="3" fillId="0" borderId="0" xfId="3" applyNumberFormat="1" applyFont="1" applyAlignment="1">
      <alignment horizontal="center"/>
    </xf>
    <xf numFmtId="0" fontId="9" fillId="0" borderId="0" xfId="1" applyFont="1" applyAlignment="1">
      <alignment horizontal="center"/>
    </xf>
    <xf numFmtId="0" fontId="8" fillId="0" borderId="0" xfId="1" applyAlignment="1">
      <alignment horizontal="center"/>
    </xf>
    <xf numFmtId="0" fontId="10" fillId="0" borderId="1" xfId="1" applyFont="1" applyBorder="1" applyAlignment="1">
      <alignment horizontal="center"/>
    </xf>
    <xf numFmtId="10" fontId="0" fillId="0" borderId="0" xfId="0" applyNumberFormat="1" applyAlignment="1">
      <alignment horizontal="center"/>
    </xf>
    <xf numFmtId="0" fontId="9" fillId="0" borderId="0" xfId="1" applyFont="1" applyAlignment="1">
      <alignment horizontal="left"/>
    </xf>
    <xf numFmtId="0" fontId="2" fillId="0" borderId="0" xfId="3" applyFont="1"/>
    <xf numFmtId="0" fontId="7" fillId="0" borderId="0" xfId="3" applyFont="1"/>
    <xf numFmtId="164" fontId="0" fillId="0" borderId="0" xfId="0" applyNumberFormat="1"/>
    <xf numFmtId="0" fontId="12" fillId="2" borderId="0" xfId="0" applyFont="1" applyFill="1"/>
    <xf numFmtId="0" fontId="0" fillId="0" borderId="0" xfId="0" quotePrefix="1" applyAlignment="1">
      <alignment horizontal="center"/>
    </xf>
    <xf numFmtId="0" fontId="0" fillId="3" borderId="0" xfId="0" applyFill="1" applyAlignment="1">
      <alignment horizontal="center"/>
    </xf>
    <xf numFmtId="0" fontId="12" fillId="0" borderId="0" xfId="0" applyFont="1"/>
    <xf numFmtId="10" fontId="1" fillId="0" borderId="0" xfId="3" applyNumberFormat="1" applyFont="1" applyAlignment="1">
      <alignment horizontal="center"/>
    </xf>
    <xf numFmtId="0" fontId="15" fillId="0" borderId="0" xfId="3" applyFont="1" applyAlignment="1">
      <alignment horizontal="center"/>
    </xf>
    <xf numFmtId="2" fontId="15" fillId="0" borderId="0" xfId="3" applyNumberFormat="1" applyFont="1" applyAlignment="1">
      <alignment horizontal="center"/>
    </xf>
    <xf numFmtId="10" fontId="15" fillId="0" borderId="0" xfId="3" applyNumberFormat="1" applyFont="1" applyAlignment="1">
      <alignment horizontal="center"/>
    </xf>
    <xf numFmtId="0" fontId="6" fillId="0" borderId="1" xfId="3" applyBorder="1"/>
    <xf numFmtId="0" fontId="6" fillId="0" borderId="1" xfId="3" applyBorder="1" applyAlignment="1">
      <alignment horizontal="center"/>
    </xf>
    <xf numFmtId="2" fontId="5" fillId="0" borderId="1" xfId="3" applyNumberFormat="1" applyFont="1" applyBorder="1" applyAlignment="1">
      <alignment horizontal="center"/>
    </xf>
    <xf numFmtId="1" fontId="3" fillId="0" borderId="1" xfId="3" applyNumberFormat="1" applyFont="1" applyBorder="1" applyAlignment="1">
      <alignment horizontal="center"/>
    </xf>
    <xf numFmtId="2" fontId="15" fillId="0" borderId="1" xfId="3" applyNumberFormat="1" applyFont="1" applyBorder="1" applyAlignment="1">
      <alignment horizontal="center"/>
    </xf>
    <xf numFmtId="10" fontId="15" fillId="0" borderId="1" xfId="3" applyNumberFormat="1" applyFont="1" applyBorder="1" applyAlignment="1">
      <alignment horizontal="center"/>
    </xf>
    <xf numFmtId="0" fontId="15" fillId="0" borderId="1" xfId="3" applyFont="1" applyBorder="1" applyAlignment="1">
      <alignment horizontal="center"/>
    </xf>
    <xf numFmtId="0" fontId="0" fillId="0" borderId="1" xfId="0" applyBorder="1"/>
    <xf numFmtId="0" fontId="0" fillId="10" borderId="0" xfId="0" applyFill="1"/>
    <xf numFmtId="9" fontId="0" fillId="0" borderId="0" xfId="0" applyNumberFormat="1"/>
    <xf numFmtId="165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10" borderId="0" xfId="0" applyFont="1" applyFill="1"/>
    <xf numFmtId="0" fontId="19" fillId="10" borderId="0" xfId="0" quotePrefix="1" applyFont="1" applyFill="1"/>
    <xf numFmtId="0" fontId="1" fillId="0" borderId="0" xfId="3" applyFont="1"/>
    <xf numFmtId="0" fontId="1" fillId="0" borderId="0" xfId="3" applyFont="1" applyAlignment="1">
      <alignment horizontal="center"/>
    </xf>
  </cellXfs>
  <cellStyles count="4">
    <cellStyle name="Hyperlink" xfId="2" builtinId="8"/>
    <cellStyle name="Normal" xfId="0" builtinId="0"/>
    <cellStyle name="Normal 2" xfId="3" xr:uid="{00000000-0005-0000-0000-000002000000}"/>
    <cellStyle name="Normal 2 2 3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COMMENTS'!$H$3:$BO$3</c:f>
              <c:numCache>
                <c:formatCode>0.00%</c:formatCode>
                <c:ptCount val="60"/>
                <c:pt idx="0">
                  <c:v>1.2911186013830305E-2</c:v>
                </c:pt>
                <c:pt idx="1">
                  <c:v>1.3141063782680838E-2</c:v>
                </c:pt>
                <c:pt idx="2">
                  <c:v>1.3379275674098358E-2</c:v>
                </c:pt>
                <c:pt idx="3">
                  <c:v>1.3626283280709844E-2</c:v>
                </c:pt>
                <c:pt idx="4">
                  <c:v>1.388258292391552E-2</c:v>
                </c:pt>
                <c:pt idx="5">
                  <c:v>1.4148708982603576E-2</c:v>
                </c:pt>
                <c:pt idx="6">
                  <c:v>1.4425237612212073E-2</c:v>
                </c:pt>
                <c:pt idx="7">
                  <c:v>1.4712790908606516E-2</c:v>
                </c:pt>
                <c:pt idx="8">
                  <c:v>1.5012041580104291E-2</c:v>
                </c:pt>
                <c:pt idx="9">
                  <c:v>1.5323718201496228E-2</c:v>
                </c:pt>
                <c:pt idx="10">
                  <c:v>1.5648611136441618E-2</c:v>
                </c:pt>
                <c:pt idx="11">
                  <c:v>1.5987579229581272E-2</c:v>
                </c:pt>
                <c:pt idx="12">
                  <c:v>1.6341557387663887E-2</c:v>
                </c:pt>
                <c:pt idx="13">
                  <c:v>1.6711565190589875E-2</c:v>
                </c:pt>
                <c:pt idx="14">
                  <c:v>1.7098716699391083E-2</c:v>
                </c:pt>
                <c:pt idx="15">
                  <c:v>1.7504231659852949E-2</c:v>
                </c:pt>
                <c:pt idx="16">
                  <c:v>1.7929448339101921E-2</c:v>
                </c:pt>
                <c:pt idx="17">
                  <c:v>1.8375838279749965E-2</c:v>
                </c:pt>
                <c:pt idx="18">
                  <c:v>1.8845023314319264E-2</c:v>
                </c:pt>
                <c:pt idx="19">
                  <c:v>1.9338795254509582E-2</c:v>
                </c:pt>
                <c:pt idx="20">
                  <c:v>1.9859138759106942E-2</c:v>
                </c:pt>
                <c:pt idx="21">
                  <c:v>2.1398365313178468E-2</c:v>
                </c:pt>
                <c:pt idx="22">
                  <c:v>2.3196241402055919E-2</c:v>
                </c:pt>
                <c:pt idx="23">
                  <c:v>2.5323941751334966E-2</c:v>
                </c:pt>
                <c:pt idx="24">
                  <c:v>2.7881392671854969E-2</c:v>
                </c:pt>
                <c:pt idx="25">
                  <c:v>3.1013420962200961E-2</c:v>
                </c:pt>
                <c:pt idx="26">
                  <c:v>3.2416770275822696E-2</c:v>
                </c:pt>
                <c:pt idx="27">
                  <c:v>2.7954426232525614E-2</c:v>
                </c:pt>
                <c:pt idx="28">
                  <c:v>3.2569808122950364E-2</c:v>
                </c:pt>
                <c:pt idx="29">
                  <c:v>3.483860978176407E-2</c:v>
                </c:pt>
                <c:pt idx="30">
                  <c:v>3.2517235472958511E-2</c:v>
                </c:pt>
                <c:pt idx="31">
                  <c:v>3.2747704207372483E-2</c:v>
                </c:pt>
                <c:pt idx="32">
                  <c:v>3.356617855273137E-2</c:v>
                </c:pt>
                <c:pt idx="33">
                  <c:v>3.2082236145061879E-2</c:v>
                </c:pt>
                <c:pt idx="34">
                  <c:v>3.3201064210243353E-2</c:v>
                </c:pt>
                <c:pt idx="35">
                  <c:v>3.3430265051787679E-2</c:v>
                </c:pt>
                <c:pt idx="36">
                  <c:v>3.0606316803718107E-2</c:v>
                </c:pt>
                <c:pt idx="37">
                  <c:v>3.0791571472559388E-2</c:v>
                </c:pt>
                <c:pt idx="38">
                  <c:v>2.8831402736728955E-2</c:v>
                </c:pt>
                <c:pt idx="39">
                  <c:v>2.9441537647911922E-2</c:v>
                </c:pt>
                <c:pt idx="40">
                  <c:v>3.0180796009179684E-2</c:v>
                </c:pt>
                <c:pt idx="41">
                  <c:v>3.2658513909939783E-2</c:v>
                </c:pt>
                <c:pt idx="42">
                  <c:v>3.8926182022351319E-2</c:v>
                </c:pt>
                <c:pt idx="43">
                  <c:v>3.4646872798925525E-2</c:v>
                </c:pt>
                <c:pt idx="44">
                  <c:v>4.0030756140623278E-2</c:v>
                </c:pt>
                <c:pt idx="45">
                  <c:v>3.9382776275037647E-2</c:v>
                </c:pt>
                <c:pt idx="46">
                  <c:v>2.637756994737241E-2</c:v>
                </c:pt>
                <c:pt idx="47">
                  <c:v>2.7890953259410836E-2</c:v>
                </c:pt>
                <c:pt idx="48">
                  <c:v>3.0001009293213882E-2</c:v>
                </c:pt>
                <c:pt idx="49">
                  <c:v>2.970374184636871E-2</c:v>
                </c:pt>
                <c:pt idx="50">
                  <c:v>3.1065071737304554E-2</c:v>
                </c:pt>
                <c:pt idx="51">
                  <c:v>3.2510938157974401E-2</c:v>
                </c:pt>
                <c:pt idx="52">
                  <c:v>3.2112921188878492E-2</c:v>
                </c:pt>
                <c:pt idx="53">
                  <c:v>3.0262404939621526E-2</c:v>
                </c:pt>
                <c:pt idx="54">
                  <c:v>3.3550525814747947E-2</c:v>
                </c:pt>
                <c:pt idx="55">
                  <c:v>3.4061067428999149E-2</c:v>
                </c:pt>
                <c:pt idx="56">
                  <c:v>3.3492514664173793E-2</c:v>
                </c:pt>
                <c:pt idx="57">
                  <c:v>3.8447739751521597E-2</c:v>
                </c:pt>
                <c:pt idx="58">
                  <c:v>4.0865542275655746E-2</c:v>
                </c:pt>
                <c:pt idx="59">
                  <c:v>3.9186659119606393E-2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C-4A31-A555-B9DC17F1E5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COMMENTS'!$H$4:$BO$4</c:f>
              <c:numCache>
                <c:formatCode>0.00%</c:formatCode>
                <c:ptCount val="60"/>
                <c:pt idx="0">
                  <c:v>1.2911186013830305E-2</c:v>
                </c:pt>
                <c:pt idx="1">
                  <c:v>1.3141063782680838E-2</c:v>
                </c:pt>
                <c:pt idx="2">
                  <c:v>1.3379275674098358E-2</c:v>
                </c:pt>
                <c:pt idx="3">
                  <c:v>1.3626283280709844E-2</c:v>
                </c:pt>
                <c:pt idx="4">
                  <c:v>1.388258292391552E-2</c:v>
                </c:pt>
                <c:pt idx="5">
                  <c:v>1.4148708982603576E-2</c:v>
                </c:pt>
                <c:pt idx="6">
                  <c:v>1.4425237612212073E-2</c:v>
                </c:pt>
                <c:pt idx="7">
                  <c:v>1.4712790908606516E-2</c:v>
                </c:pt>
                <c:pt idx="8">
                  <c:v>1.5012041580104291E-2</c:v>
                </c:pt>
                <c:pt idx="9">
                  <c:v>1.5323718201496228E-2</c:v>
                </c:pt>
                <c:pt idx="10">
                  <c:v>1.5648611136441618E-2</c:v>
                </c:pt>
                <c:pt idx="11">
                  <c:v>1.5987579229581272E-2</c:v>
                </c:pt>
                <c:pt idx="12">
                  <c:v>1.6341557387663887E-2</c:v>
                </c:pt>
                <c:pt idx="13">
                  <c:v>1.6711565190589875E-2</c:v>
                </c:pt>
                <c:pt idx="14">
                  <c:v>1.7098716699391083E-2</c:v>
                </c:pt>
                <c:pt idx="15">
                  <c:v>1.7504231659852949E-2</c:v>
                </c:pt>
                <c:pt idx="16">
                  <c:v>1.7929448339101921E-2</c:v>
                </c:pt>
                <c:pt idx="17">
                  <c:v>1.8375838279749965E-2</c:v>
                </c:pt>
                <c:pt idx="18">
                  <c:v>1.8845023314319264E-2</c:v>
                </c:pt>
                <c:pt idx="19">
                  <c:v>1.9338795254509582E-2</c:v>
                </c:pt>
                <c:pt idx="20">
                  <c:v>1.9859138759106942E-2</c:v>
                </c:pt>
                <c:pt idx="21">
                  <c:v>2.1398365313178468E-2</c:v>
                </c:pt>
                <c:pt idx="22">
                  <c:v>2.3196241402055919E-2</c:v>
                </c:pt>
                <c:pt idx="23">
                  <c:v>2.5323941751334966E-2</c:v>
                </c:pt>
                <c:pt idx="24">
                  <c:v>2.7881392671854969E-2</c:v>
                </c:pt>
                <c:pt idx="25">
                  <c:v>3.1013420962200961E-2</c:v>
                </c:pt>
                <c:pt idx="26">
                  <c:v>3.2416770275822696E-2</c:v>
                </c:pt>
                <c:pt idx="27">
                  <c:v>2.7954426232525614E-2</c:v>
                </c:pt>
                <c:pt idx="28">
                  <c:v>3.2569808122950364E-2</c:v>
                </c:pt>
                <c:pt idx="29">
                  <c:v>3.483860978176407E-2</c:v>
                </c:pt>
                <c:pt idx="30">
                  <c:v>3.2517235472958511E-2</c:v>
                </c:pt>
                <c:pt idx="31">
                  <c:v>3.2747704207372483E-2</c:v>
                </c:pt>
                <c:pt idx="32">
                  <c:v>3.356617855273137E-2</c:v>
                </c:pt>
                <c:pt idx="33">
                  <c:v>3.2082236145061879E-2</c:v>
                </c:pt>
                <c:pt idx="34">
                  <c:v>3.3201064210243353E-2</c:v>
                </c:pt>
                <c:pt idx="35">
                  <c:v>3.3430265051787679E-2</c:v>
                </c:pt>
                <c:pt idx="36">
                  <c:v>3.0606316803718107E-2</c:v>
                </c:pt>
                <c:pt idx="37">
                  <c:v>3.0791571472559388E-2</c:v>
                </c:pt>
                <c:pt idx="38">
                  <c:v>2.8831402736728955E-2</c:v>
                </c:pt>
                <c:pt idx="39">
                  <c:v>2.9441537647911922E-2</c:v>
                </c:pt>
                <c:pt idx="40">
                  <c:v>3.0180796009179684E-2</c:v>
                </c:pt>
                <c:pt idx="41">
                  <c:v>3.2658513909939783E-2</c:v>
                </c:pt>
                <c:pt idx="42">
                  <c:v>3.8926182022351319E-2</c:v>
                </c:pt>
                <c:pt idx="43">
                  <c:v>3.4646872798925525E-2</c:v>
                </c:pt>
                <c:pt idx="44">
                  <c:v>4.0030756140623278E-2</c:v>
                </c:pt>
                <c:pt idx="45">
                  <c:v>3.9382776275037647E-2</c:v>
                </c:pt>
                <c:pt idx="46">
                  <c:v>2.637756994737241E-2</c:v>
                </c:pt>
                <c:pt idx="47">
                  <c:v>2.7890953259410836E-2</c:v>
                </c:pt>
                <c:pt idx="48">
                  <c:v>3.0001009293213882E-2</c:v>
                </c:pt>
                <c:pt idx="49">
                  <c:v>2.970374184636871E-2</c:v>
                </c:pt>
                <c:pt idx="50">
                  <c:v>3.1065071737304554E-2</c:v>
                </c:pt>
                <c:pt idx="51">
                  <c:v>3.2510938157974401E-2</c:v>
                </c:pt>
                <c:pt idx="52">
                  <c:v>3.2112921188878492E-2</c:v>
                </c:pt>
                <c:pt idx="53">
                  <c:v>3.0262404939621526E-2</c:v>
                </c:pt>
                <c:pt idx="54">
                  <c:v>3.3550525814747947E-2</c:v>
                </c:pt>
                <c:pt idx="55">
                  <c:v>3.4061067428999149E-2</c:v>
                </c:pt>
                <c:pt idx="56">
                  <c:v>3.3492514664173793E-2</c:v>
                </c:pt>
                <c:pt idx="57">
                  <c:v>3.8447739751521597E-2</c:v>
                </c:pt>
                <c:pt idx="58">
                  <c:v>4.0865542275655746E-2</c:v>
                </c:pt>
                <c:pt idx="59">
                  <c:v>3.9186659119606393E-2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C-4A31-A555-B9DC17F1E5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COMMENTS'!$H$5:$BO$5</c:f>
              <c:numCache>
                <c:formatCode>0.00%</c:formatCode>
                <c:ptCount val="60"/>
                <c:pt idx="0">
                  <c:v>1.7402452662565598E-2</c:v>
                </c:pt>
                <c:pt idx="1">
                  <c:v>1.7712295382383312E-2</c:v>
                </c:pt>
                <c:pt idx="2">
                  <c:v>1.8033371320690841E-2</c:v>
                </c:pt>
                <c:pt idx="3">
                  <c:v>1.8366302639064337E-2</c:v>
                </c:pt>
                <c:pt idx="4">
                  <c:v>1.8711758308554458E-2</c:v>
                </c:pt>
                <c:pt idx="5">
                  <c:v>1.9070458596322996E-2</c:v>
                </c:pt>
                <c:pt idx="6">
                  <c:v>1.944318007841234E-2</c:v>
                </c:pt>
                <c:pt idx="7">
                  <c:v>1.9830761252063515E-2</c:v>
                </c:pt>
                <c:pt idx="8">
                  <c:v>2.0234108832944356E-2</c:v>
                </c:pt>
                <c:pt idx="9">
                  <c:v>2.065420483682746E-2</c:v>
                </c:pt>
                <c:pt idx="10">
                  <c:v>2.1092114562141055E-2</c:v>
                </c:pt>
                <c:pt idx="11">
                  <c:v>2.1548995609990896E-2</c:v>
                </c:pt>
                <c:pt idx="12">
                  <c:v>2.202610810244637E-2</c:v>
                </c:pt>
                <c:pt idx="13">
                  <c:v>2.2524826289009713E-2</c:v>
                </c:pt>
                <c:pt idx="14">
                  <c:v>2.3046651766385446E-2</c:v>
                </c:pt>
                <c:pt idx="15">
                  <c:v>2.3593228579378494E-2</c:v>
                </c:pt>
                <c:pt idx="16">
                  <c:v>2.4166360522798483E-2</c:v>
                </c:pt>
                <c:pt idx="17">
                  <c:v>2.4768031027959804E-2</c:v>
                </c:pt>
                <c:pt idx="18">
                  <c:v>2.5400426095719669E-2</c:v>
                </c:pt>
                <c:pt idx="19">
                  <c:v>2.6065960834825791E-2</c:v>
                </c:pt>
                <c:pt idx="20">
                  <c:v>2.676731028462298E-2</c:v>
                </c:pt>
                <c:pt idx="21">
                  <c:v>2.8841969980138212E-2</c:v>
                </c:pt>
                <c:pt idx="22">
                  <c:v>3.1265252666665515E-2</c:v>
                </c:pt>
                <c:pt idx="23">
                  <c:v>3.4133091807762993E-2</c:v>
                </c:pt>
                <c:pt idx="24">
                  <c:v>3.758017393743799E-2</c:v>
                </c:pt>
                <c:pt idx="25">
                  <c:v>4.1801705096711606E-2</c:v>
                </c:pt>
                <c:pt idx="26">
                  <c:v>4.3747997133876074E-2</c:v>
                </c:pt>
                <c:pt idx="27">
                  <c:v>3.9568427325988483E-2</c:v>
                </c:pt>
                <c:pt idx="28">
                  <c:v>3.7682524729156855E-2</c:v>
                </c:pt>
                <c:pt idx="29">
                  <c:v>3.6887639566775168E-2</c:v>
                </c:pt>
                <c:pt idx="30">
                  <c:v>3.7898031680727022E-2</c:v>
                </c:pt>
                <c:pt idx="31">
                  <c:v>3.7906589116753077E-2</c:v>
                </c:pt>
                <c:pt idx="32">
                  <c:v>3.8681024808385672E-2</c:v>
                </c:pt>
                <c:pt idx="33">
                  <c:v>3.9125772452235967E-2</c:v>
                </c:pt>
                <c:pt idx="34">
                  <c:v>4.0855596901531711E-2</c:v>
                </c:pt>
                <c:pt idx="35">
                  <c:v>4.020010720028587E-2</c:v>
                </c:pt>
                <c:pt idx="36">
                  <c:v>3.975583699125209E-2</c:v>
                </c:pt>
                <c:pt idx="37">
                  <c:v>4.4348973494644367E-2</c:v>
                </c:pt>
                <c:pt idx="38">
                  <c:v>4.5680448345141171E-2</c:v>
                </c:pt>
                <c:pt idx="39">
                  <c:v>4.4675502794746864E-2</c:v>
                </c:pt>
                <c:pt idx="40">
                  <c:v>4.3214942766876728E-2</c:v>
                </c:pt>
                <c:pt idx="41">
                  <c:v>4.544549205966264E-2</c:v>
                </c:pt>
                <c:pt idx="42">
                  <c:v>4.2119841348597586E-2</c:v>
                </c:pt>
                <c:pt idx="43">
                  <c:v>4.6090138464828539E-2</c:v>
                </c:pt>
                <c:pt idx="44">
                  <c:v>4.8650207013638078E-2</c:v>
                </c:pt>
                <c:pt idx="45">
                  <c:v>4.4236007290749356E-2</c:v>
                </c:pt>
                <c:pt idx="46">
                  <c:v>4.1704781633420118E-2</c:v>
                </c:pt>
                <c:pt idx="47">
                  <c:v>4.5947171152739844E-2</c:v>
                </c:pt>
                <c:pt idx="48">
                  <c:v>4.63275635180923E-2</c:v>
                </c:pt>
                <c:pt idx="49">
                  <c:v>4.2611637448615056E-2</c:v>
                </c:pt>
                <c:pt idx="50">
                  <c:v>4.1906052837841684E-2</c:v>
                </c:pt>
                <c:pt idx="51">
                  <c:v>4.4719138963344111E-2</c:v>
                </c:pt>
                <c:pt idx="52">
                  <c:v>4.3352581820192936E-2</c:v>
                </c:pt>
                <c:pt idx="53">
                  <c:v>4.3981044712704691E-2</c:v>
                </c:pt>
                <c:pt idx="54">
                  <c:v>4.2133936501730231E-2</c:v>
                </c:pt>
                <c:pt idx="55">
                  <c:v>4.142350246793728E-2</c:v>
                </c:pt>
                <c:pt idx="56">
                  <c:v>4.34498268488639E-2</c:v>
                </c:pt>
                <c:pt idx="57">
                  <c:v>5.0979546817003889E-2</c:v>
                </c:pt>
                <c:pt idx="58">
                  <c:v>5.0933145530459287E-2</c:v>
                </c:pt>
                <c:pt idx="59">
                  <c:v>5.634671548502812E-2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C-4A31-A555-B9DC17F1E55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COMMENTS'!$H$6:$BO$6</c:f>
              <c:numCache>
                <c:formatCode>0.00%</c:formatCode>
                <c:ptCount val="60"/>
                <c:pt idx="0">
                  <c:v>1.6837837269401731E-2</c:v>
                </c:pt>
                <c:pt idx="1">
                  <c:v>1.7137627270073414E-2</c:v>
                </c:pt>
                <c:pt idx="2">
                  <c:v>1.7448286032097918E-2</c:v>
                </c:pt>
                <c:pt idx="3">
                  <c:v>1.7770415531275872E-2</c:v>
                </c:pt>
                <c:pt idx="4">
                  <c:v>1.8104663034168338E-2</c:v>
                </c:pt>
                <c:pt idx="5">
                  <c:v>1.8451725439166358E-2</c:v>
                </c:pt>
                <c:pt idx="6">
                  <c:v>1.8812354126623184E-2</c:v>
                </c:pt>
                <c:pt idx="7">
                  <c:v>1.9187360389082978E-2</c:v>
                </c:pt>
                <c:pt idx="8">
                  <c:v>1.9577621524198011E-2</c:v>
                </c:pt>
                <c:pt idx="9">
                  <c:v>1.9984087686644496E-2</c:v>
                </c:pt>
                <c:pt idx="10">
                  <c:v>2.0407789611682894E-2</c:v>
                </c:pt>
                <c:pt idx="11">
                  <c:v>2.0849847342528937E-2</c:v>
                </c:pt>
                <c:pt idx="12">
                  <c:v>2.131148011711162E-2</c:v>
                </c:pt>
                <c:pt idx="13">
                  <c:v>2.1794017597975345E-2</c:v>
                </c:pt>
                <c:pt idx="14">
                  <c:v>2.2298912663139405E-2</c:v>
                </c:pt>
                <c:pt idx="15">
                  <c:v>2.2827756017053651E-2</c:v>
                </c:pt>
                <c:pt idx="16">
                  <c:v>2.3382292931149705E-2</c:v>
                </c:pt>
                <c:pt idx="17">
                  <c:v>2.3964442485131684E-2</c:v>
                </c:pt>
                <c:pt idx="18">
                  <c:v>2.4576319755961334E-2</c:v>
                </c:pt>
                <c:pt idx="19">
                  <c:v>2.5220261495179985E-2</c:v>
                </c:pt>
                <c:pt idx="20">
                  <c:v>2.5898855951585097E-2</c:v>
                </c:pt>
                <c:pt idx="21">
                  <c:v>2.7906204169667936E-2</c:v>
                </c:pt>
                <c:pt idx="22">
                  <c:v>3.0250864449725835E-2</c:v>
                </c:pt>
                <c:pt idx="23">
                  <c:v>3.3025657733691663E-2</c:v>
                </c:pt>
                <c:pt idx="24">
                  <c:v>3.6360900706573475E-2</c:v>
                </c:pt>
                <c:pt idx="25">
                  <c:v>4.0445466029969596E-2</c:v>
                </c:pt>
                <c:pt idx="26">
                  <c:v>4.8962370504100856E-2</c:v>
                </c:pt>
                <c:pt idx="27">
                  <c:v>5.053958284045975E-2</c:v>
                </c:pt>
                <c:pt idx="28">
                  <c:v>5.0458565575110852E-2</c:v>
                </c:pt>
                <c:pt idx="29">
                  <c:v>4.3938836416435298E-2</c:v>
                </c:pt>
                <c:pt idx="30">
                  <c:v>4.2021438715492819E-2</c:v>
                </c:pt>
                <c:pt idx="31">
                  <c:v>4.1018646604103384E-2</c:v>
                </c:pt>
                <c:pt idx="32">
                  <c:v>4.0706995069930599E-2</c:v>
                </c:pt>
                <c:pt idx="33">
                  <c:v>3.9929195512977203E-2</c:v>
                </c:pt>
                <c:pt idx="34">
                  <c:v>3.9831298877347467E-2</c:v>
                </c:pt>
                <c:pt idx="35">
                  <c:v>3.9364306941158465E-2</c:v>
                </c:pt>
                <c:pt idx="36">
                  <c:v>4.0033938235705994E-2</c:v>
                </c:pt>
                <c:pt idx="37">
                  <c:v>4.1787831314734604E-2</c:v>
                </c:pt>
                <c:pt idx="38">
                  <c:v>4.1471256835077519E-2</c:v>
                </c:pt>
                <c:pt idx="39">
                  <c:v>4.301195174696229E-2</c:v>
                </c:pt>
                <c:pt idx="40">
                  <c:v>4.2310925229369183E-2</c:v>
                </c:pt>
                <c:pt idx="41">
                  <c:v>4.265494562591525E-2</c:v>
                </c:pt>
                <c:pt idx="42">
                  <c:v>4.4038732336934366E-2</c:v>
                </c:pt>
                <c:pt idx="43">
                  <c:v>4.53227990465426E-2</c:v>
                </c:pt>
                <c:pt idx="44">
                  <c:v>5.0147061934201077E-2</c:v>
                </c:pt>
                <c:pt idx="45">
                  <c:v>4.5006876050507724E-2</c:v>
                </c:pt>
                <c:pt idx="46">
                  <c:v>4.5515313421164161E-2</c:v>
                </c:pt>
                <c:pt idx="47">
                  <c:v>4.688827325250735E-2</c:v>
                </c:pt>
                <c:pt idx="48">
                  <c:v>4.7946205541239663E-2</c:v>
                </c:pt>
                <c:pt idx="49">
                  <c:v>5.2713726502531019E-2</c:v>
                </c:pt>
                <c:pt idx="50">
                  <c:v>5.1317194110982414E-2</c:v>
                </c:pt>
                <c:pt idx="51">
                  <c:v>5.5692463010636011E-2</c:v>
                </c:pt>
                <c:pt idx="52">
                  <c:v>5.6701975118799978E-2</c:v>
                </c:pt>
                <c:pt idx="53">
                  <c:v>5.6926296259204409E-2</c:v>
                </c:pt>
                <c:pt idx="54">
                  <c:v>5.8398300441231607E-2</c:v>
                </c:pt>
                <c:pt idx="55">
                  <c:v>5.612067561903069E-2</c:v>
                </c:pt>
                <c:pt idx="56">
                  <c:v>5.8290155440414514E-2</c:v>
                </c:pt>
                <c:pt idx="57">
                  <c:v>5.8622621697728021E-2</c:v>
                </c:pt>
                <c:pt idx="58">
                  <c:v>5.3979307931959424E-2</c:v>
                </c:pt>
                <c:pt idx="59">
                  <c:v>5.6264880237423903E-2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8C-4A31-A555-B9DC17F1E55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COMMENTS'!$H$7:$BO$7</c:f>
              <c:numCache>
                <c:formatCode>0.00%</c:formatCode>
                <c:ptCount val="60"/>
                <c:pt idx="0">
                  <c:v>1.709177057785851E-2</c:v>
                </c:pt>
                <c:pt idx="1">
                  <c:v>1.7396081745084713E-2</c:v>
                </c:pt>
                <c:pt idx="2">
                  <c:v>1.7711425586670194E-2</c:v>
                </c:pt>
                <c:pt idx="3">
                  <c:v>1.8038413156880016E-2</c:v>
                </c:pt>
                <c:pt idx="4">
                  <c:v>1.8377701483774694E-2</c:v>
                </c:pt>
                <c:pt idx="5">
                  <c:v>1.8729997975747901E-2</c:v>
                </c:pt>
                <c:pt idx="6">
                  <c:v>1.9096065344804101E-2</c:v>
                </c:pt>
                <c:pt idx="7">
                  <c:v>1.9476727118681116E-2</c:v>
                </c:pt>
                <c:pt idx="8">
                  <c:v>1.9872873825655307E-2</c:v>
                </c:pt>
                <c:pt idx="9">
                  <c:v>2.0285469949791902E-2</c:v>
                </c:pt>
                <c:pt idx="10">
                  <c:v>2.07155617709852E-2</c:v>
                </c:pt>
                <c:pt idx="11">
                  <c:v>2.1164286223948017E-2</c:v>
                </c:pt>
                <c:pt idx="12">
                  <c:v>2.1632880934073034E-2</c:v>
                </c:pt>
                <c:pt idx="13">
                  <c:v>2.2122695616694305E-2</c:v>
                </c:pt>
                <c:pt idx="14">
                  <c:v>2.2635205060847138E-2</c:v>
                </c:pt>
                <c:pt idx="15">
                  <c:v>2.3172023960573253E-2</c:v>
                </c:pt>
                <c:pt idx="16">
                  <c:v>2.3734923907938053E-2</c:v>
                </c:pt>
                <c:pt idx="17">
                  <c:v>2.4325852924501484E-2</c:v>
                </c:pt>
                <c:pt idx="18">
                  <c:v>2.4946957984937682E-2</c:v>
                </c:pt>
                <c:pt idx="19">
                  <c:v>2.5600611081599507E-2</c:v>
                </c:pt>
                <c:pt idx="20">
                  <c:v>2.6289439496954243E-2</c:v>
                </c:pt>
                <c:pt idx="21">
                  <c:v>2.8327060758189061E-2</c:v>
                </c:pt>
                <c:pt idx="22">
                  <c:v>3.0707081122359675E-2</c:v>
                </c:pt>
                <c:pt idx="23">
                  <c:v>3.3523721374413347E-2</c:v>
                </c:pt>
                <c:pt idx="24">
                  <c:v>3.6909263519870616E-2</c:v>
                </c:pt>
                <c:pt idx="25">
                  <c:v>4.1055428630079188E-2</c:v>
                </c:pt>
                <c:pt idx="26">
                  <c:v>4.1532817335080109E-2</c:v>
                </c:pt>
                <c:pt idx="27">
                  <c:v>4.1048736083232652E-2</c:v>
                </c:pt>
                <c:pt idx="28">
                  <c:v>4.1179635568698393E-2</c:v>
                </c:pt>
                <c:pt idx="29">
                  <c:v>4.2346501555972534E-2</c:v>
                </c:pt>
                <c:pt idx="30">
                  <c:v>4.1965414799198519E-2</c:v>
                </c:pt>
                <c:pt idx="31">
                  <c:v>4.1677171715092803E-2</c:v>
                </c:pt>
                <c:pt idx="32">
                  <c:v>4.0442218180774224E-2</c:v>
                </c:pt>
                <c:pt idx="33">
                  <c:v>4.1065471543149171E-2</c:v>
                </c:pt>
                <c:pt idx="34">
                  <c:v>4.2960585430792578E-2</c:v>
                </c:pt>
                <c:pt idx="35">
                  <c:v>4.1642710683411729E-2</c:v>
                </c:pt>
                <c:pt idx="36">
                  <c:v>4.2014427546940972E-2</c:v>
                </c:pt>
                <c:pt idx="37">
                  <c:v>4.1311372570353652E-2</c:v>
                </c:pt>
                <c:pt idx="38">
                  <c:v>3.8648372573492545E-2</c:v>
                </c:pt>
                <c:pt idx="39">
                  <c:v>3.9092365365612156E-2</c:v>
                </c:pt>
                <c:pt idx="40">
                  <c:v>3.9884924606413352E-2</c:v>
                </c:pt>
                <c:pt idx="41">
                  <c:v>3.8938220427182729E-2</c:v>
                </c:pt>
                <c:pt idx="42">
                  <c:v>3.7333353818026792E-2</c:v>
                </c:pt>
                <c:pt idx="43">
                  <c:v>4.0905372238887378E-2</c:v>
                </c:pt>
                <c:pt idx="44">
                  <c:v>4.0605252197466857E-2</c:v>
                </c:pt>
                <c:pt idx="45">
                  <c:v>4.0257949081149595E-2</c:v>
                </c:pt>
                <c:pt idx="46">
                  <c:v>2.9616403587484942E-2</c:v>
                </c:pt>
                <c:pt idx="47">
                  <c:v>3.4428967938554919E-2</c:v>
                </c:pt>
                <c:pt idx="48">
                  <c:v>3.17946302402261E-2</c:v>
                </c:pt>
                <c:pt idx="49">
                  <c:v>2.9388279337409198E-2</c:v>
                </c:pt>
                <c:pt idx="50">
                  <c:v>3.4431321734134233E-2</c:v>
                </c:pt>
                <c:pt idx="51">
                  <c:v>3.5282817921057967E-2</c:v>
                </c:pt>
                <c:pt idx="52">
                  <c:v>3.7995242776701722E-2</c:v>
                </c:pt>
                <c:pt idx="53">
                  <c:v>3.6518522442548142E-2</c:v>
                </c:pt>
                <c:pt idx="54">
                  <c:v>3.8485934816229667E-2</c:v>
                </c:pt>
                <c:pt idx="55">
                  <c:v>3.8803216195791773E-2</c:v>
                </c:pt>
                <c:pt idx="56">
                  <c:v>3.9016651921690536E-2</c:v>
                </c:pt>
                <c:pt idx="57">
                  <c:v>3.9324349418691451E-2</c:v>
                </c:pt>
                <c:pt idx="58">
                  <c:v>3.8515367314559602E-2</c:v>
                </c:pt>
                <c:pt idx="59">
                  <c:v>3.7427686014059262E-2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8C-4A31-A555-B9DC17F1E55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COMMENTS'!$H$8:$BO$8</c:f>
              <c:numCache>
                <c:formatCode>0.00%</c:formatCode>
                <c:ptCount val="60"/>
                <c:pt idx="0">
                  <c:v>1.5626798068017464E-2</c:v>
                </c:pt>
                <c:pt idx="1">
                  <c:v>1.5905026068938972E-2</c:v>
                </c:pt>
                <c:pt idx="2">
                  <c:v>1.6193341109911552E-2</c:v>
                </c:pt>
                <c:pt idx="3">
                  <c:v>1.6492301870421642E-2</c:v>
                </c:pt>
                <c:pt idx="4">
                  <c:v>1.6802509063237991E-2</c:v>
                </c:pt>
                <c:pt idx="5">
                  <c:v>1.7124609463255534E-2</c:v>
                </c:pt>
                <c:pt idx="6">
                  <c:v>1.7459300408788243E-2</c:v>
                </c:pt>
                <c:pt idx="7">
                  <c:v>1.7807334841235839E-2</c:v>
                </c:pt>
                <c:pt idx="8">
                  <c:v>1.8169526959775927E-2</c:v>
                </c:pt>
                <c:pt idx="9">
                  <c:v>1.8546758580464878E-2</c:v>
                </c:pt>
                <c:pt idx="10">
                  <c:v>1.893998630429123E-2</c:v>
                </c:pt>
                <c:pt idx="11">
                  <c:v>1.9350249616842091E-2</c:v>
                </c:pt>
                <c:pt idx="12">
                  <c:v>1.9778680063969135E-2</c:v>
                </c:pt>
                <c:pt idx="13">
                  <c:v>2.0226511673994859E-2</c:v>
                </c:pt>
                <c:pt idx="14">
                  <c:v>2.0695092828606383E-2</c:v>
                </c:pt>
                <c:pt idx="15">
                  <c:v>2.1185899822937473E-2</c:v>
                </c:pt>
                <c:pt idx="16">
                  <c:v>2.1700552402077671E-2</c:v>
                </c:pt>
                <c:pt idx="17">
                  <c:v>2.2240831618458648E-2</c:v>
                </c:pt>
                <c:pt idx="18">
                  <c:v>2.280870042492588E-2</c:v>
                </c:pt>
                <c:pt idx="19">
                  <c:v>2.3406327505253122E-2</c:v>
                </c:pt>
                <c:pt idx="20">
                  <c:v>2.4036114951862392E-2</c:v>
                </c:pt>
                <c:pt idx="21">
                  <c:v>2.5899087301237623E-2</c:v>
                </c:pt>
                <c:pt idx="22">
                  <c:v>2.8075110988148327E-2</c:v>
                </c:pt>
                <c:pt idx="23">
                  <c:v>3.0650330930903226E-2</c:v>
                </c:pt>
                <c:pt idx="24">
                  <c:v>3.3745690959100613E-2</c:v>
                </c:pt>
                <c:pt idx="25">
                  <c:v>3.7536479317670228E-2</c:v>
                </c:pt>
                <c:pt idx="26">
                  <c:v>3.8648372573492545E-2</c:v>
                </c:pt>
                <c:pt idx="27">
                  <c:v>3.9995786452126855E-2</c:v>
                </c:pt>
                <c:pt idx="28">
                  <c:v>4.0608526286500683E-2</c:v>
                </c:pt>
                <c:pt idx="29">
                  <c:v>4.0815863765716942E-2</c:v>
                </c:pt>
                <c:pt idx="30">
                  <c:v>3.963693869079029E-2</c:v>
                </c:pt>
                <c:pt idx="31">
                  <c:v>4.0500759389238548E-2</c:v>
                </c:pt>
                <c:pt idx="32">
                  <c:v>4.0461713103975373E-2</c:v>
                </c:pt>
                <c:pt idx="33">
                  <c:v>4.4185553869554431E-2</c:v>
                </c:pt>
                <c:pt idx="34">
                  <c:v>4.3793647217841861E-2</c:v>
                </c:pt>
                <c:pt idx="35">
                  <c:v>4.0941951305193187E-2</c:v>
                </c:pt>
                <c:pt idx="36">
                  <c:v>4.1236955949003638E-2</c:v>
                </c:pt>
                <c:pt idx="37">
                  <c:v>4.1048736083232652E-2</c:v>
                </c:pt>
                <c:pt idx="38">
                  <c:v>4.1532817335080109E-2</c:v>
                </c:pt>
                <c:pt idx="39">
                  <c:v>4.2095197509627334E-2</c:v>
                </c:pt>
                <c:pt idx="40">
                  <c:v>4.4294366139417896E-2</c:v>
                </c:pt>
                <c:pt idx="41">
                  <c:v>4.5424997114204148E-2</c:v>
                </c:pt>
                <c:pt idx="42">
                  <c:v>4.4274896088367599E-2</c:v>
                </c:pt>
                <c:pt idx="43">
                  <c:v>4.2880114346971601E-2</c:v>
                </c:pt>
                <c:pt idx="44">
                  <c:v>4.2450012053707131E-2</c:v>
                </c:pt>
                <c:pt idx="45">
                  <c:v>4.4007946784793896E-2</c:v>
                </c:pt>
                <c:pt idx="46">
                  <c:v>4.3958011958207331E-2</c:v>
                </c:pt>
                <c:pt idx="47">
                  <c:v>4.4846566607763261E-2</c:v>
                </c:pt>
                <c:pt idx="48">
                  <c:v>4.4588485436492381E-2</c:v>
                </c:pt>
                <c:pt idx="49">
                  <c:v>4.4954649915663787E-2</c:v>
                </c:pt>
                <c:pt idx="50">
                  <c:v>4.6975743214735695E-2</c:v>
                </c:pt>
                <c:pt idx="51">
                  <c:v>4.4135215406641087E-2</c:v>
                </c:pt>
                <c:pt idx="52">
                  <c:v>4.9726198953908118E-2</c:v>
                </c:pt>
                <c:pt idx="53">
                  <c:v>4.7927954225845205E-2</c:v>
                </c:pt>
                <c:pt idx="54">
                  <c:v>4.7187008620367413E-2</c:v>
                </c:pt>
                <c:pt idx="55">
                  <c:v>4.8193965837816405E-2</c:v>
                </c:pt>
                <c:pt idx="56">
                  <c:v>4.6866456635509153E-2</c:v>
                </c:pt>
                <c:pt idx="57">
                  <c:v>4.7511975755205792E-2</c:v>
                </c:pt>
                <c:pt idx="58">
                  <c:v>4.701082264586777E-2</c:v>
                </c:pt>
                <c:pt idx="59">
                  <c:v>4.8346639436035461E-2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8C-4A31-A555-B9DC17F1E55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COMMENTS'!$H$9:$BO$9</c:f>
              <c:numCache>
                <c:formatCode>0.00%</c:formatCode>
                <c:ptCount val="60"/>
                <c:pt idx="0">
                  <c:v>4.7219442952546207E-3</c:v>
                </c:pt>
                <c:pt idx="1">
                  <c:v>4.8060163563392417E-3</c:v>
                </c:pt>
                <c:pt idx="2">
                  <c:v>4.8931364149098384E-3</c:v>
                </c:pt>
                <c:pt idx="3">
                  <c:v>4.9834732869581694E-3</c:v>
                </c:pt>
                <c:pt idx="4">
                  <c:v>5.0772084896587161E-3</c:v>
                </c:pt>
                <c:pt idx="5">
                  <c:v>5.17453745876307E-3</c:v>
                </c:pt>
                <c:pt idx="6">
                  <c:v>5.2756709087540873E-3</c:v>
                </c:pt>
                <c:pt idx="7">
                  <c:v>5.3808363556802586E-3</c:v>
                </c:pt>
                <c:pt idx="8">
                  <c:v>5.4902798258321421E-3</c:v>
                </c:pt>
                <c:pt idx="9">
                  <c:v>5.6042677772697082E-3</c:v>
                </c:pt>
                <c:pt idx="10">
                  <c:v>5.7230892657906367E-3</c:v>
                </c:pt>
                <c:pt idx="11">
                  <c:v>5.847058392403761E-3</c:v>
                </c:pt>
                <c:pt idx="12">
                  <c:v>5.9765170759369778E-3</c:v>
                </c:pt>
                <c:pt idx="13">
                  <c:v>6.1118382023117764E-3</c:v>
                </c:pt>
                <c:pt idx="14">
                  <c:v>6.253429211567226E-3</c:v>
                </c:pt>
                <c:pt idx="15">
                  <c:v>6.4017361953053725E-3</c:v>
                </c:pt>
                <c:pt idx="16">
                  <c:v>6.5572485913529561E-3</c:v>
                </c:pt>
                <c:pt idx="17">
                  <c:v>6.720504579721817E-3</c:v>
                </c:pt>
                <c:pt idx="18">
                  <c:v>6.8920973052104088E-3</c:v>
                </c:pt>
                <c:pt idx="19">
                  <c:v>7.0726820782623162E-3</c:v>
                </c:pt>
                <c:pt idx="20">
                  <c:v>7.2629847383335394E-3</c:v>
                </c:pt>
                <c:pt idx="21">
                  <c:v>7.8259184640437057E-3</c:v>
                </c:pt>
                <c:pt idx="22">
                  <c:v>8.4834468067037632E-3</c:v>
                </c:pt>
                <c:pt idx="23">
                  <c:v>9.2616001471890891E-3</c:v>
                </c:pt>
                <c:pt idx="24">
                  <c:v>1.0196924041648302E-2</c:v>
                </c:pt>
                <c:pt idx="25">
                  <c:v>1.1342385279859358E-2</c:v>
                </c:pt>
                <c:pt idx="26">
                  <c:v>1.1870487999630435E-2</c:v>
                </c:pt>
                <c:pt idx="27">
                  <c:v>1.0736412464782021E-2</c:v>
                </c:pt>
                <c:pt idx="28">
                  <c:v>1.0224695686625181E-2</c:v>
                </c:pt>
                <c:pt idx="29">
                  <c:v>1.0009013246300854E-2</c:v>
                </c:pt>
                <c:pt idx="30">
                  <c:v>1.0283170882063779E-2</c:v>
                </c:pt>
                <c:pt idx="31">
                  <c:v>1.0285492838457443E-2</c:v>
                </c:pt>
                <c:pt idx="32">
                  <c:v>1.0495626563114098E-2</c:v>
                </c:pt>
                <c:pt idx="33">
                  <c:v>1.0616303437829828E-2</c:v>
                </c:pt>
                <c:pt idx="34">
                  <c:v>1.1085670305163102E-2</c:v>
                </c:pt>
                <c:pt idx="35">
                  <c:v>1.0907811131205744E-2</c:v>
                </c:pt>
                <c:pt idx="36">
                  <c:v>1.0787263802632268E-2</c:v>
                </c:pt>
                <c:pt idx="37">
                  <c:v>1.2033555640343922E-2</c:v>
                </c:pt>
                <c:pt idx="38">
                  <c:v>1.2394835179296649E-2</c:v>
                </c:pt>
                <c:pt idx="39">
                  <c:v>1.3157086133162167E-2</c:v>
                </c:pt>
                <c:pt idx="40">
                  <c:v>1.4129360986566643E-2</c:v>
                </c:pt>
                <c:pt idx="41">
                  <c:v>1.4517510103634411E-2</c:v>
                </c:pt>
                <c:pt idx="42">
                  <c:v>1.4835246347507405E-2</c:v>
                </c:pt>
                <c:pt idx="43">
                  <c:v>1.5442994695363099E-2</c:v>
                </c:pt>
                <c:pt idx="44">
                  <c:v>1.6738465268717806E-2</c:v>
                </c:pt>
                <c:pt idx="45">
                  <c:v>1.7160520069687251E-2</c:v>
                </c:pt>
                <c:pt idx="46">
                  <c:v>2.1341933342028198E-2</c:v>
                </c:pt>
                <c:pt idx="47">
                  <c:v>1.9733051602742004E-2</c:v>
                </c:pt>
                <c:pt idx="48">
                  <c:v>2.1563064865781013E-2</c:v>
                </c:pt>
                <c:pt idx="49">
                  <c:v>2.5980239515356274E-2</c:v>
                </c:pt>
                <c:pt idx="50">
                  <c:v>2.7104404660953738E-2</c:v>
                </c:pt>
                <c:pt idx="51">
                  <c:v>3.0266042247907535E-2</c:v>
                </c:pt>
                <c:pt idx="52">
                  <c:v>2.9383135531224118E-2</c:v>
                </c:pt>
                <c:pt idx="53">
                  <c:v>3.2443918250671999E-2</c:v>
                </c:pt>
                <c:pt idx="54">
                  <c:v>3.6138557907949294E-2</c:v>
                </c:pt>
                <c:pt idx="55">
                  <c:v>4.0212946582975202E-2</c:v>
                </c:pt>
                <c:pt idx="56">
                  <c:v>4.2130411829110037E-2</c:v>
                </c:pt>
                <c:pt idx="57">
                  <c:v>4.1780897876653511E-2</c:v>
                </c:pt>
                <c:pt idx="58">
                  <c:v>4.3698650152293399E-2</c:v>
                </c:pt>
                <c:pt idx="59">
                  <c:v>4.8528323665945401E-2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8C-4A31-A555-B9DC17F1E550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COMMENTS'!$H$10:$BO$10</c:f>
              <c:numCache>
                <c:formatCode>0.00%</c:formatCode>
                <c:ptCount val="60"/>
                <c:pt idx="0">
                  <c:v>1.6156642496616348E-2</c:v>
                </c:pt>
                <c:pt idx="1">
                  <c:v>1.6444304135543975E-2</c:v>
                </c:pt>
                <c:pt idx="2">
                  <c:v>1.6742394827131329E-2</c:v>
                </c:pt>
                <c:pt idx="3">
                  <c:v>1.7051492193530641E-2</c:v>
                </c:pt>
                <c:pt idx="4">
                  <c:v>1.7372217315362884E-2</c:v>
                </c:pt>
                <c:pt idx="5">
                  <c:v>1.7705238897164174E-2</c:v>
                </c:pt>
                <c:pt idx="6">
                  <c:v>1.8051277921300138E-2</c:v>
                </c:pt>
                <c:pt idx="7">
                  <c:v>1.8411112858508223E-2</c:v>
                </c:pt>
                <c:pt idx="8">
                  <c:v>1.8785585514318689E-2</c:v>
                </c:pt>
                <c:pt idx="9">
                  <c:v>1.9175607603767991E-2</c:v>
                </c:pt>
                <c:pt idx="10">
                  <c:v>1.958216816249329E-2</c:v>
                </c:pt>
                <c:pt idx="11">
                  <c:v>2.0006341921027224E-2</c:v>
                </c:pt>
                <c:pt idx="12">
                  <c:v>2.0449298791575393E-2</c:v>
                </c:pt>
                <c:pt idx="13">
                  <c:v>2.091231464359937E-2</c:v>
                </c:pt>
                <c:pt idx="14">
                  <c:v>2.139678357720674E-2</c:v>
                </c:pt>
                <c:pt idx="15">
                  <c:v>2.1904231943003165E-2</c:v>
                </c:pt>
                <c:pt idx="16">
                  <c:v>2.243633440538461E-2</c:v>
                </c:pt>
                <c:pt idx="17">
                  <c:v>2.2994932405398759E-2</c:v>
                </c:pt>
                <c:pt idx="18">
                  <c:v>2.3582055452048282E-2</c:v>
                </c:pt>
                <c:pt idx="19">
                  <c:v>2.419994576080613E-2</c:v>
                </c:pt>
                <c:pt idx="20">
                  <c:v>2.4851086869780201E-2</c:v>
                </c:pt>
                <c:pt idx="21">
                  <c:v>2.6777225423495817E-2</c:v>
                </c:pt>
                <c:pt idx="22">
                  <c:v>2.9027029677736464E-2</c:v>
                </c:pt>
                <c:pt idx="23">
                  <c:v>3.1689565392612203E-2</c:v>
                </c:pt>
                <c:pt idx="24">
                  <c:v>3.4889877136337587E-2</c:v>
                </c:pt>
                <c:pt idx="25">
                  <c:v>3.8809196501901934E-2</c:v>
                </c:pt>
                <c:pt idx="26">
                  <c:v>4.1430317785881986E-2</c:v>
                </c:pt>
                <c:pt idx="27">
                  <c:v>4.1183002944245761E-2</c:v>
                </c:pt>
                <c:pt idx="28">
                  <c:v>4.1166171571455079E-2</c:v>
                </c:pt>
                <c:pt idx="29">
                  <c:v>4.0367661350206904E-2</c:v>
                </c:pt>
                <c:pt idx="30">
                  <c:v>3.9540468164024609E-2</c:v>
                </c:pt>
                <c:pt idx="31">
                  <c:v>3.9668158711813284E-2</c:v>
                </c:pt>
                <c:pt idx="32">
                  <c:v>3.964005848132085E-2</c:v>
                </c:pt>
                <c:pt idx="33">
                  <c:v>4.0769606007057507E-2</c:v>
                </c:pt>
                <c:pt idx="34">
                  <c:v>4.1301209037656335E-2</c:v>
                </c:pt>
                <c:pt idx="35">
                  <c:v>3.9903885825622487E-2</c:v>
                </c:pt>
                <c:pt idx="36">
                  <c:v>3.9853362586466837E-2</c:v>
                </c:pt>
                <c:pt idx="37">
                  <c:v>4.0815863765716942E-2</c:v>
                </c:pt>
                <c:pt idx="38">
                  <c:v>3.3757419599516149E-2</c:v>
                </c:pt>
                <c:pt idx="39">
                  <c:v>3.408873311257489E-2</c:v>
                </c:pt>
                <c:pt idx="40">
                  <c:v>3.4783268389058736E-2</c:v>
                </c:pt>
                <c:pt idx="41">
                  <c:v>3.5056866421076249E-2</c:v>
                </c:pt>
                <c:pt idx="42">
                  <c:v>3.4604022468406034E-2</c:v>
                </c:pt>
                <c:pt idx="43">
                  <c:v>3.5484178327709531E-2</c:v>
                </c:pt>
                <c:pt idx="44">
                  <c:v>3.6611438136462733E-2</c:v>
                </c:pt>
                <c:pt idx="45">
                  <c:v>3.5634822260325584E-2</c:v>
                </c:pt>
                <c:pt idx="46">
                  <c:v>3.3131171831141462E-2</c:v>
                </c:pt>
                <c:pt idx="47">
                  <c:v>3.1607063072999965E-2</c:v>
                </c:pt>
                <c:pt idx="48">
                  <c:v>3.2379255690187826E-2</c:v>
                </c:pt>
                <c:pt idx="49">
                  <c:v>3.4384306889136435E-2</c:v>
                </c:pt>
                <c:pt idx="50">
                  <c:v>3.5105739788455416E-2</c:v>
                </c:pt>
                <c:pt idx="51">
                  <c:v>3.6603455411380291E-2</c:v>
                </c:pt>
                <c:pt idx="52">
                  <c:v>3.6828295649373413E-2</c:v>
                </c:pt>
                <c:pt idx="53">
                  <c:v>3.7980915762080049E-2</c:v>
                </c:pt>
                <c:pt idx="54">
                  <c:v>4.0037120836726399E-2</c:v>
                </c:pt>
                <c:pt idx="55">
                  <c:v>4.2204554010322755E-2</c:v>
                </c:pt>
                <c:pt idx="56">
                  <c:v>4.4224353969545258E-2</c:v>
                </c:pt>
                <c:pt idx="57">
                  <c:v>4.3551274905325267E-2</c:v>
                </c:pt>
                <c:pt idx="58">
                  <c:v>4.4337260586775368E-2</c:v>
                </c:pt>
                <c:pt idx="59">
                  <c:v>4.6910110190497518E-2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8C-4A31-A555-B9DC17F1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546304"/>
        <c:axId val="445547288"/>
      </c:lineChart>
      <c:catAx>
        <c:axId val="44554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47288"/>
        <c:crosses val="autoZero"/>
        <c:auto val="1"/>
        <c:lblAlgn val="ctr"/>
        <c:lblOffset val="100"/>
        <c:tickLblSkip val="5"/>
        <c:noMultiLvlLbl val="0"/>
      </c:catAx>
      <c:valAx>
        <c:axId val="44554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4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North america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'PB COMMENTS'!$H$2:$BO$2</c:f>
              <c:numCache>
                <c:formatCode>General</c:formatCode>
                <c:ptCount val="60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</c:numCache>
            </c:numRef>
          </c:cat>
          <c:val>
            <c:numRef>
              <c:f>'PB COMMENTS'!$H$5:$BO$5</c:f>
              <c:numCache>
                <c:formatCode>0.00%</c:formatCode>
                <c:ptCount val="60"/>
                <c:pt idx="0">
                  <c:v>1.7402452662565598E-2</c:v>
                </c:pt>
                <c:pt idx="1">
                  <c:v>1.7712295382383312E-2</c:v>
                </c:pt>
                <c:pt idx="2">
                  <c:v>1.8033371320690841E-2</c:v>
                </c:pt>
                <c:pt idx="3">
                  <c:v>1.8366302639064337E-2</c:v>
                </c:pt>
                <c:pt idx="4">
                  <c:v>1.8711758308554458E-2</c:v>
                </c:pt>
                <c:pt idx="5">
                  <c:v>1.9070458596322996E-2</c:v>
                </c:pt>
                <c:pt idx="6">
                  <c:v>1.944318007841234E-2</c:v>
                </c:pt>
                <c:pt idx="7">
                  <c:v>1.9830761252063515E-2</c:v>
                </c:pt>
                <c:pt idx="8">
                  <c:v>2.0234108832944356E-2</c:v>
                </c:pt>
                <c:pt idx="9">
                  <c:v>2.065420483682746E-2</c:v>
                </c:pt>
                <c:pt idx="10">
                  <c:v>2.1092114562141055E-2</c:v>
                </c:pt>
                <c:pt idx="11">
                  <c:v>2.1548995609990896E-2</c:v>
                </c:pt>
                <c:pt idx="12">
                  <c:v>2.202610810244637E-2</c:v>
                </c:pt>
                <c:pt idx="13">
                  <c:v>2.2524826289009713E-2</c:v>
                </c:pt>
                <c:pt idx="14">
                  <c:v>2.3046651766385446E-2</c:v>
                </c:pt>
                <c:pt idx="15">
                  <c:v>2.3593228579378494E-2</c:v>
                </c:pt>
                <c:pt idx="16">
                  <c:v>2.4166360522798483E-2</c:v>
                </c:pt>
                <c:pt idx="17">
                  <c:v>2.4768031027959804E-2</c:v>
                </c:pt>
                <c:pt idx="18">
                  <c:v>2.5400426095719669E-2</c:v>
                </c:pt>
                <c:pt idx="19">
                  <c:v>2.6065960834825791E-2</c:v>
                </c:pt>
                <c:pt idx="20">
                  <c:v>2.676731028462298E-2</c:v>
                </c:pt>
                <c:pt idx="21">
                  <c:v>2.8841969980138212E-2</c:v>
                </c:pt>
                <c:pt idx="22">
                  <c:v>3.1265252666665515E-2</c:v>
                </c:pt>
                <c:pt idx="23">
                  <c:v>3.4133091807762993E-2</c:v>
                </c:pt>
                <c:pt idx="24">
                  <c:v>3.758017393743799E-2</c:v>
                </c:pt>
                <c:pt idx="25">
                  <c:v>4.1801705096711606E-2</c:v>
                </c:pt>
                <c:pt idx="26">
                  <c:v>4.3747997133876074E-2</c:v>
                </c:pt>
                <c:pt idx="27">
                  <c:v>3.9568427325988483E-2</c:v>
                </c:pt>
                <c:pt idx="28">
                  <c:v>3.7682524729156855E-2</c:v>
                </c:pt>
                <c:pt idx="29">
                  <c:v>3.6887639566775168E-2</c:v>
                </c:pt>
                <c:pt idx="30">
                  <c:v>3.7898031680727022E-2</c:v>
                </c:pt>
                <c:pt idx="31">
                  <c:v>3.7906589116753077E-2</c:v>
                </c:pt>
                <c:pt idx="32">
                  <c:v>3.8681024808385672E-2</c:v>
                </c:pt>
                <c:pt idx="33">
                  <c:v>3.9125772452235967E-2</c:v>
                </c:pt>
                <c:pt idx="34">
                  <c:v>4.0855596901531711E-2</c:v>
                </c:pt>
                <c:pt idx="35">
                  <c:v>4.020010720028587E-2</c:v>
                </c:pt>
                <c:pt idx="36">
                  <c:v>3.975583699125209E-2</c:v>
                </c:pt>
                <c:pt idx="37">
                  <c:v>4.4348973494644367E-2</c:v>
                </c:pt>
                <c:pt idx="38">
                  <c:v>4.5680448345141171E-2</c:v>
                </c:pt>
                <c:pt idx="39">
                  <c:v>4.4675502794746864E-2</c:v>
                </c:pt>
                <c:pt idx="40">
                  <c:v>4.3214942766876728E-2</c:v>
                </c:pt>
                <c:pt idx="41">
                  <c:v>4.544549205966264E-2</c:v>
                </c:pt>
                <c:pt idx="42">
                  <c:v>4.2119841348597586E-2</c:v>
                </c:pt>
                <c:pt idx="43">
                  <c:v>4.6090138464828539E-2</c:v>
                </c:pt>
                <c:pt idx="44">
                  <c:v>4.8650207013638078E-2</c:v>
                </c:pt>
                <c:pt idx="45">
                  <c:v>4.4236007290749356E-2</c:v>
                </c:pt>
                <c:pt idx="46">
                  <c:v>4.1704781633420118E-2</c:v>
                </c:pt>
                <c:pt idx="47">
                  <c:v>4.5947171152739844E-2</c:v>
                </c:pt>
                <c:pt idx="48">
                  <c:v>4.63275635180923E-2</c:v>
                </c:pt>
                <c:pt idx="49">
                  <c:v>4.2611637448615056E-2</c:v>
                </c:pt>
                <c:pt idx="50">
                  <c:v>4.1906052837841684E-2</c:v>
                </c:pt>
                <c:pt idx="51">
                  <c:v>4.4719138963344111E-2</c:v>
                </c:pt>
                <c:pt idx="52">
                  <c:v>4.3352581820192936E-2</c:v>
                </c:pt>
                <c:pt idx="53">
                  <c:v>4.3981044712704691E-2</c:v>
                </c:pt>
                <c:pt idx="54">
                  <c:v>4.2133936501730231E-2</c:v>
                </c:pt>
                <c:pt idx="55">
                  <c:v>4.142350246793728E-2</c:v>
                </c:pt>
                <c:pt idx="56">
                  <c:v>4.34498268488639E-2</c:v>
                </c:pt>
                <c:pt idx="57">
                  <c:v>5.0979546817003889E-2</c:v>
                </c:pt>
                <c:pt idx="58">
                  <c:v>5.0933145530459287E-2</c:v>
                </c:pt>
                <c:pt idx="59">
                  <c:v>5.634671548502812E-2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B-4116-9DC2-97B457C66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4764424"/>
        <c:axId val="714761144"/>
      </c:lineChart>
      <c:catAx>
        <c:axId val="71476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61144"/>
        <c:crosses val="autoZero"/>
        <c:auto val="1"/>
        <c:lblAlgn val="ctr"/>
        <c:lblOffset val="100"/>
        <c:noMultiLvlLbl val="0"/>
      </c:catAx>
      <c:valAx>
        <c:axId val="71476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764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552451</xdr:colOff>
      <xdr:row>2</xdr:row>
      <xdr:rowOff>123825</xdr:rowOff>
    </xdr:from>
    <xdr:to>
      <xdr:col>14</xdr:col>
      <xdr:colOff>580490</xdr:colOff>
      <xdr:row>21</xdr:row>
      <xdr:rowOff>123373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5576" y="504825"/>
          <a:ext cx="4278570" cy="3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261936</xdr:colOff>
      <xdr:row>9</xdr:row>
      <xdr:rowOff>11906</xdr:rowOff>
    </xdr:from>
    <xdr:to>
      <xdr:col>22</xdr:col>
      <xdr:colOff>208629</xdr:colOff>
      <xdr:row>33</xdr:row>
      <xdr:rowOff>97049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30311" y="1535906"/>
          <a:ext cx="7352381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95251</xdr:rowOff>
    </xdr:from>
    <xdr:to>
      <xdr:col>5</xdr:col>
      <xdr:colOff>310749</xdr:colOff>
      <xdr:row>61</xdr:row>
      <xdr:rowOff>84751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05251"/>
          <a:ext cx="9561905" cy="7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5</xdr:col>
      <xdr:colOff>139320</xdr:colOff>
      <xdr:row>159</xdr:row>
      <xdr:rowOff>180405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717500"/>
          <a:ext cx="9390476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95250</xdr:rowOff>
    </xdr:from>
    <xdr:to>
      <xdr:col>5</xdr:col>
      <xdr:colOff>511969</xdr:colOff>
      <xdr:row>20</xdr:row>
      <xdr:rowOff>38936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90750"/>
          <a:ext cx="9763125" cy="16581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178595</xdr:colOff>
      <xdr:row>3</xdr:row>
      <xdr:rowOff>59531</xdr:rowOff>
    </xdr:from>
    <xdr:to>
      <xdr:col>23</xdr:col>
      <xdr:colOff>8633</xdr:colOff>
      <xdr:row>39</xdr:row>
      <xdr:rowOff>30102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1" y="631031"/>
          <a:ext cx="7116663" cy="6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20</xdr:col>
      <xdr:colOff>361143</xdr:colOff>
      <xdr:row>15</xdr:row>
      <xdr:rowOff>161723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971550"/>
          <a:ext cx="6457143" cy="16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130969</xdr:colOff>
      <xdr:row>3</xdr:row>
      <xdr:rowOff>166688</xdr:rowOff>
    </xdr:from>
    <xdr:to>
      <xdr:col>29</xdr:col>
      <xdr:colOff>415312</xdr:colOff>
      <xdr:row>20</xdr:row>
      <xdr:rowOff>11906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87375" y="738188"/>
          <a:ext cx="6356530" cy="3083718"/>
        </a:xfrm>
        <a:prstGeom prst="rect">
          <a:avLst/>
        </a:prstGeom>
      </xdr:spPr>
    </xdr:pic>
    <xdr:clientData/>
  </xdr:twoCellAnchor>
  <xdr:twoCellAnchor editAs="oneCell">
    <xdr:from>
      <xdr:col>29</xdr:col>
      <xdr:colOff>571498</xdr:colOff>
      <xdr:row>2</xdr:row>
      <xdr:rowOff>119062</xdr:rowOff>
    </xdr:from>
    <xdr:to>
      <xdr:col>41</xdr:col>
      <xdr:colOff>122725</xdr:colOff>
      <xdr:row>23</xdr:row>
      <xdr:rowOff>23811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95342" y="500062"/>
          <a:ext cx="6837852" cy="3905249"/>
        </a:xfrm>
        <a:prstGeom prst="rect">
          <a:avLst/>
        </a:prstGeom>
      </xdr:spPr>
    </xdr:pic>
    <xdr:clientData/>
  </xdr:twoCellAnchor>
  <xdr:twoCellAnchor editAs="oneCell">
    <xdr:from>
      <xdr:col>29</xdr:col>
      <xdr:colOff>559595</xdr:colOff>
      <xdr:row>23</xdr:row>
      <xdr:rowOff>178595</xdr:rowOff>
    </xdr:from>
    <xdr:to>
      <xdr:col>40</xdr:col>
      <xdr:colOff>285751</xdr:colOff>
      <xdr:row>44</xdr:row>
      <xdr:rowOff>155523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88189" y="4560095"/>
          <a:ext cx="6405562" cy="3977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142873</xdr:rowOff>
    </xdr:from>
    <xdr:to>
      <xdr:col>5</xdr:col>
      <xdr:colOff>466359</xdr:colOff>
      <xdr:row>37</xdr:row>
      <xdr:rowOff>47624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90873"/>
          <a:ext cx="6729047" cy="3905251"/>
        </a:xfrm>
        <a:prstGeom prst="rect">
          <a:avLst/>
        </a:prstGeom>
      </xdr:spPr>
    </xdr:pic>
    <xdr:clientData/>
  </xdr:twoCellAnchor>
  <xdr:twoCellAnchor editAs="oneCell">
    <xdr:from>
      <xdr:col>7</xdr:col>
      <xdr:colOff>452437</xdr:colOff>
      <xdr:row>4</xdr:row>
      <xdr:rowOff>35718</xdr:rowOff>
    </xdr:from>
    <xdr:to>
      <xdr:col>18</xdr:col>
      <xdr:colOff>553983</xdr:colOff>
      <xdr:row>48</xdr:row>
      <xdr:rowOff>129908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2218" y="797718"/>
          <a:ext cx="6780952" cy="84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11906</xdr:colOff>
      <xdr:row>50</xdr:row>
      <xdr:rowOff>0</xdr:rowOff>
    </xdr:from>
    <xdr:to>
      <xdr:col>18</xdr:col>
      <xdr:colOff>539718</xdr:colOff>
      <xdr:row>94</xdr:row>
      <xdr:rowOff>75143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88906" y="9525000"/>
          <a:ext cx="6600000" cy="8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119063</xdr:colOff>
      <xdr:row>21</xdr:row>
      <xdr:rowOff>47625</xdr:rowOff>
    </xdr:from>
    <xdr:to>
      <xdr:col>29</xdr:col>
      <xdr:colOff>227828</xdr:colOff>
      <xdr:row>55</xdr:row>
      <xdr:rowOff>123006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75469" y="4048125"/>
          <a:ext cx="6180952" cy="65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595313</xdr:colOff>
      <xdr:row>0</xdr:row>
      <xdr:rowOff>0</xdr:rowOff>
    </xdr:from>
    <xdr:to>
      <xdr:col>32</xdr:col>
      <xdr:colOff>333375</xdr:colOff>
      <xdr:row>45</xdr:row>
      <xdr:rowOff>150860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9688" y="0"/>
          <a:ext cx="6417468" cy="8723360"/>
        </a:xfrm>
        <a:prstGeom prst="rect">
          <a:avLst/>
        </a:prstGeom>
      </xdr:spPr>
    </xdr:pic>
    <xdr:clientData/>
  </xdr:twoCellAnchor>
  <xdr:twoCellAnchor editAs="oneCell">
    <xdr:from>
      <xdr:col>9</xdr:col>
      <xdr:colOff>302419</xdr:colOff>
      <xdr:row>0</xdr:row>
      <xdr:rowOff>0</xdr:rowOff>
    </xdr:from>
    <xdr:to>
      <xdr:col>22</xdr:col>
      <xdr:colOff>65714</xdr:colOff>
      <xdr:row>45</xdr:row>
      <xdr:rowOff>37024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0169" y="0"/>
          <a:ext cx="7657139" cy="8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321469</xdr:colOff>
      <xdr:row>45</xdr:row>
      <xdr:rowOff>166687</xdr:rowOff>
    </xdr:from>
    <xdr:to>
      <xdr:col>21</xdr:col>
      <xdr:colOff>577701</xdr:colOff>
      <xdr:row>90</xdr:row>
      <xdr:rowOff>41806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91563" y="8739187"/>
          <a:ext cx="7542857" cy="84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428624</xdr:colOff>
      <xdr:row>36</xdr:row>
      <xdr:rowOff>142873</xdr:rowOff>
    </xdr:from>
    <xdr:to>
      <xdr:col>33</xdr:col>
      <xdr:colOff>606541</xdr:colOff>
      <xdr:row>70</xdr:row>
      <xdr:rowOff>71436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51343" y="7000873"/>
          <a:ext cx="9893417" cy="6405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130969</xdr:rowOff>
    </xdr:from>
    <xdr:to>
      <xdr:col>17</xdr:col>
      <xdr:colOff>317998</xdr:colOff>
      <xdr:row>36</xdr:row>
      <xdr:rowOff>71437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1469"/>
          <a:ext cx="10640717" cy="6607968"/>
        </a:xfrm>
        <a:prstGeom prst="rect">
          <a:avLst/>
        </a:prstGeom>
      </xdr:spPr>
    </xdr:pic>
    <xdr:clientData/>
  </xdr:twoCellAnchor>
  <xdr:twoCellAnchor editAs="oneCell">
    <xdr:from>
      <xdr:col>17</xdr:col>
      <xdr:colOff>369093</xdr:colOff>
      <xdr:row>1</xdr:row>
      <xdr:rowOff>142875</xdr:rowOff>
    </xdr:from>
    <xdr:to>
      <xdr:col>34</xdr:col>
      <xdr:colOff>12829</xdr:colOff>
      <xdr:row>36</xdr:row>
      <xdr:rowOff>130968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1812" y="333375"/>
          <a:ext cx="9966455" cy="665559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36</xdr:row>
      <xdr:rowOff>130969</xdr:rowOff>
    </xdr:from>
    <xdr:to>
      <xdr:col>17</xdr:col>
      <xdr:colOff>381000</xdr:colOff>
      <xdr:row>70</xdr:row>
      <xdr:rowOff>79262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988969"/>
          <a:ext cx="10608469" cy="642529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2381</xdr:rowOff>
    </xdr:from>
    <xdr:to>
      <xdr:col>3</xdr:col>
      <xdr:colOff>13534</xdr:colOff>
      <xdr:row>31</xdr:row>
      <xdr:rowOff>145256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881"/>
          <a:ext cx="5669003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569119</xdr:colOff>
      <xdr:row>8</xdr:row>
      <xdr:rowOff>92868</xdr:rowOff>
    </xdr:from>
    <xdr:to>
      <xdr:col>11</xdr:col>
      <xdr:colOff>513671</xdr:colOff>
      <xdr:row>30</xdr:row>
      <xdr:rowOff>82820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7369" y="1616868"/>
          <a:ext cx="5409521" cy="4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130969</xdr:colOff>
      <xdr:row>31</xdr:row>
      <xdr:rowOff>107157</xdr:rowOff>
    </xdr:from>
    <xdr:to>
      <xdr:col>10</xdr:col>
      <xdr:colOff>587578</xdr:colOff>
      <xdr:row>51</xdr:row>
      <xdr:rowOff>49538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6438" y="6012657"/>
          <a:ext cx="4707140" cy="3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5</xdr:row>
      <xdr:rowOff>142875</xdr:rowOff>
    </xdr:from>
    <xdr:to>
      <xdr:col>21</xdr:col>
      <xdr:colOff>580264</xdr:colOff>
      <xdr:row>39</xdr:row>
      <xdr:rowOff>132542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25200" y="904875"/>
          <a:ext cx="6085714" cy="64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10</xdr:col>
      <xdr:colOff>351619</xdr:colOff>
      <xdr:row>12</xdr:row>
      <xdr:rowOff>123574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6447619" cy="20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21431</xdr:rowOff>
    </xdr:from>
    <xdr:to>
      <xdr:col>6</xdr:col>
      <xdr:colOff>452437</xdr:colOff>
      <xdr:row>39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1103312</xdr:colOff>
      <xdr:row>56</xdr:row>
      <xdr:rowOff>4763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ink.springer.com/article/10.1007/BF03397357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aluminum/pdfs/al_theoretical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ota.fas.org/reports/9330.pdf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world-aluminium.org/statistics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google.co.uk/books/edition/Energy_Expenditures_Associated_with_the/LPTgx-mhGPoC?hl=en&amp;gbpv=1&amp;dq=alumina+bayer+energy+intensity&amp;pg=PA1&amp;printsec=frontcover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osti.gov/biblio/6201565-energy-analysis-industrial-process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energy.gov/sites/prod/files/2019/05/f62/Aluminum_bandwidth_study_2017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sciencedirect.com/science/article/pii/S2666202719300072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3"/>
  <sheetViews>
    <sheetView workbookViewId="0">
      <selection activeCell="G12" sqref="G12"/>
    </sheetView>
  </sheetViews>
  <sheetFormatPr defaultColWidth="9.140625" defaultRowHeight="15" x14ac:dyDescent="0.25"/>
  <cols>
    <col min="1" max="16384" width="9.140625" style="69"/>
  </cols>
  <sheetData>
    <row r="1" spans="1:1" x14ac:dyDescent="0.25">
      <c r="A1" s="79" t="s">
        <v>181</v>
      </c>
    </row>
    <row r="2" spans="1:1" x14ac:dyDescent="0.25">
      <c r="A2" s="78" t="s">
        <v>140</v>
      </c>
    </row>
    <row r="3" spans="1:1" x14ac:dyDescent="0.25">
      <c r="A3" s="78" t="s">
        <v>141</v>
      </c>
    </row>
    <row r="4" spans="1:1" x14ac:dyDescent="0.25">
      <c r="A4" s="78" t="s">
        <v>142</v>
      </c>
    </row>
    <row r="5" spans="1:1" x14ac:dyDescent="0.25">
      <c r="A5" s="78" t="s">
        <v>143</v>
      </c>
    </row>
    <row r="6" spans="1:1" x14ac:dyDescent="0.25">
      <c r="A6" s="78" t="s">
        <v>144</v>
      </c>
    </row>
    <row r="7" spans="1:1" x14ac:dyDescent="0.25">
      <c r="A7" s="78" t="s">
        <v>145</v>
      </c>
    </row>
    <row r="8" spans="1:1" x14ac:dyDescent="0.25">
      <c r="A8" s="78" t="s">
        <v>146</v>
      </c>
    </row>
    <row r="9" spans="1:1" x14ac:dyDescent="0.25">
      <c r="A9" s="78" t="s">
        <v>147</v>
      </c>
    </row>
    <row r="10" spans="1:1" x14ac:dyDescent="0.25">
      <c r="A10" s="78" t="s">
        <v>148</v>
      </c>
    </row>
    <row r="11" spans="1:1" x14ac:dyDescent="0.25">
      <c r="A11" s="78" t="s">
        <v>149</v>
      </c>
    </row>
    <row r="12" spans="1:1" x14ac:dyDescent="0.25">
      <c r="A12" s="78"/>
    </row>
    <row r="13" spans="1:1" x14ac:dyDescent="0.25">
      <c r="A13" s="78" t="s">
        <v>150</v>
      </c>
    </row>
    <row r="14" spans="1:1" x14ac:dyDescent="0.25">
      <c r="A14" s="78" t="s">
        <v>151</v>
      </c>
    </row>
    <row r="15" spans="1:1" x14ac:dyDescent="0.25">
      <c r="A15" s="78" t="s">
        <v>152</v>
      </c>
    </row>
    <row r="16" spans="1:1" x14ac:dyDescent="0.25">
      <c r="A16" s="78" t="s">
        <v>153</v>
      </c>
    </row>
    <row r="17" spans="1:1" x14ac:dyDescent="0.25">
      <c r="A17" s="78" t="s">
        <v>154</v>
      </c>
    </row>
    <row r="18" spans="1:1" x14ac:dyDescent="0.25">
      <c r="A18" s="78" t="s">
        <v>149</v>
      </c>
    </row>
    <row r="20" spans="1:1" x14ac:dyDescent="0.25">
      <c r="A20" s="78" t="s">
        <v>155</v>
      </c>
    </row>
    <row r="21" spans="1:1" x14ac:dyDescent="0.25">
      <c r="A21" s="78" t="s">
        <v>156</v>
      </c>
    </row>
    <row r="22" spans="1:1" x14ac:dyDescent="0.25">
      <c r="A22" s="78" t="s">
        <v>157</v>
      </c>
    </row>
    <row r="23" spans="1:1" x14ac:dyDescent="0.25">
      <c r="A23" s="78" t="s">
        <v>158</v>
      </c>
    </row>
    <row r="24" spans="1:1" x14ac:dyDescent="0.25">
      <c r="A24" s="78" t="s">
        <v>159</v>
      </c>
    </row>
    <row r="25" spans="1:1" x14ac:dyDescent="0.25">
      <c r="A25" s="78" t="s">
        <v>149</v>
      </c>
    </row>
    <row r="27" spans="1:1" x14ac:dyDescent="0.25">
      <c r="A27" s="78" t="s">
        <v>160</v>
      </c>
    </row>
    <row r="28" spans="1:1" x14ac:dyDescent="0.25">
      <c r="A28" s="78" t="s">
        <v>161</v>
      </c>
    </row>
    <row r="29" spans="1:1" x14ac:dyDescent="0.25">
      <c r="A29" s="78" t="s">
        <v>162</v>
      </c>
    </row>
    <row r="30" spans="1:1" x14ac:dyDescent="0.25">
      <c r="A30" s="78" t="s">
        <v>182</v>
      </c>
    </row>
    <row r="31" spans="1:1" x14ac:dyDescent="0.25">
      <c r="A31" s="78" t="s">
        <v>183</v>
      </c>
    </row>
    <row r="32" spans="1:1" x14ac:dyDescent="0.25">
      <c r="A32" s="78" t="s">
        <v>184</v>
      </c>
    </row>
    <row r="33" spans="1:1" x14ac:dyDescent="0.25">
      <c r="A33" s="78" t="s">
        <v>149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3"/>
  <sheetViews>
    <sheetView tabSelected="1" zoomScale="80" zoomScaleNormal="80" workbookViewId="0">
      <pane xSplit="7" topLeftCell="H1" activePane="topRight" state="frozen"/>
      <selection pane="topRight" activeCell="AA40" sqref="AA40"/>
    </sheetView>
  </sheetViews>
  <sheetFormatPr defaultColWidth="9.140625" defaultRowHeight="15" x14ac:dyDescent="0.25"/>
  <cols>
    <col min="1" max="1" width="7.7109375" style="9" bestFit="1" customWidth="1"/>
    <col min="2" max="2" width="11.7109375" style="9" bestFit="1" customWidth="1"/>
    <col min="3" max="3" width="10.140625" style="9" bestFit="1" customWidth="1"/>
    <col min="4" max="4" width="8.140625" style="9" bestFit="1" customWidth="1"/>
    <col min="5" max="5" width="35" style="9" bestFit="1" customWidth="1"/>
    <col min="6" max="6" width="20.42578125" style="9" bestFit="1" customWidth="1"/>
    <col min="7" max="7" width="11.42578125" style="9" customWidth="1"/>
    <col min="8" max="16384" width="9.140625" style="9"/>
  </cols>
  <sheetData>
    <row r="1" spans="1:68" s="47" customFormat="1" x14ac:dyDescent="0.25">
      <c r="A1" s="47" t="s">
        <v>34</v>
      </c>
      <c r="B1" s="47" t="s">
        <v>44</v>
      </c>
      <c r="C1" s="47" t="s">
        <v>45</v>
      </c>
      <c r="D1" s="47" t="s">
        <v>46</v>
      </c>
      <c r="E1" s="47" t="s">
        <v>0</v>
      </c>
      <c r="F1" s="47" t="s">
        <v>1</v>
      </c>
      <c r="G1" s="47" t="s">
        <v>50</v>
      </c>
      <c r="H1" s="47">
        <v>1960</v>
      </c>
      <c r="I1" s="47">
        <v>1961</v>
      </c>
      <c r="J1" s="47">
        <v>1962</v>
      </c>
      <c r="K1" s="47">
        <v>1963</v>
      </c>
      <c r="L1" s="47">
        <v>1964</v>
      </c>
      <c r="M1" s="47">
        <v>1965</v>
      </c>
      <c r="N1" s="47">
        <v>1966</v>
      </c>
      <c r="O1" s="47">
        <v>1967</v>
      </c>
      <c r="P1" s="47">
        <v>1968</v>
      </c>
      <c r="Q1" s="47">
        <v>1969</v>
      </c>
      <c r="R1" s="47">
        <v>1970</v>
      </c>
      <c r="S1" s="47">
        <v>1971</v>
      </c>
      <c r="T1" s="47">
        <v>1972</v>
      </c>
      <c r="U1" s="47">
        <v>1973</v>
      </c>
      <c r="V1" s="47">
        <v>1974</v>
      </c>
      <c r="W1" s="47">
        <v>1975</v>
      </c>
      <c r="X1" s="47">
        <v>1976</v>
      </c>
      <c r="Y1" s="47">
        <v>1977</v>
      </c>
      <c r="Z1" s="47">
        <v>1978</v>
      </c>
      <c r="AA1" s="47">
        <v>1979</v>
      </c>
      <c r="AB1" s="47">
        <v>1980</v>
      </c>
      <c r="AC1" s="47">
        <v>1981</v>
      </c>
      <c r="AD1" s="47">
        <v>1982</v>
      </c>
      <c r="AE1" s="47">
        <v>1983</v>
      </c>
      <c r="AF1" s="47">
        <v>1984</v>
      </c>
      <c r="AG1" s="47">
        <v>1985</v>
      </c>
      <c r="AH1" s="47">
        <v>1986</v>
      </c>
      <c r="AI1" s="47">
        <v>1987</v>
      </c>
      <c r="AJ1" s="47">
        <v>1988</v>
      </c>
      <c r="AK1" s="47">
        <v>1989</v>
      </c>
      <c r="AL1" s="47">
        <v>1990</v>
      </c>
      <c r="AM1" s="47">
        <v>1991</v>
      </c>
      <c r="AN1" s="47">
        <v>1992</v>
      </c>
      <c r="AO1" s="47">
        <v>1993</v>
      </c>
      <c r="AP1" s="47">
        <v>1994</v>
      </c>
      <c r="AQ1" s="47">
        <v>1995</v>
      </c>
      <c r="AR1" s="47">
        <v>1996</v>
      </c>
      <c r="AS1" s="47">
        <v>1997</v>
      </c>
      <c r="AT1" s="47">
        <v>1998</v>
      </c>
      <c r="AU1" s="47">
        <v>1999</v>
      </c>
      <c r="AV1" s="47">
        <v>2000</v>
      </c>
      <c r="AW1" s="47">
        <v>2001</v>
      </c>
      <c r="AX1" s="47">
        <v>2002</v>
      </c>
      <c r="AY1" s="47">
        <v>2003</v>
      </c>
      <c r="AZ1" s="47">
        <v>2004</v>
      </c>
      <c r="BA1" s="47">
        <v>2005</v>
      </c>
      <c r="BB1" s="47">
        <v>2006</v>
      </c>
      <c r="BC1" s="47">
        <v>2007</v>
      </c>
      <c r="BD1" s="47">
        <v>2008</v>
      </c>
      <c r="BE1" s="47">
        <v>2009</v>
      </c>
      <c r="BF1" s="47">
        <v>2010</v>
      </c>
      <c r="BG1" s="47">
        <v>2011</v>
      </c>
      <c r="BH1" s="47">
        <v>2012</v>
      </c>
      <c r="BI1" s="47">
        <v>2013</v>
      </c>
      <c r="BJ1" s="47">
        <v>2014</v>
      </c>
      <c r="BK1" s="47">
        <v>2015</v>
      </c>
      <c r="BL1" s="47">
        <v>2016</v>
      </c>
      <c r="BM1" s="47">
        <v>2017</v>
      </c>
      <c r="BN1" s="47">
        <v>2018</v>
      </c>
      <c r="BO1" s="47">
        <v>2019</v>
      </c>
      <c r="BP1" s="47">
        <v>2020</v>
      </c>
    </row>
    <row r="2" spans="1:68" x14ac:dyDescent="0.25">
      <c r="A2" s="9" t="s">
        <v>175</v>
      </c>
      <c r="B2" s="9" t="s">
        <v>47</v>
      </c>
      <c r="C2" s="9" t="s">
        <v>48</v>
      </c>
      <c r="D2" s="9" t="s">
        <v>49</v>
      </c>
      <c r="E2" s="9" t="s">
        <v>42</v>
      </c>
      <c r="F2" s="9" t="s">
        <v>43</v>
      </c>
      <c r="G2" s="9" t="s">
        <v>123</v>
      </c>
      <c r="H2" s="48">
        <f t="array" ref="H2:BP2">TRANSPOSE(Calcs!Z18:Z78)</f>
        <v>1.2911186013830305E-2</v>
      </c>
      <c r="I2" s="48">
        <v>1.3141063782680838E-2</v>
      </c>
      <c r="J2" s="48">
        <v>1.3379275674098358E-2</v>
      </c>
      <c r="K2" s="48">
        <v>1.3626283280709844E-2</v>
      </c>
      <c r="L2" s="48">
        <v>1.388258292391552E-2</v>
      </c>
      <c r="M2" s="48">
        <v>1.4148708982603576E-2</v>
      </c>
      <c r="N2" s="48">
        <v>1.4425237612212073E-2</v>
      </c>
      <c r="O2" s="48">
        <v>1.4712790908606516E-2</v>
      </c>
      <c r="P2" s="48">
        <v>1.5012041580104291E-2</v>
      </c>
      <c r="Q2" s="48">
        <v>1.5323718201496228E-2</v>
      </c>
      <c r="R2" s="48">
        <v>1.5648611136441618E-2</v>
      </c>
      <c r="S2" s="48">
        <v>1.5987579229581272E-2</v>
      </c>
      <c r="T2" s="48">
        <v>1.6341557387663887E-2</v>
      </c>
      <c r="U2" s="48">
        <v>1.6711565190589875E-2</v>
      </c>
      <c r="V2" s="48">
        <v>1.7098716699391083E-2</v>
      </c>
      <c r="W2" s="48">
        <v>1.7504231659852949E-2</v>
      </c>
      <c r="X2" s="48">
        <v>1.7929448339101921E-2</v>
      </c>
      <c r="Y2" s="48">
        <v>1.8375838279749965E-2</v>
      </c>
      <c r="Z2" s="48">
        <v>1.8845023314319264E-2</v>
      </c>
      <c r="AA2" s="48">
        <v>1.9338795254509582E-2</v>
      </c>
      <c r="AB2" s="48">
        <v>1.9859138759106942E-2</v>
      </c>
      <c r="AC2" s="48">
        <v>2.1398365313178468E-2</v>
      </c>
      <c r="AD2" s="48">
        <v>2.3196241402055919E-2</v>
      </c>
      <c r="AE2" s="48">
        <v>2.5323941751334966E-2</v>
      </c>
      <c r="AF2" s="48">
        <v>2.7881392671854969E-2</v>
      </c>
      <c r="AG2" s="48">
        <v>3.1013420962200961E-2</v>
      </c>
      <c r="AH2" s="48">
        <v>3.2416770275822696E-2</v>
      </c>
      <c r="AI2" s="48">
        <v>2.7954426232525614E-2</v>
      </c>
      <c r="AJ2" s="48">
        <v>3.2569808122950364E-2</v>
      </c>
      <c r="AK2" s="48">
        <v>3.483860978176407E-2</v>
      </c>
      <c r="AL2" s="48">
        <v>3.2517235472958511E-2</v>
      </c>
      <c r="AM2" s="48">
        <v>3.2747704207372483E-2</v>
      </c>
      <c r="AN2" s="48">
        <v>3.356617855273137E-2</v>
      </c>
      <c r="AO2" s="48">
        <v>3.2082236145061879E-2</v>
      </c>
      <c r="AP2" s="48">
        <v>3.3201064210243353E-2</v>
      </c>
      <c r="AQ2" s="48">
        <v>3.3430265051787679E-2</v>
      </c>
      <c r="AR2" s="48">
        <v>3.0606316803718107E-2</v>
      </c>
      <c r="AS2" s="48">
        <v>3.0791571472559388E-2</v>
      </c>
      <c r="AT2" s="48">
        <v>2.8831402736728955E-2</v>
      </c>
      <c r="AU2" s="48">
        <v>2.9441537647911922E-2</v>
      </c>
      <c r="AV2" s="48">
        <v>3.0180796009179684E-2</v>
      </c>
      <c r="AW2" s="48">
        <v>3.2658513909939783E-2</v>
      </c>
      <c r="AX2" s="48">
        <v>3.8926182022351319E-2</v>
      </c>
      <c r="AY2" s="48">
        <v>3.4646872798925525E-2</v>
      </c>
      <c r="AZ2" s="48">
        <v>4.0030756140623278E-2</v>
      </c>
      <c r="BA2" s="48">
        <v>3.9382776275037647E-2</v>
      </c>
      <c r="BB2" s="48">
        <v>2.637756994737241E-2</v>
      </c>
      <c r="BC2" s="48">
        <v>2.7890953259410836E-2</v>
      </c>
      <c r="BD2" s="48">
        <v>3.0001009293213882E-2</v>
      </c>
      <c r="BE2" s="48">
        <v>2.970374184636871E-2</v>
      </c>
      <c r="BF2" s="48">
        <v>3.1065071737304554E-2</v>
      </c>
      <c r="BG2" s="48">
        <v>3.2510938157974401E-2</v>
      </c>
      <c r="BH2" s="48">
        <v>3.2112921188878492E-2</v>
      </c>
      <c r="BI2" s="48">
        <v>3.0262404939621526E-2</v>
      </c>
      <c r="BJ2" s="48">
        <v>3.3550525814747947E-2</v>
      </c>
      <c r="BK2" s="48">
        <v>3.4061067428999149E-2</v>
      </c>
      <c r="BL2" s="48">
        <v>3.3492514664173793E-2</v>
      </c>
      <c r="BM2" s="48">
        <v>3.8447739751521597E-2</v>
      </c>
      <c r="BN2" s="48">
        <v>4.0865542275655746E-2</v>
      </c>
      <c r="BO2" s="48">
        <v>3.9186659119606393E-2</v>
      </c>
      <c r="BP2" s="48">
        <v>4.1430317785881986E-2</v>
      </c>
    </row>
    <row r="3" spans="1:68" x14ac:dyDescent="0.25">
      <c r="A3" s="9" t="s">
        <v>176</v>
      </c>
      <c r="B3" s="9" t="s">
        <v>47</v>
      </c>
      <c r="C3" s="9" t="s">
        <v>48</v>
      </c>
      <c r="D3" s="9" t="s">
        <v>49</v>
      </c>
      <c r="E3" s="9" t="s">
        <v>42</v>
      </c>
      <c r="F3" s="9" t="s">
        <v>43</v>
      </c>
      <c r="G3" s="9" t="s">
        <v>123</v>
      </c>
      <c r="H3" s="48">
        <f t="array" ref="H3:BP3">TRANSPOSE(Calcs!Z18:Z78)</f>
        <v>1.2911186013830305E-2</v>
      </c>
      <c r="I3" s="48">
        <v>1.3141063782680838E-2</v>
      </c>
      <c r="J3" s="48">
        <v>1.3379275674098358E-2</v>
      </c>
      <c r="K3" s="48">
        <v>1.3626283280709844E-2</v>
      </c>
      <c r="L3" s="48">
        <v>1.388258292391552E-2</v>
      </c>
      <c r="M3" s="48">
        <v>1.4148708982603576E-2</v>
      </c>
      <c r="N3" s="48">
        <v>1.4425237612212073E-2</v>
      </c>
      <c r="O3" s="48">
        <v>1.4712790908606516E-2</v>
      </c>
      <c r="P3" s="48">
        <v>1.5012041580104291E-2</v>
      </c>
      <c r="Q3" s="48">
        <v>1.5323718201496228E-2</v>
      </c>
      <c r="R3" s="48">
        <v>1.5648611136441618E-2</v>
      </c>
      <c r="S3" s="48">
        <v>1.5987579229581272E-2</v>
      </c>
      <c r="T3" s="48">
        <v>1.6341557387663887E-2</v>
      </c>
      <c r="U3" s="48">
        <v>1.6711565190589875E-2</v>
      </c>
      <c r="V3" s="48">
        <v>1.7098716699391083E-2</v>
      </c>
      <c r="W3" s="48">
        <v>1.7504231659852949E-2</v>
      </c>
      <c r="X3" s="48">
        <v>1.7929448339101921E-2</v>
      </c>
      <c r="Y3" s="48">
        <v>1.8375838279749965E-2</v>
      </c>
      <c r="Z3" s="48">
        <v>1.8845023314319264E-2</v>
      </c>
      <c r="AA3" s="48">
        <v>1.9338795254509582E-2</v>
      </c>
      <c r="AB3" s="48">
        <v>1.9859138759106942E-2</v>
      </c>
      <c r="AC3" s="48">
        <v>2.1398365313178468E-2</v>
      </c>
      <c r="AD3" s="48">
        <v>2.3196241402055919E-2</v>
      </c>
      <c r="AE3" s="48">
        <v>2.5323941751334966E-2</v>
      </c>
      <c r="AF3" s="48">
        <v>2.7881392671854969E-2</v>
      </c>
      <c r="AG3" s="48">
        <v>3.1013420962200961E-2</v>
      </c>
      <c r="AH3" s="48">
        <v>3.2416770275822696E-2</v>
      </c>
      <c r="AI3" s="48">
        <v>2.7954426232525614E-2</v>
      </c>
      <c r="AJ3" s="48">
        <v>3.2569808122950364E-2</v>
      </c>
      <c r="AK3" s="48">
        <v>3.483860978176407E-2</v>
      </c>
      <c r="AL3" s="48">
        <v>3.2517235472958511E-2</v>
      </c>
      <c r="AM3" s="48">
        <v>3.2747704207372483E-2</v>
      </c>
      <c r="AN3" s="48">
        <v>3.356617855273137E-2</v>
      </c>
      <c r="AO3" s="48">
        <v>3.2082236145061879E-2</v>
      </c>
      <c r="AP3" s="48">
        <v>3.3201064210243353E-2</v>
      </c>
      <c r="AQ3" s="48">
        <v>3.3430265051787679E-2</v>
      </c>
      <c r="AR3" s="48">
        <v>3.0606316803718107E-2</v>
      </c>
      <c r="AS3" s="48">
        <v>3.0791571472559388E-2</v>
      </c>
      <c r="AT3" s="48">
        <v>2.8831402736728955E-2</v>
      </c>
      <c r="AU3" s="48">
        <v>2.9441537647911922E-2</v>
      </c>
      <c r="AV3" s="48">
        <v>3.0180796009179684E-2</v>
      </c>
      <c r="AW3" s="48">
        <v>3.2658513909939783E-2</v>
      </c>
      <c r="AX3" s="48">
        <v>3.8926182022351319E-2</v>
      </c>
      <c r="AY3" s="48">
        <v>3.4646872798925525E-2</v>
      </c>
      <c r="AZ3" s="48">
        <v>4.0030756140623278E-2</v>
      </c>
      <c r="BA3" s="48">
        <v>3.9382776275037647E-2</v>
      </c>
      <c r="BB3" s="48">
        <v>2.637756994737241E-2</v>
      </c>
      <c r="BC3" s="48">
        <v>2.7890953259410836E-2</v>
      </c>
      <c r="BD3" s="48">
        <v>3.0001009293213882E-2</v>
      </c>
      <c r="BE3" s="48">
        <v>2.970374184636871E-2</v>
      </c>
      <c r="BF3" s="48">
        <v>3.1065071737304554E-2</v>
      </c>
      <c r="BG3" s="48">
        <v>3.2510938157974401E-2</v>
      </c>
      <c r="BH3" s="48">
        <v>3.2112921188878492E-2</v>
      </c>
      <c r="BI3" s="48">
        <v>3.0262404939621526E-2</v>
      </c>
      <c r="BJ3" s="48">
        <v>3.3550525814747947E-2</v>
      </c>
      <c r="BK3" s="48">
        <v>3.4061067428999149E-2</v>
      </c>
      <c r="BL3" s="48">
        <v>3.3492514664173793E-2</v>
      </c>
      <c r="BM3" s="48">
        <v>3.8447739751521597E-2</v>
      </c>
      <c r="BN3" s="48">
        <v>4.0865542275655746E-2</v>
      </c>
      <c r="BO3" s="48">
        <v>3.9186659119606393E-2</v>
      </c>
      <c r="BP3" s="48">
        <v>4.1430317785881986E-2</v>
      </c>
    </row>
    <row r="4" spans="1:68" x14ac:dyDescent="0.25">
      <c r="A4" s="9" t="s">
        <v>177</v>
      </c>
      <c r="B4" s="9" t="s">
        <v>47</v>
      </c>
      <c r="C4" s="9" t="s">
        <v>48</v>
      </c>
      <c r="D4" s="9" t="s">
        <v>49</v>
      </c>
      <c r="E4" s="9" t="s">
        <v>42</v>
      </c>
      <c r="F4" s="9" t="s">
        <v>43</v>
      </c>
      <c r="G4" s="9" t="s">
        <v>123</v>
      </c>
      <c r="H4" s="48">
        <f t="array" ref="H4:BP4">TRANSPOSE(Calcs!AD18:AD78)</f>
        <v>1.7402452662565598E-2</v>
      </c>
      <c r="I4" s="48">
        <v>1.7712295382383312E-2</v>
      </c>
      <c r="J4" s="48">
        <v>1.8033371320690841E-2</v>
      </c>
      <c r="K4" s="48">
        <v>1.8366302639064337E-2</v>
      </c>
      <c r="L4" s="48">
        <v>1.8711758308554458E-2</v>
      </c>
      <c r="M4" s="48">
        <v>1.9070458596322996E-2</v>
      </c>
      <c r="N4" s="48">
        <v>1.944318007841234E-2</v>
      </c>
      <c r="O4" s="48">
        <v>1.9830761252063515E-2</v>
      </c>
      <c r="P4" s="48">
        <v>2.0234108832944356E-2</v>
      </c>
      <c r="Q4" s="48">
        <v>2.065420483682746E-2</v>
      </c>
      <c r="R4" s="48">
        <v>2.1092114562141055E-2</v>
      </c>
      <c r="S4" s="48">
        <v>2.1548995609990896E-2</v>
      </c>
      <c r="T4" s="48">
        <v>2.202610810244637E-2</v>
      </c>
      <c r="U4" s="48">
        <v>2.2524826289009713E-2</v>
      </c>
      <c r="V4" s="48">
        <v>2.3046651766385446E-2</v>
      </c>
      <c r="W4" s="48">
        <v>2.3593228579378494E-2</v>
      </c>
      <c r="X4" s="48">
        <v>2.4166360522798483E-2</v>
      </c>
      <c r="Y4" s="48">
        <v>2.4768031027959804E-2</v>
      </c>
      <c r="Z4" s="48">
        <v>2.5400426095719669E-2</v>
      </c>
      <c r="AA4" s="48">
        <v>2.6065960834825791E-2</v>
      </c>
      <c r="AB4" s="48">
        <v>2.676731028462298E-2</v>
      </c>
      <c r="AC4" s="48">
        <v>2.8841969980138212E-2</v>
      </c>
      <c r="AD4" s="48">
        <v>3.1265252666665515E-2</v>
      </c>
      <c r="AE4" s="48">
        <v>3.4133091807762993E-2</v>
      </c>
      <c r="AF4" s="48">
        <v>3.758017393743799E-2</v>
      </c>
      <c r="AG4" s="48">
        <v>4.1801705096711606E-2</v>
      </c>
      <c r="AH4" s="48">
        <v>4.3747997133876074E-2</v>
      </c>
      <c r="AI4" s="48">
        <v>3.9568427325988483E-2</v>
      </c>
      <c r="AJ4" s="48">
        <v>3.7682524729156855E-2</v>
      </c>
      <c r="AK4" s="48">
        <v>3.6887639566775168E-2</v>
      </c>
      <c r="AL4" s="48">
        <v>3.7898031680727022E-2</v>
      </c>
      <c r="AM4" s="48">
        <v>3.7906589116753077E-2</v>
      </c>
      <c r="AN4" s="48">
        <v>3.8681024808385672E-2</v>
      </c>
      <c r="AO4" s="48">
        <v>3.9125772452235967E-2</v>
      </c>
      <c r="AP4" s="48">
        <v>4.0855596901531711E-2</v>
      </c>
      <c r="AQ4" s="48">
        <v>4.020010720028587E-2</v>
      </c>
      <c r="AR4" s="48">
        <v>3.975583699125209E-2</v>
      </c>
      <c r="AS4" s="48">
        <v>4.4348973494644367E-2</v>
      </c>
      <c r="AT4" s="48">
        <v>4.5680448345141171E-2</v>
      </c>
      <c r="AU4" s="48">
        <v>4.4675502794746864E-2</v>
      </c>
      <c r="AV4" s="48">
        <v>4.3214942766876728E-2</v>
      </c>
      <c r="AW4" s="48">
        <v>4.544549205966264E-2</v>
      </c>
      <c r="AX4" s="48">
        <v>4.2119841348597586E-2</v>
      </c>
      <c r="AY4" s="48">
        <v>4.6090138464828539E-2</v>
      </c>
      <c r="AZ4" s="48">
        <v>4.8650207013638078E-2</v>
      </c>
      <c r="BA4" s="48">
        <v>4.4236007290749356E-2</v>
      </c>
      <c r="BB4" s="48">
        <v>4.1704781633420118E-2</v>
      </c>
      <c r="BC4" s="48">
        <v>4.5947171152739844E-2</v>
      </c>
      <c r="BD4" s="48">
        <v>4.63275635180923E-2</v>
      </c>
      <c r="BE4" s="48">
        <v>4.2611637448615056E-2</v>
      </c>
      <c r="BF4" s="48">
        <v>4.1906052837841684E-2</v>
      </c>
      <c r="BG4" s="48">
        <v>4.4719138963344111E-2</v>
      </c>
      <c r="BH4" s="48">
        <v>4.3352581820192936E-2</v>
      </c>
      <c r="BI4" s="48">
        <v>4.3981044712704691E-2</v>
      </c>
      <c r="BJ4" s="48">
        <v>4.2133936501730231E-2</v>
      </c>
      <c r="BK4" s="48">
        <v>4.142350246793728E-2</v>
      </c>
      <c r="BL4" s="48">
        <v>4.34498268488639E-2</v>
      </c>
      <c r="BM4" s="48">
        <v>5.0979546817003889E-2</v>
      </c>
      <c r="BN4" s="48">
        <v>5.0933145530459287E-2</v>
      </c>
      <c r="BO4" s="48">
        <v>5.634671548502812E-2</v>
      </c>
      <c r="BP4" s="48">
        <v>4.8598566342292912E-2</v>
      </c>
    </row>
    <row r="5" spans="1:68" x14ac:dyDescent="0.25">
      <c r="A5" s="9" t="s">
        <v>178</v>
      </c>
      <c r="B5" s="9" t="s">
        <v>47</v>
      </c>
      <c r="C5" s="9" t="s">
        <v>48</v>
      </c>
      <c r="D5" s="9" t="s">
        <v>49</v>
      </c>
      <c r="E5" s="9" t="s">
        <v>42</v>
      </c>
      <c r="F5" s="9" t="s">
        <v>43</v>
      </c>
      <c r="G5" s="9" t="s">
        <v>123</v>
      </c>
      <c r="H5" s="48">
        <f t="array" ref="H5:BP5">TRANSPOSE(Calcs!AH18:AH78)</f>
        <v>1.6837837269401731E-2</v>
      </c>
      <c r="I5" s="48">
        <v>1.7137627270073414E-2</v>
      </c>
      <c r="J5" s="48">
        <v>1.7448286032097918E-2</v>
      </c>
      <c r="K5" s="48">
        <v>1.7770415531275872E-2</v>
      </c>
      <c r="L5" s="48">
        <v>1.8104663034168338E-2</v>
      </c>
      <c r="M5" s="48">
        <v>1.8451725439166358E-2</v>
      </c>
      <c r="N5" s="48">
        <v>1.8812354126623184E-2</v>
      </c>
      <c r="O5" s="48">
        <v>1.9187360389082978E-2</v>
      </c>
      <c r="P5" s="48">
        <v>1.9577621524198011E-2</v>
      </c>
      <c r="Q5" s="48">
        <v>1.9984087686644496E-2</v>
      </c>
      <c r="R5" s="48">
        <v>2.0407789611682894E-2</v>
      </c>
      <c r="S5" s="48">
        <v>2.0849847342528937E-2</v>
      </c>
      <c r="T5" s="48">
        <v>2.131148011711162E-2</v>
      </c>
      <c r="U5" s="48">
        <v>2.1794017597975345E-2</v>
      </c>
      <c r="V5" s="48">
        <v>2.2298912663139405E-2</v>
      </c>
      <c r="W5" s="48">
        <v>2.2827756017053651E-2</v>
      </c>
      <c r="X5" s="48">
        <v>2.3382292931149705E-2</v>
      </c>
      <c r="Y5" s="48">
        <v>2.3964442485131684E-2</v>
      </c>
      <c r="Z5" s="48">
        <v>2.4576319755961334E-2</v>
      </c>
      <c r="AA5" s="48">
        <v>2.5220261495179985E-2</v>
      </c>
      <c r="AB5" s="48">
        <v>2.5898855951585097E-2</v>
      </c>
      <c r="AC5" s="48">
        <v>2.7906204169667936E-2</v>
      </c>
      <c r="AD5" s="48">
        <v>3.0250864449725835E-2</v>
      </c>
      <c r="AE5" s="48">
        <v>3.3025657733691663E-2</v>
      </c>
      <c r="AF5" s="48">
        <v>3.6360900706573475E-2</v>
      </c>
      <c r="AG5" s="48">
        <v>4.0445466029969596E-2</v>
      </c>
      <c r="AH5" s="48">
        <v>4.8962370504100856E-2</v>
      </c>
      <c r="AI5" s="48">
        <v>5.053958284045975E-2</v>
      </c>
      <c r="AJ5" s="48">
        <v>5.0458565575110852E-2</v>
      </c>
      <c r="AK5" s="48">
        <v>4.3938836416435298E-2</v>
      </c>
      <c r="AL5" s="48">
        <v>4.2021438715492819E-2</v>
      </c>
      <c r="AM5" s="48">
        <v>4.1018646604103384E-2</v>
      </c>
      <c r="AN5" s="48">
        <v>4.0706995069930599E-2</v>
      </c>
      <c r="AO5" s="48">
        <v>3.9929195512977203E-2</v>
      </c>
      <c r="AP5" s="48">
        <v>3.9831298877347467E-2</v>
      </c>
      <c r="AQ5" s="48">
        <v>3.9364306941158465E-2</v>
      </c>
      <c r="AR5" s="48">
        <v>4.0033938235705994E-2</v>
      </c>
      <c r="AS5" s="48">
        <v>4.1787831314734604E-2</v>
      </c>
      <c r="AT5" s="48">
        <v>4.1471256835077519E-2</v>
      </c>
      <c r="AU5" s="48">
        <v>4.301195174696229E-2</v>
      </c>
      <c r="AV5" s="48">
        <v>4.2310925229369183E-2</v>
      </c>
      <c r="AW5" s="48">
        <v>4.265494562591525E-2</v>
      </c>
      <c r="AX5" s="48">
        <v>4.4038732336934366E-2</v>
      </c>
      <c r="AY5" s="48">
        <v>4.53227990465426E-2</v>
      </c>
      <c r="AZ5" s="48">
        <v>5.0147061934201077E-2</v>
      </c>
      <c r="BA5" s="48">
        <v>4.5006876050507724E-2</v>
      </c>
      <c r="BB5" s="48">
        <v>4.5515313421164161E-2</v>
      </c>
      <c r="BC5" s="48">
        <v>4.688827325250735E-2</v>
      </c>
      <c r="BD5" s="48">
        <v>4.7946205541239663E-2</v>
      </c>
      <c r="BE5" s="48">
        <v>5.2713726502531019E-2</v>
      </c>
      <c r="BF5" s="48">
        <v>5.1317194110982414E-2</v>
      </c>
      <c r="BG5" s="48">
        <v>5.5692463010636011E-2</v>
      </c>
      <c r="BH5" s="48">
        <v>5.6701975118799978E-2</v>
      </c>
      <c r="BI5" s="48">
        <v>5.6926296259204409E-2</v>
      </c>
      <c r="BJ5" s="48">
        <v>5.8398300441231607E-2</v>
      </c>
      <c r="BK5" s="48">
        <v>5.612067561903069E-2</v>
      </c>
      <c r="BL5" s="48">
        <v>5.8290155440414514E-2</v>
      </c>
      <c r="BM5" s="48">
        <v>5.8622621697728021E-2</v>
      </c>
      <c r="BN5" s="48">
        <v>5.3979307931959424E-2</v>
      </c>
      <c r="BO5" s="48">
        <v>5.6264880237423903E-2</v>
      </c>
      <c r="BP5" s="48">
        <v>6.0846555878359486E-2</v>
      </c>
    </row>
    <row r="6" spans="1:68" x14ac:dyDescent="0.25">
      <c r="A6" s="9" t="s">
        <v>179</v>
      </c>
      <c r="B6" s="9" t="s">
        <v>47</v>
      </c>
      <c r="C6" s="9" t="s">
        <v>48</v>
      </c>
      <c r="D6" s="9" t="s">
        <v>49</v>
      </c>
      <c r="E6" s="9" t="s">
        <v>42</v>
      </c>
      <c r="F6" s="9" t="s">
        <v>43</v>
      </c>
      <c r="G6" s="9" t="s">
        <v>123</v>
      </c>
      <c r="H6" s="48">
        <f t="array" ref="H6:BP6">TRANSPOSE(Calcs!AL18:AL78)</f>
        <v>1.709177057785851E-2</v>
      </c>
      <c r="I6" s="48">
        <v>1.7396081745084713E-2</v>
      </c>
      <c r="J6" s="48">
        <v>1.7711425586670194E-2</v>
      </c>
      <c r="K6" s="48">
        <v>1.8038413156880016E-2</v>
      </c>
      <c r="L6" s="48">
        <v>1.8377701483774694E-2</v>
      </c>
      <c r="M6" s="48">
        <v>1.8729997975747901E-2</v>
      </c>
      <c r="N6" s="48">
        <v>1.9096065344804101E-2</v>
      </c>
      <c r="O6" s="48">
        <v>1.9476727118681116E-2</v>
      </c>
      <c r="P6" s="48">
        <v>1.9872873825655307E-2</v>
      </c>
      <c r="Q6" s="48">
        <v>2.0285469949791902E-2</v>
      </c>
      <c r="R6" s="48">
        <v>2.07155617709852E-2</v>
      </c>
      <c r="S6" s="48">
        <v>2.1164286223948017E-2</v>
      </c>
      <c r="T6" s="48">
        <v>2.1632880934073034E-2</v>
      </c>
      <c r="U6" s="48">
        <v>2.2122695616694305E-2</v>
      </c>
      <c r="V6" s="48">
        <v>2.2635205060847138E-2</v>
      </c>
      <c r="W6" s="48">
        <v>2.3172023960573253E-2</v>
      </c>
      <c r="X6" s="48">
        <v>2.3734923907938053E-2</v>
      </c>
      <c r="Y6" s="48">
        <v>2.4325852924501484E-2</v>
      </c>
      <c r="Z6" s="48">
        <v>2.4946957984937682E-2</v>
      </c>
      <c r="AA6" s="48">
        <v>2.5600611081599507E-2</v>
      </c>
      <c r="AB6" s="48">
        <v>2.6289439496954243E-2</v>
      </c>
      <c r="AC6" s="48">
        <v>2.8327060758189061E-2</v>
      </c>
      <c r="AD6" s="48">
        <v>3.0707081122359675E-2</v>
      </c>
      <c r="AE6" s="48">
        <v>3.3523721374413347E-2</v>
      </c>
      <c r="AF6" s="48">
        <v>3.6909263519870616E-2</v>
      </c>
      <c r="AG6" s="48">
        <v>4.1055428630079188E-2</v>
      </c>
      <c r="AH6" s="48">
        <v>4.1532817335080109E-2</v>
      </c>
      <c r="AI6" s="48">
        <v>4.1048736083232652E-2</v>
      </c>
      <c r="AJ6" s="48">
        <v>4.1179635568698393E-2</v>
      </c>
      <c r="AK6" s="48">
        <v>4.2346501555972534E-2</v>
      </c>
      <c r="AL6" s="48">
        <v>4.1965414799198519E-2</v>
      </c>
      <c r="AM6" s="48">
        <v>4.1677171715092803E-2</v>
      </c>
      <c r="AN6" s="48">
        <v>4.0442218180774224E-2</v>
      </c>
      <c r="AO6" s="48">
        <v>4.1065471543149171E-2</v>
      </c>
      <c r="AP6" s="48">
        <v>4.2960585430792578E-2</v>
      </c>
      <c r="AQ6" s="48">
        <v>4.1642710683411729E-2</v>
      </c>
      <c r="AR6" s="48">
        <v>4.2014427546940972E-2</v>
      </c>
      <c r="AS6" s="48">
        <v>4.1311372570353652E-2</v>
      </c>
      <c r="AT6" s="48">
        <v>3.8648372573492545E-2</v>
      </c>
      <c r="AU6" s="48">
        <v>3.9092365365612156E-2</v>
      </c>
      <c r="AV6" s="48">
        <v>3.9884924606413352E-2</v>
      </c>
      <c r="AW6" s="48">
        <v>3.8938220427182729E-2</v>
      </c>
      <c r="AX6" s="48">
        <v>3.7333353818026792E-2</v>
      </c>
      <c r="AY6" s="48">
        <v>4.0905372238887378E-2</v>
      </c>
      <c r="AZ6" s="48">
        <v>4.0605252197466857E-2</v>
      </c>
      <c r="BA6" s="48">
        <v>4.0257949081149595E-2</v>
      </c>
      <c r="BB6" s="48">
        <v>2.9616403587484942E-2</v>
      </c>
      <c r="BC6" s="48">
        <v>3.4428967938554919E-2</v>
      </c>
      <c r="BD6" s="48">
        <v>3.17946302402261E-2</v>
      </c>
      <c r="BE6" s="48">
        <v>2.9388279337409198E-2</v>
      </c>
      <c r="BF6" s="48">
        <v>3.4431321734134233E-2</v>
      </c>
      <c r="BG6" s="48">
        <v>3.5282817921057967E-2</v>
      </c>
      <c r="BH6" s="48">
        <v>3.7995242776701722E-2</v>
      </c>
      <c r="BI6" s="48">
        <v>3.6518522442548142E-2</v>
      </c>
      <c r="BJ6" s="48">
        <v>3.8485934816229667E-2</v>
      </c>
      <c r="BK6" s="48">
        <v>3.8803216195791773E-2</v>
      </c>
      <c r="BL6" s="48">
        <v>3.9016651921690536E-2</v>
      </c>
      <c r="BM6" s="48">
        <v>3.9324349418691451E-2</v>
      </c>
      <c r="BN6" s="48">
        <v>3.8515367314559602E-2</v>
      </c>
      <c r="BO6" s="48">
        <v>3.7427686014059262E-2</v>
      </c>
      <c r="BP6" s="48">
        <v>3.6742317283518011E-2</v>
      </c>
    </row>
    <row r="7" spans="1:68" x14ac:dyDescent="0.25">
      <c r="A7" s="9" t="s">
        <v>180</v>
      </c>
      <c r="B7" s="9" t="s">
        <v>47</v>
      </c>
      <c r="C7" s="9" t="s">
        <v>48</v>
      </c>
      <c r="D7" s="9" t="s">
        <v>49</v>
      </c>
      <c r="E7" s="9" t="s">
        <v>42</v>
      </c>
      <c r="F7" s="9" t="s">
        <v>43</v>
      </c>
      <c r="G7" s="9" t="s">
        <v>123</v>
      </c>
      <c r="H7" s="48">
        <f t="array" ref="H7:BP7">TRANSPOSE(Calcs!AP18:AP78)</f>
        <v>1.5626798068017464E-2</v>
      </c>
      <c r="I7" s="48">
        <v>1.5905026068938972E-2</v>
      </c>
      <c r="J7" s="48">
        <v>1.6193341109911552E-2</v>
      </c>
      <c r="K7" s="48">
        <v>1.6492301870421642E-2</v>
      </c>
      <c r="L7" s="48">
        <v>1.6802509063237991E-2</v>
      </c>
      <c r="M7" s="48">
        <v>1.7124609463255534E-2</v>
      </c>
      <c r="N7" s="48">
        <v>1.7459300408788243E-2</v>
      </c>
      <c r="O7" s="48">
        <v>1.7807334841235839E-2</v>
      </c>
      <c r="P7" s="48">
        <v>1.8169526959775927E-2</v>
      </c>
      <c r="Q7" s="48">
        <v>1.8546758580464878E-2</v>
      </c>
      <c r="R7" s="48">
        <v>1.893998630429123E-2</v>
      </c>
      <c r="S7" s="48">
        <v>1.9350249616842091E-2</v>
      </c>
      <c r="T7" s="48">
        <v>1.9778680063969135E-2</v>
      </c>
      <c r="U7" s="48">
        <v>2.0226511673994859E-2</v>
      </c>
      <c r="V7" s="48">
        <v>2.0695092828606383E-2</v>
      </c>
      <c r="W7" s="48">
        <v>2.1185899822937473E-2</v>
      </c>
      <c r="X7" s="48">
        <v>2.1700552402077671E-2</v>
      </c>
      <c r="Y7" s="48">
        <v>2.2240831618458648E-2</v>
      </c>
      <c r="Z7" s="48">
        <v>2.280870042492588E-2</v>
      </c>
      <c r="AA7" s="48">
        <v>2.3406327505253122E-2</v>
      </c>
      <c r="AB7" s="48">
        <v>2.4036114951862392E-2</v>
      </c>
      <c r="AC7" s="48">
        <v>2.5899087301237623E-2</v>
      </c>
      <c r="AD7" s="48">
        <v>2.8075110988148327E-2</v>
      </c>
      <c r="AE7" s="48">
        <v>3.0650330930903226E-2</v>
      </c>
      <c r="AF7" s="48">
        <v>3.3745690959100613E-2</v>
      </c>
      <c r="AG7" s="48">
        <v>3.7536479317670228E-2</v>
      </c>
      <c r="AH7" s="48">
        <v>3.8648372573492545E-2</v>
      </c>
      <c r="AI7" s="48">
        <v>3.9995786452126855E-2</v>
      </c>
      <c r="AJ7" s="48">
        <v>4.0608526286500683E-2</v>
      </c>
      <c r="AK7" s="48">
        <v>4.0815863765716942E-2</v>
      </c>
      <c r="AL7" s="48">
        <v>3.963693869079029E-2</v>
      </c>
      <c r="AM7" s="48">
        <v>4.0500759389238548E-2</v>
      </c>
      <c r="AN7" s="48">
        <v>4.0461713103975373E-2</v>
      </c>
      <c r="AO7" s="48">
        <v>4.4185553869554431E-2</v>
      </c>
      <c r="AP7" s="48">
        <v>4.3793647217841861E-2</v>
      </c>
      <c r="AQ7" s="48">
        <v>4.0941951305193187E-2</v>
      </c>
      <c r="AR7" s="48">
        <v>4.1236955949003638E-2</v>
      </c>
      <c r="AS7" s="48">
        <v>4.1048736083232652E-2</v>
      </c>
      <c r="AT7" s="48">
        <v>4.1532817335080109E-2</v>
      </c>
      <c r="AU7" s="48">
        <v>4.2095197509627334E-2</v>
      </c>
      <c r="AV7" s="48">
        <v>4.4294366139417896E-2</v>
      </c>
      <c r="AW7" s="48">
        <v>4.5424997114204148E-2</v>
      </c>
      <c r="AX7" s="48">
        <v>4.4274896088367599E-2</v>
      </c>
      <c r="AY7" s="48">
        <v>4.2880114346971601E-2</v>
      </c>
      <c r="AZ7" s="48">
        <v>4.2450012053707131E-2</v>
      </c>
      <c r="BA7" s="48">
        <v>4.4007946784793896E-2</v>
      </c>
      <c r="BB7" s="48">
        <v>4.3958011958207331E-2</v>
      </c>
      <c r="BC7" s="48">
        <v>4.4846566607763261E-2</v>
      </c>
      <c r="BD7" s="48">
        <v>4.4588485436492381E-2</v>
      </c>
      <c r="BE7" s="48">
        <v>4.4954649915663787E-2</v>
      </c>
      <c r="BF7" s="48">
        <v>4.6975743214735695E-2</v>
      </c>
      <c r="BG7" s="48">
        <v>4.4135215406641087E-2</v>
      </c>
      <c r="BH7" s="48">
        <v>4.9726198953908118E-2</v>
      </c>
      <c r="BI7" s="48">
        <v>4.7927954225845205E-2</v>
      </c>
      <c r="BJ7" s="48">
        <v>4.7187008620367413E-2</v>
      </c>
      <c r="BK7" s="48">
        <v>4.8193965837816405E-2</v>
      </c>
      <c r="BL7" s="48">
        <v>4.6866456635509153E-2</v>
      </c>
      <c r="BM7" s="48">
        <v>4.7511975755205792E-2</v>
      </c>
      <c r="BN7" s="48">
        <v>4.701082264586777E-2</v>
      </c>
      <c r="BO7" s="48">
        <v>4.8346639436035461E-2</v>
      </c>
      <c r="BP7" s="48">
        <v>4.8170917551906396E-2</v>
      </c>
    </row>
    <row r="8" spans="1:68" x14ac:dyDescent="0.25">
      <c r="A8" s="9" t="s">
        <v>174</v>
      </c>
      <c r="B8" s="9" t="s">
        <v>47</v>
      </c>
      <c r="C8" s="9" t="s">
        <v>48</v>
      </c>
      <c r="D8" s="9" t="s">
        <v>49</v>
      </c>
      <c r="E8" s="9" t="s">
        <v>42</v>
      </c>
      <c r="F8" s="9" t="s">
        <v>43</v>
      </c>
      <c r="G8" s="9" t="s">
        <v>123</v>
      </c>
      <c r="H8" s="48">
        <f t="array" ref="H8:BP8">TRANSPOSE(Calcs!AT18:AT78)</f>
        <v>4.7219442952546207E-3</v>
      </c>
      <c r="I8" s="48">
        <v>4.8060163563392417E-3</v>
      </c>
      <c r="J8" s="48">
        <v>4.8931364149098384E-3</v>
      </c>
      <c r="K8" s="48">
        <v>4.9834732869581694E-3</v>
      </c>
      <c r="L8" s="48">
        <v>5.0772084896587161E-3</v>
      </c>
      <c r="M8" s="48">
        <v>5.17453745876307E-3</v>
      </c>
      <c r="N8" s="48">
        <v>5.2756709087540873E-3</v>
      </c>
      <c r="O8" s="48">
        <v>5.3808363556802586E-3</v>
      </c>
      <c r="P8" s="48">
        <v>5.4902798258321421E-3</v>
      </c>
      <c r="Q8" s="48">
        <v>5.6042677772697082E-3</v>
      </c>
      <c r="R8" s="48">
        <v>5.7230892657906367E-3</v>
      </c>
      <c r="S8" s="48">
        <v>5.847058392403761E-3</v>
      </c>
      <c r="T8" s="48">
        <v>5.9765170759369778E-3</v>
      </c>
      <c r="U8" s="48">
        <v>6.1118382023117764E-3</v>
      </c>
      <c r="V8" s="48">
        <v>6.253429211567226E-3</v>
      </c>
      <c r="W8" s="48">
        <v>6.4017361953053725E-3</v>
      </c>
      <c r="X8" s="48">
        <v>6.5572485913529561E-3</v>
      </c>
      <c r="Y8" s="48">
        <v>6.720504579721817E-3</v>
      </c>
      <c r="Z8" s="48">
        <v>6.8920973052104088E-3</v>
      </c>
      <c r="AA8" s="48">
        <v>7.0726820782623162E-3</v>
      </c>
      <c r="AB8" s="48">
        <v>7.2629847383335394E-3</v>
      </c>
      <c r="AC8" s="48">
        <v>7.8259184640437057E-3</v>
      </c>
      <c r="AD8" s="48">
        <v>8.4834468067037632E-3</v>
      </c>
      <c r="AE8" s="48">
        <v>9.2616001471890891E-3</v>
      </c>
      <c r="AF8" s="48">
        <v>1.0196924041648302E-2</v>
      </c>
      <c r="AG8" s="48">
        <v>1.1342385279859358E-2</v>
      </c>
      <c r="AH8" s="48">
        <v>1.1870487999630435E-2</v>
      </c>
      <c r="AI8" s="48">
        <v>1.0736412464782021E-2</v>
      </c>
      <c r="AJ8" s="48">
        <v>1.0224695686625181E-2</v>
      </c>
      <c r="AK8" s="48">
        <v>1.0009013246300854E-2</v>
      </c>
      <c r="AL8" s="48">
        <v>1.0283170882063779E-2</v>
      </c>
      <c r="AM8" s="48">
        <v>1.0285492838457443E-2</v>
      </c>
      <c r="AN8" s="48">
        <v>1.0495626563114098E-2</v>
      </c>
      <c r="AO8" s="48">
        <v>1.0616303437829828E-2</v>
      </c>
      <c r="AP8" s="48">
        <v>1.1085670305163102E-2</v>
      </c>
      <c r="AQ8" s="48">
        <v>1.0907811131205744E-2</v>
      </c>
      <c r="AR8" s="48">
        <v>1.0787263802632268E-2</v>
      </c>
      <c r="AS8" s="48">
        <v>1.2033555640343922E-2</v>
      </c>
      <c r="AT8" s="48">
        <v>1.2394835179296649E-2</v>
      </c>
      <c r="AU8" s="48">
        <v>1.3157086133162167E-2</v>
      </c>
      <c r="AV8" s="48">
        <v>1.4129360986566643E-2</v>
      </c>
      <c r="AW8" s="48">
        <v>1.4517510103634411E-2</v>
      </c>
      <c r="AX8" s="48">
        <v>1.4835246347507405E-2</v>
      </c>
      <c r="AY8" s="48">
        <v>1.5442994695363099E-2</v>
      </c>
      <c r="AZ8" s="48">
        <v>1.6738465268717806E-2</v>
      </c>
      <c r="BA8" s="48">
        <v>1.7160520069687251E-2</v>
      </c>
      <c r="BB8" s="48">
        <v>2.1341933342028198E-2</v>
      </c>
      <c r="BC8" s="48">
        <v>1.9733051602742004E-2</v>
      </c>
      <c r="BD8" s="48">
        <v>2.1563064865781013E-2</v>
      </c>
      <c r="BE8" s="48">
        <v>2.5980239515356274E-2</v>
      </c>
      <c r="BF8" s="48">
        <v>2.7104404660953738E-2</v>
      </c>
      <c r="BG8" s="48">
        <v>3.0266042247907535E-2</v>
      </c>
      <c r="BH8" s="48">
        <v>2.9383135531224118E-2</v>
      </c>
      <c r="BI8" s="48">
        <v>3.2443918250671999E-2</v>
      </c>
      <c r="BJ8" s="48">
        <v>3.6138557907949294E-2</v>
      </c>
      <c r="BK8" s="48">
        <v>4.0212946582975202E-2</v>
      </c>
      <c r="BL8" s="48">
        <v>4.2130411829110037E-2</v>
      </c>
      <c r="BM8" s="48">
        <v>4.1780897876653511E-2</v>
      </c>
      <c r="BN8" s="48">
        <v>4.3698650152293399E-2</v>
      </c>
      <c r="BO8" s="48">
        <v>4.8528323665945401E-2</v>
      </c>
      <c r="BP8" s="48">
        <v>4.6297751701156589E-2</v>
      </c>
    </row>
    <row r="9" spans="1:68" x14ac:dyDescent="0.25">
      <c r="A9" s="9" t="s">
        <v>173</v>
      </c>
      <c r="B9" s="9" t="s">
        <v>47</v>
      </c>
      <c r="C9" s="9" t="s">
        <v>48</v>
      </c>
      <c r="D9" s="9" t="s">
        <v>49</v>
      </c>
      <c r="E9" s="9" t="s">
        <v>42</v>
      </c>
      <c r="F9" s="9" t="s">
        <v>43</v>
      </c>
      <c r="G9" s="9" t="s">
        <v>123</v>
      </c>
      <c r="H9" s="48">
        <f t="array" ref="H9:BP9">TRANSPOSE(Calcs!AX18:AX78)</f>
        <v>1.6156642496616348E-2</v>
      </c>
      <c r="I9" s="48">
        <v>1.6444304135543975E-2</v>
      </c>
      <c r="J9" s="48">
        <v>1.6742394827131329E-2</v>
      </c>
      <c r="K9" s="48">
        <v>1.7051492193530641E-2</v>
      </c>
      <c r="L9" s="48">
        <v>1.7372217315362884E-2</v>
      </c>
      <c r="M9" s="48">
        <v>1.7705238897164174E-2</v>
      </c>
      <c r="N9" s="48">
        <v>1.8051277921300138E-2</v>
      </c>
      <c r="O9" s="48">
        <v>1.8411112858508223E-2</v>
      </c>
      <c r="P9" s="48">
        <v>1.8785585514318689E-2</v>
      </c>
      <c r="Q9" s="48">
        <v>1.9175607603767991E-2</v>
      </c>
      <c r="R9" s="48">
        <v>1.958216816249329E-2</v>
      </c>
      <c r="S9" s="48">
        <v>2.0006341921027224E-2</v>
      </c>
      <c r="T9" s="48">
        <v>2.0449298791575393E-2</v>
      </c>
      <c r="U9" s="48">
        <v>2.091231464359937E-2</v>
      </c>
      <c r="V9" s="48">
        <v>2.139678357720674E-2</v>
      </c>
      <c r="W9" s="48">
        <v>2.1904231943003165E-2</v>
      </c>
      <c r="X9" s="48">
        <v>2.243633440538461E-2</v>
      </c>
      <c r="Y9" s="48">
        <v>2.2994932405398759E-2</v>
      </c>
      <c r="Z9" s="48">
        <v>2.3582055452048282E-2</v>
      </c>
      <c r="AA9" s="48">
        <v>2.419994576080613E-2</v>
      </c>
      <c r="AB9" s="48">
        <v>2.4851086869780201E-2</v>
      </c>
      <c r="AC9" s="48">
        <v>2.6777225423495817E-2</v>
      </c>
      <c r="AD9" s="48">
        <v>2.9027029677736464E-2</v>
      </c>
      <c r="AE9" s="48">
        <v>3.1689565392612203E-2</v>
      </c>
      <c r="AF9" s="48">
        <v>3.4889877136337587E-2</v>
      </c>
      <c r="AG9" s="48">
        <v>3.8809196501901934E-2</v>
      </c>
      <c r="AH9" s="48">
        <v>4.1430317785881986E-2</v>
      </c>
      <c r="AI9" s="48">
        <v>4.1183002944245761E-2</v>
      </c>
      <c r="AJ9" s="48">
        <v>4.1166171571455079E-2</v>
      </c>
      <c r="AK9" s="48">
        <v>4.0367661350206904E-2</v>
      </c>
      <c r="AL9" s="48">
        <v>3.9540468164024609E-2</v>
      </c>
      <c r="AM9" s="48">
        <v>3.9668158711813284E-2</v>
      </c>
      <c r="AN9" s="48">
        <v>3.964005848132085E-2</v>
      </c>
      <c r="AO9" s="48">
        <v>4.0769606007057507E-2</v>
      </c>
      <c r="AP9" s="48">
        <v>4.1301209037656335E-2</v>
      </c>
      <c r="AQ9" s="48">
        <v>3.9903885825622487E-2</v>
      </c>
      <c r="AR9" s="48">
        <v>3.9853362586466837E-2</v>
      </c>
      <c r="AS9" s="48">
        <v>4.0815863765716942E-2</v>
      </c>
      <c r="AT9" s="48">
        <v>3.3757419599516149E-2</v>
      </c>
      <c r="AU9" s="48">
        <v>3.408873311257489E-2</v>
      </c>
      <c r="AV9" s="48">
        <v>3.4783268389058736E-2</v>
      </c>
      <c r="AW9" s="48">
        <v>3.5056866421076249E-2</v>
      </c>
      <c r="AX9" s="48">
        <v>3.4604022468406034E-2</v>
      </c>
      <c r="AY9" s="48">
        <v>3.5484178327709531E-2</v>
      </c>
      <c r="AZ9" s="48">
        <v>3.6611438136462733E-2</v>
      </c>
      <c r="BA9" s="48">
        <v>3.5634822260325584E-2</v>
      </c>
      <c r="BB9" s="48">
        <v>3.3131171831141462E-2</v>
      </c>
      <c r="BC9" s="48">
        <v>3.1607063072999965E-2</v>
      </c>
      <c r="BD9" s="48">
        <v>3.2379255690187826E-2</v>
      </c>
      <c r="BE9" s="48">
        <v>3.4384306889136435E-2</v>
      </c>
      <c r="BF9" s="48">
        <v>3.5105739788455416E-2</v>
      </c>
      <c r="BG9" s="48">
        <v>3.6603455411380291E-2</v>
      </c>
      <c r="BH9" s="48">
        <v>3.6828295649373413E-2</v>
      </c>
      <c r="BI9" s="48">
        <v>3.7980915762080049E-2</v>
      </c>
      <c r="BJ9" s="48">
        <v>4.0037120836726399E-2</v>
      </c>
      <c r="BK9" s="48">
        <v>4.2204554010322755E-2</v>
      </c>
      <c r="BL9" s="48">
        <v>4.4224353969545258E-2</v>
      </c>
      <c r="BM9" s="48">
        <v>4.3551274905325267E-2</v>
      </c>
      <c r="BN9" s="48">
        <v>4.4337260586775368E-2</v>
      </c>
      <c r="BO9" s="48">
        <v>4.6910110190497518E-2</v>
      </c>
      <c r="BP9" s="48">
        <v>4.6140810169966233E-2</v>
      </c>
    </row>
    <row r="11" spans="1:68" x14ac:dyDescent="0.25">
      <c r="B11" s="74"/>
      <c r="C11" s="74"/>
    </row>
    <row r="12" spans="1:68" x14ac:dyDescent="0.25">
      <c r="B12" s="74"/>
      <c r="C12" s="75"/>
    </row>
    <row r="13" spans="1:68" x14ac:dyDescent="0.25">
      <c r="B13" s="72"/>
      <c r="C13" s="7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82"/>
  <sheetViews>
    <sheetView topLeftCell="AG35" zoomScale="80" zoomScaleNormal="80" workbookViewId="0">
      <selection activeCell="AY78" sqref="AY78:AY79"/>
    </sheetView>
  </sheetViews>
  <sheetFormatPr defaultColWidth="9.140625" defaultRowHeight="15" x14ac:dyDescent="0.25"/>
  <cols>
    <col min="1" max="1" width="14.42578125" style="2" customWidth="1"/>
    <col min="2" max="2" width="11.140625" style="2" bestFit="1" customWidth="1"/>
    <col min="3" max="3" width="27.140625" style="2" bestFit="1" customWidth="1"/>
    <col min="4" max="4" width="17.140625" style="2" bestFit="1" customWidth="1"/>
    <col min="5" max="5" width="17.7109375" style="2" bestFit="1" customWidth="1"/>
    <col min="6" max="6" width="17.28515625" style="2" bestFit="1" customWidth="1"/>
    <col min="7" max="7" width="9.140625" style="2" bestFit="1" customWidth="1"/>
    <col min="8" max="8" width="10.140625" style="2" bestFit="1" customWidth="1"/>
    <col min="9" max="9" width="9.28515625" style="2" bestFit="1" customWidth="1"/>
    <col min="10" max="10" width="9.140625" style="2"/>
    <col min="11" max="11" width="9.140625" style="5"/>
    <col min="12" max="12" width="15" style="5" bestFit="1" customWidth="1"/>
    <col min="13" max="13" width="24.42578125" style="5" bestFit="1" customWidth="1"/>
    <col min="14" max="14" width="14.85546875" style="5" bestFit="1" customWidth="1"/>
    <col min="15" max="15" width="16" style="5" bestFit="1" customWidth="1"/>
    <col min="16" max="16" width="14.42578125" style="5" bestFit="1" customWidth="1"/>
    <col min="17" max="17" width="11.140625" style="5" customWidth="1"/>
    <col min="18" max="18" width="9.28515625" style="5" customWidth="1"/>
    <col min="19" max="19" width="11.42578125" style="5" customWidth="1"/>
    <col min="20" max="21" width="9.140625" style="2"/>
    <col min="22" max="22" width="31.140625" style="5" customWidth="1"/>
    <col min="23" max="23" width="16.42578125" style="5" bestFit="1" customWidth="1"/>
    <col min="24" max="24" width="8.7109375" style="5" customWidth="1"/>
    <col min="25" max="25" width="25.85546875" style="5" bestFit="1" customWidth="1"/>
    <col min="26" max="26" width="10.140625" style="5" bestFit="1" customWidth="1"/>
    <col min="27" max="27" width="23.42578125" style="5" bestFit="1" customWidth="1"/>
    <col min="28" max="28" width="8.7109375" style="5" customWidth="1"/>
    <col min="29" max="29" width="25.85546875" style="5" bestFit="1" customWidth="1"/>
    <col min="30" max="30" width="10.140625" style="5" bestFit="1" customWidth="1"/>
    <col min="31" max="31" width="25" style="5" bestFit="1" customWidth="1"/>
    <col min="32" max="32" width="8.7109375" style="5" customWidth="1"/>
    <col min="33" max="33" width="25.85546875" style="5" bestFit="1" customWidth="1"/>
    <col min="34" max="34" width="10.140625" style="5" bestFit="1" customWidth="1"/>
    <col min="35" max="35" width="23.42578125" style="5" bestFit="1" customWidth="1"/>
    <col min="36" max="36" width="9.140625" style="2"/>
    <col min="37" max="37" width="25.85546875" style="2" bestFit="1" customWidth="1"/>
    <col min="38" max="38" width="10.140625" style="2" bestFit="1" customWidth="1"/>
    <col min="39" max="39" width="23.42578125" bestFit="1" customWidth="1"/>
    <col min="41" max="41" width="25.85546875" style="2" bestFit="1" customWidth="1"/>
    <col min="42" max="42" width="10.140625" style="2" bestFit="1" customWidth="1"/>
    <col min="43" max="43" width="23.42578125" bestFit="1" customWidth="1"/>
    <col min="44" max="44" width="9.140625" style="2"/>
    <col min="45" max="45" width="25.85546875" style="2" bestFit="1" customWidth="1"/>
    <col min="46" max="46" width="10.140625" style="2" bestFit="1" customWidth="1"/>
    <col min="47" max="47" width="23.42578125" style="2" bestFit="1" customWidth="1"/>
    <col min="48" max="48" width="9.140625" style="2"/>
    <col min="49" max="49" width="25.85546875" style="2" bestFit="1" customWidth="1"/>
    <col min="50" max="50" width="10.140625" style="2" bestFit="1" customWidth="1"/>
    <col min="51" max="51" width="23.42578125" style="2" bestFit="1" customWidth="1"/>
    <col min="52" max="16384" width="9.140625" style="2"/>
  </cols>
  <sheetData>
    <row r="1" spans="1:51" ht="12.75" x14ac:dyDescent="0.2">
      <c r="A1" s="32" t="s">
        <v>15</v>
      </c>
      <c r="B1" s="33"/>
      <c r="K1" s="34" t="s">
        <v>14</v>
      </c>
      <c r="L1" s="35"/>
      <c r="U1" s="41" t="s">
        <v>27</v>
      </c>
      <c r="V1" s="18"/>
      <c r="W1" s="18"/>
      <c r="Y1" s="27" t="s">
        <v>5</v>
      </c>
      <c r="Z1" s="27"/>
      <c r="AA1" s="20"/>
      <c r="AB1" s="19"/>
      <c r="AC1" s="22" t="s">
        <v>6</v>
      </c>
      <c r="AD1" s="22"/>
      <c r="AE1" s="23"/>
      <c r="AF1" s="19"/>
      <c r="AG1" s="28" t="s">
        <v>7</v>
      </c>
      <c r="AH1" s="28"/>
      <c r="AI1" s="24"/>
      <c r="AK1" s="21" t="s">
        <v>8</v>
      </c>
      <c r="AL1" s="21"/>
      <c r="AM1" s="36"/>
      <c r="AN1" s="2"/>
      <c r="AO1" s="25" t="s">
        <v>9</v>
      </c>
      <c r="AP1" s="25"/>
      <c r="AQ1" s="37"/>
      <c r="AS1" s="26" t="s">
        <v>10</v>
      </c>
      <c r="AT1" s="26"/>
      <c r="AU1" s="38"/>
      <c r="AW1" s="39" t="s">
        <v>11</v>
      </c>
      <c r="AX1" s="39"/>
      <c r="AY1" s="11"/>
    </row>
    <row r="2" spans="1:51" s="30" customFormat="1" ht="12.75" x14ac:dyDescent="0.25">
      <c r="A2" s="29" t="s">
        <v>3</v>
      </c>
      <c r="B2" s="29" t="s">
        <v>4</v>
      </c>
      <c r="C2" s="29" t="s">
        <v>5</v>
      </c>
      <c r="D2" s="29" t="s">
        <v>6</v>
      </c>
      <c r="E2" s="29" t="s">
        <v>7</v>
      </c>
      <c r="F2" s="29" t="s">
        <v>8</v>
      </c>
      <c r="G2" s="29" t="s">
        <v>9</v>
      </c>
      <c r="H2" s="29" t="s">
        <v>10</v>
      </c>
      <c r="I2" s="29" t="s">
        <v>11</v>
      </c>
      <c r="K2" s="29" t="s">
        <v>13</v>
      </c>
      <c r="L2" s="29" t="s">
        <v>2</v>
      </c>
      <c r="M2" s="29" t="s">
        <v>5</v>
      </c>
      <c r="N2" s="29" t="s">
        <v>6</v>
      </c>
      <c r="O2" s="29" t="s">
        <v>7</v>
      </c>
      <c r="P2" s="29" t="s">
        <v>8</v>
      </c>
      <c r="Q2" s="29" t="s">
        <v>9</v>
      </c>
      <c r="R2" s="29" t="s">
        <v>10</v>
      </c>
      <c r="S2" s="29" t="s">
        <v>11</v>
      </c>
      <c r="U2" s="29" t="s">
        <v>13</v>
      </c>
      <c r="V2" s="31" t="s">
        <v>28</v>
      </c>
      <c r="W2" s="30" t="s">
        <v>36</v>
      </c>
      <c r="X2" s="31"/>
      <c r="Y2" s="30" t="s">
        <v>37</v>
      </c>
      <c r="Z2" s="30" t="s">
        <v>38</v>
      </c>
      <c r="AA2" s="30" t="s">
        <v>36</v>
      </c>
      <c r="AC2" s="30" t="s">
        <v>37</v>
      </c>
      <c r="AD2" s="30" t="s">
        <v>38</v>
      </c>
      <c r="AE2" s="30" t="s">
        <v>36</v>
      </c>
      <c r="AG2" s="30" t="s">
        <v>37</v>
      </c>
      <c r="AH2" s="30" t="s">
        <v>38</v>
      </c>
      <c r="AI2" s="30" t="s">
        <v>36</v>
      </c>
      <c r="AK2" s="30" t="s">
        <v>37</v>
      </c>
      <c r="AL2" s="30" t="s">
        <v>38</v>
      </c>
      <c r="AM2" s="30" t="s">
        <v>36</v>
      </c>
      <c r="AO2" s="30" t="s">
        <v>37</v>
      </c>
      <c r="AP2" s="30" t="s">
        <v>38</v>
      </c>
      <c r="AQ2" s="30" t="s">
        <v>36</v>
      </c>
      <c r="AS2" s="30" t="s">
        <v>37</v>
      </c>
      <c r="AT2" s="30" t="s">
        <v>38</v>
      </c>
      <c r="AU2" s="30" t="s">
        <v>36</v>
      </c>
      <c r="AW2" s="30" t="s">
        <v>37</v>
      </c>
      <c r="AX2" s="30" t="s">
        <v>38</v>
      </c>
      <c r="AY2" s="30" t="s">
        <v>36</v>
      </c>
    </row>
    <row r="3" spans="1:51" x14ac:dyDescent="0.25">
      <c r="A3" s="15">
        <f>IAI_2020_Alumina_refining!A2</f>
        <v>31048</v>
      </c>
      <c r="B3" s="15">
        <f>IAI_2020_Alumina_refining!B2</f>
        <v>31413</v>
      </c>
      <c r="C3" s="16">
        <f>IAI_2020_Alumina_refining!C2</f>
        <v>16239</v>
      </c>
      <c r="D3" s="16">
        <f>IAI_2020_Alumina_refining!D2</f>
        <v>12048</v>
      </c>
      <c r="E3" s="16">
        <f>IAI_2020_Alumina_refining!E2</f>
        <v>12452</v>
      </c>
      <c r="F3" s="16">
        <f>IAI_2020_Alumina_refining!F2</f>
        <v>12267</v>
      </c>
      <c r="G3" s="16">
        <f>IAI_2020_Alumina_refining!G2</f>
        <v>13417</v>
      </c>
      <c r="H3" s="16" t="str">
        <f>IAI_2020_Alumina_refining!H2</f>
        <v>ND</v>
      </c>
      <c r="I3" s="16">
        <f>IAI_2020_Alumina_refining!I2</f>
        <v>12977</v>
      </c>
      <c r="K3" s="5">
        <v>1985</v>
      </c>
      <c r="L3" s="14" t="s">
        <v>35</v>
      </c>
      <c r="M3" s="17">
        <f>C3/1000</f>
        <v>16.239000000000001</v>
      </c>
      <c r="N3" s="17">
        <f>D3/1000</f>
        <v>12.048</v>
      </c>
      <c r="O3" s="17">
        <f>E3/1000</f>
        <v>12.452</v>
      </c>
      <c r="P3" s="17">
        <f>F3/1000</f>
        <v>12.266999999999999</v>
      </c>
      <c r="Q3" s="17">
        <f>G3/1000</f>
        <v>13.417</v>
      </c>
      <c r="R3" s="17"/>
      <c r="S3" s="17">
        <f t="shared" ref="S3:S37" si="0">I3/1000</f>
        <v>12.977</v>
      </c>
      <c r="U3" s="5">
        <v>1945</v>
      </c>
      <c r="V3" s="13">
        <f>DOE_2007!$C$6</f>
        <v>0.5036269430051814</v>
      </c>
      <c r="W3" s="42" t="s">
        <v>39</v>
      </c>
      <c r="Y3" s="59">
        <f t="shared" ref="Y3:Y41" si="1">AC3*(Y$43/AC$43)</f>
        <v>49.242322854260102</v>
      </c>
      <c r="Z3" s="60">
        <f t="shared" ref="Z3:Z41" si="2">V3/Y3</f>
        <v>1.0227522054468053E-2</v>
      </c>
      <c r="AA3" s="58" t="s">
        <v>137</v>
      </c>
      <c r="AC3" s="16">
        <f>Fleischer_1951!F7</f>
        <v>36.533746274285711</v>
      </c>
      <c r="AD3" s="7">
        <f>V3/AC3</f>
        <v>1.3785253207379375E-2</v>
      </c>
      <c r="AE3" s="5" t="s">
        <v>77</v>
      </c>
      <c r="AG3" s="59">
        <f t="shared" ref="AG3:AG41" si="3">AC3*(AG$43/AC$43)</f>
        <v>37.758815455461956</v>
      </c>
      <c r="AH3" s="60">
        <f t="shared" ref="AH3:AH41" si="4">V3/AG3</f>
        <v>1.3337996357413003E-2</v>
      </c>
      <c r="AI3" s="58" t="s">
        <v>137</v>
      </c>
      <c r="AK3" s="59">
        <f t="shared" ref="AK3:AK41" si="5">AC3*(AK$43/AC$43)</f>
        <v>37.197830805665902</v>
      </c>
      <c r="AL3" s="60">
        <f t="shared" ref="AL3:AL41" si="6">V3/AK3</f>
        <v>1.3539148173351816E-2</v>
      </c>
      <c r="AM3" s="58" t="s">
        <v>137</v>
      </c>
      <c r="AO3" s="59">
        <f t="shared" ref="AO3:AO41" si="7">AC3*(AO$43/AC$43)</f>
        <v>40.685032682776509</v>
      </c>
      <c r="AP3" s="60">
        <f t="shared" ref="AP3:AP41" si="8">V3/AO3</f>
        <v>1.2378678590035531E-2</v>
      </c>
      <c r="AQ3" s="58" t="s">
        <v>137</v>
      </c>
      <c r="AS3" s="59">
        <f t="shared" ref="AS3:AS54" si="9">AC3*(AS$56/AC$56)</f>
        <v>134.64300939834712</v>
      </c>
      <c r="AT3" s="60">
        <f t="shared" ref="AT3:AT54" si="10">V3/AS3</f>
        <v>3.7404611294388074E-3</v>
      </c>
      <c r="AU3" s="58" t="s">
        <v>137</v>
      </c>
      <c r="AW3" s="59">
        <f t="shared" ref="AW3:AW41" si="11">AC3*(AW$43/AC$43)</f>
        <v>39.350798921099411</v>
      </c>
      <c r="AX3" s="60">
        <f t="shared" ref="AX3:AX41" si="12">V3/AW3</f>
        <v>1.2798391819565902E-2</v>
      </c>
      <c r="AY3" s="58" t="s">
        <v>137</v>
      </c>
    </row>
    <row r="4" spans="1:51" x14ac:dyDescent="0.25">
      <c r="A4" s="15">
        <f>IAI_2020_Alumina_refining!A3</f>
        <v>31413</v>
      </c>
      <c r="B4" s="15">
        <f>IAI_2020_Alumina_refining!B3</f>
        <v>31778</v>
      </c>
      <c r="C4" s="16">
        <f>IAI_2020_Alumina_refining!C3</f>
        <v>15536</v>
      </c>
      <c r="D4" s="16">
        <f>IAI_2020_Alumina_refining!D3</f>
        <v>11512</v>
      </c>
      <c r="E4" s="16">
        <f>IAI_2020_Alumina_refining!E3</f>
        <v>10286</v>
      </c>
      <c r="F4" s="16">
        <f>IAI_2020_Alumina_refining!F3</f>
        <v>12126</v>
      </c>
      <c r="G4" s="16">
        <f>IAI_2020_Alumina_refining!G3</f>
        <v>13031</v>
      </c>
      <c r="H4" s="16" t="str">
        <f>IAI_2020_Alumina_refining!H3</f>
        <v>ND</v>
      </c>
      <c r="I4" s="16">
        <f>IAI_2020_Alumina_refining!I3</f>
        <v>12156</v>
      </c>
      <c r="K4" s="5">
        <v>1986</v>
      </c>
      <c r="L4" s="14" t="s">
        <v>35</v>
      </c>
      <c r="M4" s="17">
        <f t="shared" ref="M4:M37" si="13">C4/1000</f>
        <v>15.536</v>
      </c>
      <c r="N4" s="17">
        <f t="shared" ref="N4:N37" si="14">D4/1000</f>
        <v>11.512</v>
      </c>
      <c r="O4" s="17">
        <f t="shared" ref="O4:O37" si="15">E4/1000</f>
        <v>10.286</v>
      </c>
      <c r="P4" s="17">
        <f t="shared" ref="P4:P37" si="16">F4/1000</f>
        <v>12.125999999999999</v>
      </c>
      <c r="Q4" s="17">
        <f t="shared" ref="Q4:Q37" si="17">G4/1000</f>
        <v>13.031000000000001</v>
      </c>
      <c r="R4" s="17"/>
      <c r="S4" s="17">
        <f t="shared" si="0"/>
        <v>12.156000000000001</v>
      </c>
      <c r="U4" s="5">
        <v>1946</v>
      </c>
      <c r="V4" s="13">
        <f>DOE_2007!$C$6</f>
        <v>0.5036269430051814</v>
      </c>
      <c r="W4" s="42" t="s">
        <v>39</v>
      </c>
      <c r="Y4" s="59">
        <f t="shared" si="1"/>
        <v>48.559969598833888</v>
      </c>
      <c r="Z4" s="60">
        <f t="shared" si="2"/>
        <v>1.0371236785479278E-2</v>
      </c>
      <c r="AA4" s="58" t="s">
        <v>137</v>
      </c>
      <c r="AC4" s="59">
        <f>AC3+((AC$38-AC$3)/(U$38-U$3))</f>
        <v>36.027496380734689</v>
      </c>
      <c r="AD4" s="60">
        <f t="shared" ref="AD4:AD37" si="18">V4/AC4</f>
        <v>1.3978960338595452E-2</v>
      </c>
      <c r="AE4" s="58" t="s">
        <v>136</v>
      </c>
      <c r="AG4" s="59">
        <f t="shared" si="3"/>
        <v>37.235589718866891</v>
      </c>
      <c r="AH4" s="60">
        <f t="shared" si="4"/>
        <v>1.3525418740716192E-2</v>
      </c>
      <c r="AI4" s="58" t="s">
        <v>137</v>
      </c>
      <c r="AK4" s="59">
        <f t="shared" si="5"/>
        <v>36.682378660563778</v>
      </c>
      <c r="AL4" s="60">
        <f t="shared" si="6"/>
        <v>1.3729397094595095E-2</v>
      </c>
      <c r="AM4" s="58" t="s">
        <v>137</v>
      </c>
      <c r="AO4" s="59">
        <f t="shared" si="7"/>
        <v>40.121258212177729</v>
      </c>
      <c r="AP4" s="60">
        <f t="shared" si="8"/>
        <v>1.2552620866020572E-2</v>
      </c>
      <c r="AQ4" s="58" t="s">
        <v>137</v>
      </c>
      <c r="AS4" s="59">
        <f t="shared" si="9"/>
        <v>132.77725468861786</v>
      </c>
      <c r="AT4" s="60">
        <f t="shared" si="10"/>
        <v>3.7930212082352543E-3</v>
      </c>
      <c r="AU4" s="58" t="s">
        <v>137</v>
      </c>
      <c r="AW4" s="59">
        <f t="shared" si="11"/>
        <v>38.805512992429783</v>
      </c>
      <c r="AX4" s="60">
        <f t="shared" si="12"/>
        <v>1.2978231806996842E-2</v>
      </c>
      <c r="AY4" s="58" t="s">
        <v>137</v>
      </c>
    </row>
    <row r="5" spans="1:51" x14ac:dyDescent="0.25">
      <c r="A5" s="15">
        <f>IAI_2020_Alumina_refining!A4</f>
        <v>31778</v>
      </c>
      <c r="B5" s="15">
        <f>IAI_2020_Alumina_refining!B4</f>
        <v>32143</v>
      </c>
      <c r="C5" s="16">
        <f>IAI_2020_Alumina_refining!C4</f>
        <v>18016</v>
      </c>
      <c r="D5" s="16">
        <f>IAI_2020_Alumina_refining!D4</f>
        <v>12728</v>
      </c>
      <c r="E5" s="16">
        <f>IAI_2020_Alumina_refining!E4</f>
        <v>9965</v>
      </c>
      <c r="F5" s="16">
        <f>IAI_2020_Alumina_refining!F4</f>
        <v>12269</v>
      </c>
      <c r="G5" s="16">
        <f>IAI_2020_Alumina_refining!G4</f>
        <v>12592</v>
      </c>
      <c r="H5" s="16" t="str">
        <f>IAI_2020_Alumina_refining!H4</f>
        <v>ND</v>
      </c>
      <c r="I5" s="16">
        <f>IAI_2020_Alumina_refining!I4</f>
        <v>12229</v>
      </c>
      <c r="K5" s="5">
        <v>1987</v>
      </c>
      <c r="L5" s="14" t="s">
        <v>35</v>
      </c>
      <c r="M5" s="17">
        <f t="shared" si="13"/>
        <v>18.015999999999998</v>
      </c>
      <c r="N5" s="17">
        <f t="shared" si="14"/>
        <v>12.728</v>
      </c>
      <c r="O5" s="17">
        <f t="shared" si="15"/>
        <v>9.9649999999999999</v>
      </c>
      <c r="P5" s="17">
        <f t="shared" si="16"/>
        <v>12.269</v>
      </c>
      <c r="Q5" s="17">
        <f t="shared" si="17"/>
        <v>12.592000000000001</v>
      </c>
      <c r="R5" s="17"/>
      <c r="S5" s="17">
        <f t="shared" si="0"/>
        <v>12.228999999999999</v>
      </c>
      <c r="U5" s="5">
        <v>1947</v>
      </c>
      <c r="V5" s="13">
        <f>DOE_2007!$C$6</f>
        <v>0.5036269430051814</v>
      </c>
      <c r="W5" s="42" t="s">
        <v>39</v>
      </c>
      <c r="Y5" s="59">
        <f t="shared" si="1"/>
        <v>47.877616343407666</v>
      </c>
      <c r="Z5" s="60">
        <f t="shared" si="2"/>
        <v>1.0519047969992066E-2</v>
      </c>
      <c r="AA5" s="58" t="s">
        <v>137</v>
      </c>
      <c r="AC5" s="59">
        <f t="shared" ref="AC5:AC37" si="19">AC4+((AC$38-AC$3)/(U$38-U$3))</f>
        <v>35.521246487183667</v>
      </c>
      <c r="AD5" s="60">
        <f t="shared" si="18"/>
        <v>1.4178188909752754E-2</v>
      </c>
      <c r="AE5" s="58" t="s">
        <v>136</v>
      </c>
      <c r="AG5" s="59">
        <f t="shared" si="3"/>
        <v>36.712363982271832</v>
      </c>
      <c r="AH5" s="60">
        <f t="shared" si="4"/>
        <v>1.3718183423120877E-2</v>
      </c>
      <c r="AI5" s="58" t="s">
        <v>137</v>
      </c>
      <c r="AK5" s="59">
        <f t="shared" si="5"/>
        <v>36.166926515461654</v>
      </c>
      <c r="AL5" s="60">
        <f t="shared" si="6"/>
        <v>1.3925068882750566E-2</v>
      </c>
      <c r="AM5" s="58" t="s">
        <v>137</v>
      </c>
      <c r="AO5" s="59">
        <f t="shared" si="7"/>
        <v>39.557483741578956</v>
      </c>
      <c r="AP5" s="60">
        <f t="shared" si="8"/>
        <v>1.2731521203301869E-2</v>
      </c>
      <c r="AQ5" s="58" t="s">
        <v>137</v>
      </c>
      <c r="AS5" s="59">
        <f t="shared" si="9"/>
        <v>130.91149997888857</v>
      </c>
      <c r="AT5" s="60">
        <f t="shared" si="10"/>
        <v>3.8470794627393219E-3</v>
      </c>
      <c r="AU5" s="58" t="s">
        <v>137</v>
      </c>
      <c r="AW5" s="59">
        <f t="shared" si="11"/>
        <v>38.260227063760162</v>
      </c>
      <c r="AX5" s="60">
        <f t="shared" si="12"/>
        <v>1.3163197964452584E-2</v>
      </c>
      <c r="AY5" s="58" t="s">
        <v>137</v>
      </c>
    </row>
    <row r="6" spans="1:51" x14ac:dyDescent="0.25">
      <c r="A6" s="15">
        <f>IAI_2020_Alumina_refining!A5</f>
        <v>32143</v>
      </c>
      <c r="B6" s="15">
        <f>IAI_2020_Alumina_refining!B5</f>
        <v>32509</v>
      </c>
      <c r="C6" s="16">
        <f>IAI_2020_Alumina_refining!C5</f>
        <v>15463</v>
      </c>
      <c r="D6" s="16">
        <f>IAI_2020_Alumina_refining!D5</f>
        <v>13365</v>
      </c>
      <c r="E6" s="16">
        <f>IAI_2020_Alumina_refining!E5</f>
        <v>9981</v>
      </c>
      <c r="F6" s="16">
        <f>IAI_2020_Alumina_refining!F5</f>
        <v>12230</v>
      </c>
      <c r="G6" s="16">
        <f>IAI_2020_Alumina_refining!G5</f>
        <v>12402</v>
      </c>
      <c r="H6" s="16" t="str">
        <f>IAI_2020_Alumina_refining!H5</f>
        <v>ND</v>
      </c>
      <c r="I6" s="16">
        <f>IAI_2020_Alumina_refining!I5</f>
        <v>12234</v>
      </c>
      <c r="K6" s="5">
        <v>1988</v>
      </c>
      <c r="L6" s="14" t="s">
        <v>35</v>
      </c>
      <c r="M6" s="17">
        <f t="shared" si="13"/>
        <v>15.462999999999999</v>
      </c>
      <c r="N6" s="17">
        <f t="shared" si="14"/>
        <v>13.365</v>
      </c>
      <c r="O6" s="17">
        <f t="shared" si="15"/>
        <v>9.9809999999999999</v>
      </c>
      <c r="P6" s="17">
        <f t="shared" si="16"/>
        <v>12.23</v>
      </c>
      <c r="Q6" s="17">
        <f t="shared" si="17"/>
        <v>12.401999999999999</v>
      </c>
      <c r="R6" s="17"/>
      <c r="S6" s="17">
        <f t="shared" si="0"/>
        <v>12.234</v>
      </c>
      <c r="U6" s="5">
        <v>1948</v>
      </c>
      <c r="V6" s="13">
        <f>DOE_2007!$C$6</f>
        <v>0.5036269430051814</v>
      </c>
      <c r="W6" s="42" t="s">
        <v>39</v>
      </c>
      <c r="Y6" s="59">
        <f t="shared" si="1"/>
        <v>47.195263087981452</v>
      </c>
      <c r="Z6" s="60">
        <f t="shared" si="2"/>
        <v>1.0671133288659068E-2</v>
      </c>
      <c r="AA6" s="58" t="s">
        <v>137</v>
      </c>
      <c r="AC6" s="59">
        <f t="shared" si="19"/>
        <v>35.014996593632645</v>
      </c>
      <c r="AD6" s="60">
        <f t="shared" si="18"/>
        <v>1.4383178409240919E-2</v>
      </c>
      <c r="AE6" s="58" t="s">
        <v>136</v>
      </c>
      <c r="AG6" s="59">
        <f t="shared" si="3"/>
        <v>36.189138245676766</v>
      </c>
      <c r="AH6" s="60">
        <f t="shared" si="4"/>
        <v>1.3916522122914761E-2</v>
      </c>
      <c r="AI6" s="58" t="s">
        <v>137</v>
      </c>
      <c r="AK6" s="59">
        <f t="shared" si="5"/>
        <v>35.65147437035953</v>
      </c>
      <c r="AL6" s="60">
        <f t="shared" si="6"/>
        <v>1.4126398750675357E-2</v>
      </c>
      <c r="AM6" s="58" t="s">
        <v>137</v>
      </c>
      <c r="AO6" s="59">
        <f t="shared" si="7"/>
        <v>38.993709270980176</v>
      </c>
      <c r="AP6" s="60">
        <f t="shared" si="8"/>
        <v>1.2915594654135396E-2</v>
      </c>
      <c r="AQ6" s="58" t="s">
        <v>137</v>
      </c>
      <c r="AS6" s="59">
        <f t="shared" si="9"/>
        <v>129.04574526915931</v>
      </c>
      <c r="AT6" s="60">
        <f t="shared" si="10"/>
        <v>3.9027008752185754E-3</v>
      </c>
      <c r="AU6" s="58" t="s">
        <v>137</v>
      </c>
      <c r="AW6" s="59">
        <f t="shared" si="11"/>
        <v>37.714941135090541</v>
      </c>
      <c r="AX6" s="60">
        <f t="shared" si="12"/>
        <v>1.3353512635781351E-2</v>
      </c>
      <c r="AY6" s="58" t="s">
        <v>137</v>
      </c>
    </row>
    <row r="7" spans="1:51" x14ac:dyDescent="0.25">
      <c r="A7" s="15">
        <f>IAI_2020_Alumina_refining!A6</f>
        <v>32509</v>
      </c>
      <c r="B7" s="15">
        <f>IAI_2020_Alumina_refining!B6</f>
        <v>32874</v>
      </c>
      <c r="C7" s="16">
        <f>IAI_2020_Alumina_refining!C6</f>
        <v>14456</v>
      </c>
      <c r="D7" s="16">
        <f>IAI_2020_Alumina_refining!D6</f>
        <v>13653</v>
      </c>
      <c r="E7" s="16">
        <f>IAI_2020_Alumina_refining!E6</f>
        <v>11462</v>
      </c>
      <c r="F7" s="16">
        <f>IAI_2020_Alumina_refining!F6</f>
        <v>11893</v>
      </c>
      <c r="G7" s="16">
        <f>IAI_2020_Alumina_refining!G6</f>
        <v>12339</v>
      </c>
      <c r="H7" s="16" t="str">
        <f>IAI_2020_Alumina_refining!H6</f>
        <v>ND</v>
      </c>
      <c r="I7" s="16">
        <f>IAI_2020_Alumina_refining!I6</f>
        <v>12476</v>
      </c>
      <c r="K7" s="5">
        <v>1989</v>
      </c>
      <c r="L7" s="14" t="s">
        <v>35</v>
      </c>
      <c r="M7" s="17">
        <f t="shared" si="13"/>
        <v>14.456</v>
      </c>
      <c r="N7" s="17">
        <f t="shared" si="14"/>
        <v>13.653</v>
      </c>
      <c r="O7" s="17">
        <f t="shared" si="15"/>
        <v>11.462</v>
      </c>
      <c r="P7" s="17">
        <f t="shared" si="16"/>
        <v>11.893000000000001</v>
      </c>
      <c r="Q7" s="17">
        <f t="shared" si="17"/>
        <v>12.339</v>
      </c>
      <c r="R7" s="17"/>
      <c r="S7" s="17">
        <f t="shared" si="0"/>
        <v>12.476000000000001</v>
      </c>
      <c r="U7" s="5">
        <v>1949</v>
      </c>
      <c r="V7" s="13">
        <f>DOE_2007!$C$6</f>
        <v>0.5036269430051814</v>
      </c>
      <c r="W7" s="42" t="s">
        <v>39</v>
      </c>
      <c r="Y7" s="59">
        <f t="shared" si="1"/>
        <v>46.512909832555238</v>
      </c>
      <c r="Z7" s="60">
        <f t="shared" si="2"/>
        <v>1.0827680848569136E-2</v>
      </c>
      <c r="AA7" s="58" t="s">
        <v>137</v>
      </c>
      <c r="AC7" s="59">
        <f t="shared" si="19"/>
        <v>34.508746700081623</v>
      </c>
      <c r="AD7" s="60">
        <f t="shared" si="18"/>
        <v>1.459418237881094E-2</v>
      </c>
      <c r="AE7" s="58" t="s">
        <v>136</v>
      </c>
      <c r="AG7" s="59">
        <f t="shared" si="3"/>
        <v>35.6659125090817</v>
      </c>
      <c r="AH7" s="60">
        <f t="shared" si="4"/>
        <v>1.4120680155791376E-2</v>
      </c>
      <c r="AI7" s="58" t="s">
        <v>137</v>
      </c>
      <c r="AK7" s="59">
        <f t="shared" si="5"/>
        <v>35.136022225257406</v>
      </c>
      <c r="AL7" s="60">
        <f t="shared" si="6"/>
        <v>1.433363571369644E-2</v>
      </c>
      <c r="AM7" s="58" t="s">
        <v>137</v>
      </c>
      <c r="AO7" s="59">
        <f t="shared" si="7"/>
        <v>38.429934800381403</v>
      </c>
      <c r="AP7" s="60">
        <f t="shared" si="8"/>
        <v>1.3105068890207513E-2</v>
      </c>
      <c r="AQ7" s="58" t="s">
        <v>137</v>
      </c>
      <c r="AS7" s="59">
        <f t="shared" si="9"/>
        <v>127.17999055943005</v>
      </c>
      <c r="AT7" s="60">
        <f t="shared" si="10"/>
        <v>3.9599542411496019E-3</v>
      </c>
      <c r="AU7" s="58" t="s">
        <v>137</v>
      </c>
      <c r="AW7" s="59">
        <f t="shared" si="11"/>
        <v>37.16965520642092</v>
      </c>
      <c r="AX7" s="60">
        <f t="shared" si="12"/>
        <v>1.3549411212137952E-2</v>
      </c>
      <c r="AY7" s="58" t="s">
        <v>137</v>
      </c>
    </row>
    <row r="8" spans="1:51" x14ac:dyDescent="0.25">
      <c r="A8" s="15">
        <f>IAI_2020_Alumina_refining!A7</f>
        <v>32874</v>
      </c>
      <c r="B8" s="15">
        <f>IAI_2020_Alumina_refining!B7</f>
        <v>33239</v>
      </c>
      <c r="C8" s="16">
        <f>IAI_2020_Alumina_refining!C7</f>
        <v>15488</v>
      </c>
      <c r="D8" s="16">
        <f>IAI_2020_Alumina_refining!D7</f>
        <v>13289</v>
      </c>
      <c r="E8" s="16">
        <f>IAI_2020_Alumina_refining!E7</f>
        <v>11985</v>
      </c>
      <c r="F8" s="16">
        <f>IAI_2020_Alumina_refining!F7</f>
        <v>12001</v>
      </c>
      <c r="G8" s="16">
        <f>IAI_2020_Alumina_refining!G7</f>
        <v>12706</v>
      </c>
      <c r="H8" s="16" t="str">
        <f>IAI_2020_Alumina_refining!H7</f>
        <v>ND</v>
      </c>
      <c r="I8" s="16">
        <f>IAI_2020_Alumina_refining!I7</f>
        <v>12737</v>
      </c>
      <c r="K8" s="5">
        <v>1990</v>
      </c>
      <c r="L8" s="14" t="s">
        <v>35</v>
      </c>
      <c r="M8" s="17">
        <f t="shared" si="13"/>
        <v>15.488</v>
      </c>
      <c r="N8" s="17">
        <f t="shared" si="14"/>
        <v>13.289</v>
      </c>
      <c r="O8" s="17">
        <f t="shared" si="15"/>
        <v>11.984999999999999</v>
      </c>
      <c r="P8" s="17">
        <f t="shared" si="16"/>
        <v>12.000999999999999</v>
      </c>
      <c r="Q8" s="17">
        <f t="shared" si="17"/>
        <v>12.706</v>
      </c>
      <c r="R8" s="17"/>
      <c r="S8" s="17">
        <f t="shared" si="0"/>
        <v>12.737</v>
      </c>
      <c r="U8" s="5">
        <v>1950</v>
      </c>
      <c r="V8" s="13">
        <f>DOE_2007!$C$6</f>
        <v>0.5036269430051814</v>
      </c>
      <c r="W8" s="42" t="s">
        <v>39</v>
      </c>
      <c r="Y8" s="59">
        <f t="shared" si="1"/>
        <v>45.830556577129023</v>
      </c>
      <c r="Z8" s="60">
        <f t="shared" si="2"/>
        <v>1.0988889959423011E-2</v>
      </c>
      <c r="AA8" s="58" t="s">
        <v>137</v>
      </c>
      <c r="AC8" s="59">
        <f t="shared" si="19"/>
        <v>34.002496806530601</v>
      </c>
      <c r="AD8" s="60">
        <f t="shared" si="18"/>
        <v>1.4811469459750192E-2</v>
      </c>
      <c r="AE8" s="58" t="s">
        <v>136</v>
      </c>
      <c r="AG8" s="59">
        <f t="shared" si="3"/>
        <v>35.142686772486641</v>
      </c>
      <c r="AH8" s="60">
        <f t="shared" si="4"/>
        <v>1.433091744708242E-2</v>
      </c>
      <c r="AI8" s="58" t="s">
        <v>137</v>
      </c>
      <c r="AK8" s="59">
        <f t="shared" si="5"/>
        <v>34.620570080155282</v>
      </c>
      <c r="AL8" s="60">
        <f t="shared" si="6"/>
        <v>1.4547043617108528E-2</v>
      </c>
      <c r="AM8" s="58" t="s">
        <v>137</v>
      </c>
      <c r="AO8" s="59">
        <f t="shared" si="7"/>
        <v>37.866160329782623</v>
      </c>
      <c r="AP8" s="60">
        <f t="shared" si="8"/>
        <v>1.3300185142063823E-2</v>
      </c>
      <c r="AQ8" s="58" t="s">
        <v>137</v>
      </c>
      <c r="AS8" s="59">
        <f t="shared" si="9"/>
        <v>125.31423584970079</v>
      </c>
      <c r="AT8" s="60">
        <f t="shared" si="10"/>
        <v>4.018912453084905E-3</v>
      </c>
      <c r="AU8" s="58" t="s">
        <v>137</v>
      </c>
      <c r="AW8" s="59">
        <f t="shared" si="11"/>
        <v>36.624369277751292</v>
      </c>
      <c r="AX8" s="60">
        <f t="shared" si="12"/>
        <v>1.3751143103265032E-2</v>
      </c>
      <c r="AY8" s="58" t="s">
        <v>137</v>
      </c>
    </row>
    <row r="9" spans="1:51" x14ac:dyDescent="0.25">
      <c r="A9" s="15">
        <f>IAI_2020_Alumina_refining!A8</f>
        <v>33239</v>
      </c>
      <c r="B9" s="15">
        <f>IAI_2020_Alumina_refining!B8</f>
        <v>33604</v>
      </c>
      <c r="C9" s="16">
        <f>IAI_2020_Alumina_refining!C8</f>
        <v>15379</v>
      </c>
      <c r="D9" s="16">
        <f>IAI_2020_Alumina_refining!D8</f>
        <v>13286</v>
      </c>
      <c r="E9" s="16">
        <f>IAI_2020_Alumina_refining!E8</f>
        <v>12278</v>
      </c>
      <c r="F9" s="16">
        <f>IAI_2020_Alumina_refining!F8</f>
        <v>12084</v>
      </c>
      <c r="G9" s="16">
        <f>IAI_2020_Alumina_refining!G8</f>
        <v>12435</v>
      </c>
      <c r="H9" s="16" t="str">
        <f>IAI_2020_Alumina_refining!H8</f>
        <v>ND</v>
      </c>
      <c r="I9" s="16">
        <f>IAI_2020_Alumina_refining!I8</f>
        <v>12696</v>
      </c>
      <c r="K9" s="5">
        <v>1991</v>
      </c>
      <c r="L9" s="14" t="s">
        <v>35</v>
      </c>
      <c r="M9" s="17">
        <f t="shared" si="13"/>
        <v>15.379</v>
      </c>
      <c r="N9" s="17">
        <f t="shared" si="14"/>
        <v>13.286</v>
      </c>
      <c r="O9" s="17">
        <f t="shared" si="15"/>
        <v>12.278</v>
      </c>
      <c r="P9" s="17">
        <f t="shared" si="16"/>
        <v>12.084</v>
      </c>
      <c r="Q9" s="17">
        <f t="shared" si="17"/>
        <v>12.435</v>
      </c>
      <c r="R9" s="17"/>
      <c r="S9" s="17">
        <f t="shared" si="0"/>
        <v>12.696</v>
      </c>
      <c r="U9" s="5">
        <v>1951</v>
      </c>
      <c r="V9" s="13">
        <f>DOE_2007!$C$6</f>
        <v>0.5036269430051814</v>
      </c>
      <c r="W9" s="42" t="s">
        <v>39</v>
      </c>
      <c r="Y9" s="59">
        <f t="shared" si="1"/>
        <v>45.148203321702809</v>
      </c>
      <c r="Z9" s="60">
        <f t="shared" si="2"/>
        <v>1.1154971980093993E-2</v>
      </c>
      <c r="AA9" s="58" t="s">
        <v>137</v>
      </c>
      <c r="AC9" s="59">
        <f t="shared" si="19"/>
        <v>33.496246912979579</v>
      </c>
      <c r="AD9" s="60">
        <f t="shared" si="18"/>
        <v>1.5035324533926493E-2</v>
      </c>
      <c r="AE9" s="58" t="s">
        <v>136</v>
      </c>
      <c r="AG9" s="59">
        <f t="shared" si="3"/>
        <v>34.619461035891575</v>
      </c>
      <c r="AH9" s="60">
        <f t="shared" si="4"/>
        <v>1.454750963578111E-2</v>
      </c>
      <c r="AI9" s="58" t="s">
        <v>137</v>
      </c>
      <c r="AK9" s="59">
        <f t="shared" si="5"/>
        <v>34.105117935053158</v>
      </c>
      <c r="AL9" s="60">
        <f t="shared" si="6"/>
        <v>1.4766902256847347E-2</v>
      </c>
      <c r="AM9" s="58" t="s">
        <v>137</v>
      </c>
      <c r="AO9" s="59">
        <f t="shared" si="7"/>
        <v>37.30238585918385</v>
      </c>
      <c r="AP9" s="60">
        <f t="shared" si="8"/>
        <v>1.3501199223727091E-2</v>
      </c>
      <c r="AQ9" s="58" t="s">
        <v>137</v>
      </c>
      <c r="AS9" s="59">
        <f t="shared" si="9"/>
        <v>123.44848113997153</v>
      </c>
      <c r="AT9" s="60">
        <f t="shared" si="10"/>
        <v>4.0796528102613602E-3</v>
      </c>
      <c r="AU9" s="58" t="s">
        <v>137</v>
      </c>
      <c r="AW9" s="59">
        <f t="shared" si="11"/>
        <v>36.079083349081671</v>
      </c>
      <c r="AX9" s="60">
        <f t="shared" si="12"/>
        <v>1.3958972796851845E-2</v>
      </c>
      <c r="AY9" s="58" t="s">
        <v>137</v>
      </c>
    </row>
    <row r="10" spans="1:51" x14ac:dyDescent="0.25">
      <c r="A10" s="15">
        <f>IAI_2020_Alumina_refining!A9</f>
        <v>33604</v>
      </c>
      <c r="B10" s="15">
        <f>IAI_2020_Alumina_refining!B9</f>
        <v>33970</v>
      </c>
      <c r="C10" s="16">
        <f>IAI_2020_Alumina_refining!C9</f>
        <v>15004</v>
      </c>
      <c r="D10" s="16">
        <f>IAI_2020_Alumina_refining!D9</f>
        <v>13020</v>
      </c>
      <c r="E10" s="16">
        <f>IAI_2020_Alumina_refining!E9</f>
        <v>12372</v>
      </c>
      <c r="F10" s="16">
        <f>IAI_2020_Alumina_refining!F9</f>
        <v>12453</v>
      </c>
      <c r="G10" s="16">
        <f>IAI_2020_Alumina_refining!G9</f>
        <v>12447</v>
      </c>
      <c r="H10" s="16" t="str">
        <f>IAI_2020_Alumina_refining!H9</f>
        <v>ND</v>
      </c>
      <c r="I10" s="16">
        <f>IAI_2020_Alumina_refining!I9</f>
        <v>12705</v>
      </c>
      <c r="K10" s="5">
        <v>1992</v>
      </c>
      <c r="L10" s="14" t="s">
        <v>35</v>
      </c>
      <c r="M10" s="17">
        <f t="shared" si="13"/>
        <v>15.004</v>
      </c>
      <c r="N10" s="17">
        <f t="shared" si="14"/>
        <v>13.02</v>
      </c>
      <c r="O10" s="17">
        <f t="shared" si="15"/>
        <v>12.372</v>
      </c>
      <c r="P10" s="17">
        <f t="shared" si="16"/>
        <v>12.452999999999999</v>
      </c>
      <c r="Q10" s="17">
        <f t="shared" si="17"/>
        <v>12.446999999999999</v>
      </c>
      <c r="R10" s="17"/>
      <c r="S10" s="17">
        <f t="shared" si="0"/>
        <v>12.705</v>
      </c>
      <c r="U10" s="5">
        <v>1952</v>
      </c>
      <c r="V10" s="13">
        <f>DOE_2007!$C$6</f>
        <v>0.5036269430051814</v>
      </c>
      <c r="W10" s="42" t="s">
        <v>39</v>
      </c>
      <c r="Y10" s="59">
        <f t="shared" si="1"/>
        <v>44.465850066276595</v>
      </c>
      <c r="Z10" s="60">
        <f t="shared" si="2"/>
        <v>1.1326151243134285E-2</v>
      </c>
      <c r="AA10" s="58" t="s">
        <v>137</v>
      </c>
      <c r="AC10" s="59">
        <f t="shared" si="19"/>
        <v>32.989997019428557</v>
      </c>
      <c r="AD10" s="60">
        <f t="shared" si="18"/>
        <v>1.5266049969891907E-2</v>
      </c>
      <c r="AE10" s="58" t="s">
        <v>136</v>
      </c>
      <c r="AG10" s="59">
        <f t="shared" si="3"/>
        <v>34.096235299296509</v>
      </c>
      <c r="AH10" s="60">
        <f t="shared" si="4"/>
        <v>1.4770749280216648E-2</v>
      </c>
      <c r="AI10" s="58" t="s">
        <v>137</v>
      </c>
      <c r="AK10" s="59">
        <f t="shared" si="5"/>
        <v>33.589665789951034</v>
      </c>
      <c r="AL10" s="60">
        <f t="shared" si="6"/>
        <v>1.4993508603347005E-2</v>
      </c>
      <c r="AM10" s="58" t="s">
        <v>137</v>
      </c>
      <c r="AO10" s="59">
        <f t="shared" si="7"/>
        <v>36.73861138858507</v>
      </c>
      <c r="AP10" s="60">
        <f t="shared" si="8"/>
        <v>1.3708382651655191E-2</v>
      </c>
      <c r="AQ10" s="58" t="s">
        <v>137</v>
      </c>
      <c r="AS10" s="59">
        <f t="shared" si="9"/>
        <v>121.58272643024227</v>
      </c>
      <c r="AT10" s="60">
        <f t="shared" si="10"/>
        <v>4.1422573567153542E-3</v>
      </c>
      <c r="AU10" s="58" t="s">
        <v>137</v>
      </c>
      <c r="AW10" s="59">
        <f t="shared" si="11"/>
        <v>35.53379742041205</v>
      </c>
      <c r="AX10" s="60">
        <f t="shared" si="12"/>
        <v>1.4173181015431741E-2</v>
      </c>
      <c r="AY10" s="58" t="s">
        <v>137</v>
      </c>
    </row>
    <row r="11" spans="1:51" x14ac:dyDescent="0.25">
      <c r="A11" s="15">
        <f>IAI_2020_Alumina_refining!A10</f>
        <v>33970</v>
      </c>
      <c r="B11" s="15">
        <f>IAI_2020_Alumina_refining!B10</f>
        <v>34335</v>
      </c>
      <c r="C11" s="16">
        <f>IAI_2020_Alumina_refining!C10</f>
        <v>15698</v>
      </c>
      <c r="D11" s="16">
        <f>IAI_2020_Alumina_refining!D10</f>
        <v>12872</v>
      </c>
      <c r="E11" s="16">
        <f>IAI_2020_Alumina_refining!E10</f>
        <v>12613</v>
      </c>
      <c r="F11" s="16">
        <f>IAI_2020_Alumina_refining!F10</f>
        <v>12264</v>
      </c>
      <c r="G11" s="16">
        <f>IAI_2020_Alumina_refining!G10</f>
        <v>11398</v>
      </c>
      <c r="H11" s="16" t="str">
        <f>IAI_2020_Alumina_refining!H10</f>
        <v>ND</v>
      </c>
      <c r="I11" s="16">
        <f>IAI_2020_Alumina_refining!I10</f>
        <v>12353</v>
      </c>
      <c r="K11" s="5">
        <v>1993</v>
      </c>
      <c r="L11" s="14" t="s">
        <v>35</v>
      </c>
      <c r="M11" s="17">
        <f t="shared" si="13"/>
        <v>15.698</v>
      </c>
      <c r="N11" s="17">
        <f t="shared" si="14"/>
        <v>12.872</v>
      </c>
      <c r="O11" s="17">
        <f t="shared" si="15"/>
        <v>12.613</v>
      </c>
      <c r="P11" s="17">
        <f t="shared" si="16"/>
        <v>12.263999999999999</v>
      </c>
      <c r="Q11" s="17">
        <f t="shared" si="17"/>
        <v>11.398</v>
      </c>
      <c r="R11" s="17"/>
      <c r="S11" s="17">
        <f t="shared" si="0"/>
        <v>12.353</v>
      </c>
      <c r="U11" s="5">
        <v>1953</v>
      </c>
      <c r="V11" s="13">
        <f>DOE_2007!$C$6</f>
        <v>0.5036269430051814</v>
      </c>
      <c r="W11" s="42" t="s">
        <v>39</v>
      </c>
      <c r="Y11" s="59">
        <f t="shared" si="1"/>
        <v>43.783496810850373</v>
      </c>
      <c r="Z11" s="60">
        <f t="shared" si="2"/>
        <v>1.1502666065730346E-2</v>
      </c>
      <c r="AA11" s="58" t="s">
        <v>137</v>
      </c>
      <c r="AC11" s="59">
        <f t="shared" si="19"/>
        <v>32.483747125877535</v>
      </c>
      <c r="AD11" s="60">
        <f t="shared" si="18"/>
        <v>1.550396698550756E-2</v>
      </c>
      <c r="AE11" s="58" t="s">
        <v>136</v>
      </c>
      <c r="AG11" s="59">
        <f t="shared" si="3"/>
        <v>33.573009562701451</v>
      </c>
      <c r="AH11" s="60">
        <f t="shared" si="4"/>
        <v>1.5000947176469248E-2</v>
      </c>
      <c r="AI11" s="58" t="s">
        <v>137</v>
      </c>
      <c r="AK11" s="59">
        <f t="shared" si="5"/>
        <v>33.074213644848911</v>
      </c>
      <c r="AL11" s="60">
        <f t="shared" si="6"/>
        <v>1.5227178139838192E-2</v>
      </c>
      <c r="AM11" s="58" t="s">
        <v>137</v>
      </c>
      <c r="AO11" s="59">
        <f t="shared" si="7"/>
        <v>36.174836917986298</v>
      </c>
      <c r="AP11" s="60">
        <f t="shared" si="8"/>
        <v>1.3922023868330854E-2</v>
      </c>
      <c r="AQ11" s="58" t="s">
        <v>137</v>
      </c>
      <c r="AS11" s="59">
        <f t="shared" si="9"/>
        <v>119.716971720513</v>
      </c>
      <c r="AT11" s="60">
        <f t="shared" si="10"/>
        <v>4.2068132510144933E-3</v>
      </c>
      <c r="AU11" s="58" t="s">
        <v>137</v>
      </c>
      <c r="AW11" s="59">
        <f t="shared" si="11"/>
        <v>34.988511491742429</v>
      </c>
      <c r="AX11" s="60">
        <f t="shared" si="12"/>
        <v>1.4394065981459127E-2</v>
      </c>
      <c r="AY11" s="58" t="s">
        <v>137</v>
      </c>
    </row>
    <row r="12" spans="1:51" x14ac:dyDescent="0.25">
      <c r="A12" s="15">
        <f>IAI_2020_Alumina_refining!A11</f>
        <v>34335</v>
      </c>
      <c r="B12" s="15">
        <f>IAI_2020_Alumina_refining!B11</f>
        <v>34700</v>
      </c>
      <c r="C12" s="16">
        <f>IAI_2020_Alumina_refining!C11</f>
        <v>15169</v>
      </c>
      <c r="D12" s="16">
        <f>IAI_2020_Alumina_refining!D11</f>
        <v>12327</v>
      </c>
      <c r="E12" s="16">
        <f>IAI_2020_Alumina_refining!E11</f>
        <v>12644</v>
      </c>
      <c r="F12" s="16">
        <f>IAI_2020_Alumina_refining!F11</f>
        <v>11723</v>
      </c>
      <c r="G12" s="16">
        <f>IAI_2020_Alumina_refining!G11</f>
        <v>11500</v>
      </c>
      <c r="H12" s="16" t="str">
        <f>IAI_2020_Alumina_refining!H11</f>
        <v>ND</v>
      </c>
      <c r="I12" s="16">
        <f>IAI_2020_Alumina_refining!I11</f>
        <v>12194</v>
      </c>
      <c r="K12" s="5">
        <v>1994</v>
      </c>
      <c r="L12" s="14" t="s">
        <v>35</v>
      </c>
      <c r="M12" s="17">
        <f t="shared" si="13"/>
        <v>15.169</v>
      </c>
      <c r="N12" s="17">
        <f t="shared" si="14"/>
        <v>12.327</v>
      </c>
      <c r="O12" s="17">
        <f t="shared" si="15"/>
        <v>12.644</v>
      </c>
      <c r="P12" s="17">
        <f t="shared" si="16"/>
        <v>11.723000000000001</v>
      </c>
      <c r="Q12" s="17">
        <f t="shared" si="17"/>
        <v>11.5</v>
      </c>
      <c r="R12" s="17"/>
      <c r="S12" s="17">
        <f t="shared" si="0"/>
        <v>12.194000000000001</v>
      </c>
      <c r="U12" s="5">
        <v>1954</v>
      </c>
      <c r="V12" s="13">
        <f>DOE_2007!$C$6</f>
        <v>0.5036269430051814</v>
      </c>
      <c r="W12" s="42" t="s">
        <v>39</v>
      </c>
      <c r="Y12" s="59">
        <f t="shared" si="1"/>
        <v>43.101143555424159</v>
      </c>
      <c r="Z12" s="60">
        <f t="shared" si="2"/>
        <v>1.1684769856687512E-2</v>
      </c>
      <c r="AA12" s="58" t="s">
        <v>137</v>
      </c>
      <c r="AC12" s="59">
        <f t="shared" si="19"/>
        <v>31.977497232326513</v>
      </c>
      <c r="AD12" s="60">
        <f t="shared" si="18"/>
        <v>1.5749417140002366E-2</v>
      </c>
      <c r="AE12" s="58" t="s">
        <v>136</v>
      </c>
      <c r="AG12" s="59">
        <f t="shared" si="3"/>
        <v>33.049783826106385</v>
      </c>
      <c r="AH12" s="60">
        <f t="shared" si="4"/>
        <v>1.5238433802019636E-2</v>
      </c>
      <c r="AI12" s="58" t="s">
        <v>137</v>
      </c>
      <c r="AK12" s="59">
        <f t="shared" si="5"/>
        <v>32.558761499746787</v>
      </c>
      <c r="AL12" s="60">
        <f t="shared" si="6"/>
        <v>1.5468246327769506E-2</v>
      </c>
      <c r="AM12" s="58" t="s">
        <v>137</v>
      </c>
      <c r="AO12" s="59">
        <f t="shared" si="7"/>
        <v>35.611062447387518</v>
      </c>
      <c r="AP12" s="60">
        <f t="shared" si="8"/>
        <v>1.4142429582078595E-2</v>
      </c>
      <c r="AQ12" s="58" t="s">
        <v>137</v>
      </c>
      <c r="AS12" s="59">
        <f t="shared" si="9"/>
        <v>117.85121701078374</v>
      </c>
      <c r="AT12" s="60">
        <f t="shared" si="10"/>
        <v>4.2734131711096206E-3</v>
      </c>
      <c r="AU12" s="58" t="s">
        <v>137</v>
      </c>
      <c r="AW12" s="59">
        <f t="shared" si="11"/>
        <v>34.443225563072808</v>
      </c>
      <c r="AX12" s="60">
        <f t="shared" si="12"/>
        <v>1.4621944802554403E-2</v>
      </c>
      <c r="AY12" s="58" t="s">
        <v>137</v>
      </c>
    </row>
    <row r="13" spans="1:51" x14ac:dyDescent="0.25">
      <c r="A13" s="15">
        <f>IAI_2020_Alumina_refining!A12</f>
        <v>34700</v>
      </c>
      <c r="B13" s="15">
        <f>IAI_2020_Alumina_refining!B12</f>
        <v>35065</v>
      </c>
      <c r="C13" s="16">
        <f>IAI_2020_Alumina_refining!C12</f>
        <v>15065</v>
      </c>
      <c r="D13" s="16">
        <f>IAI_2020_Alumina_refining!D12</f>
        <v>12528</v>
      </c>
      <c r="E13" s="16">
        <f>IAI_2020_Alumina_refining!E12</f>
        <v>12794</v>
      </c>
      <c r="F13" s="16">
        <f>IAI_2020_Alumina_refining!F12</f>
        <v>12094</v>
      </c>
      <c r="G13" s="16">
        <f>IAI_2020_Alumina_refining!G12</f>
        <v>12301</v>
      </c>
      <c r="H13" s="16" t="str">
        <f>IAI_2020_Alumina_refining!H12</f>
        <v>ND</v>
      </c>
      <c r="I13" s="16">
        <f>IAI_2020_Alumina_refining!I12</f>
        <v>12621</v>
      </c>
      <c r="K13" s="5">
        <v>1995</v>
      </c>
      <c r="L13" s="14" t="s">
        <v>35</v>
      </c>
      <c r="M13" s="17">
        <f t="shared" si="13"/>
        <v>15.065</v>
      </c>
      <c r="N13" s="17">
        <f t="shared" si="14"/>
        <v>12.528</v>
      </c>
      <c r="O13" s="17">
        <f t="shared" si="15"/>
        <v>12.794</v>
      </c>
      <c r="P13" s="17">
        <f t="shared" si="16"/>
        <v>12.093999999999999</v>
      </c>
      <c r="Q13" s="17">
        <f t="shared" si="17"/>
        <v>12.301</v>
      </c>
      <c r="R13" s="17"/>
      <c r="S13" s="17">
        <f t="shared" si="0"/>
        <v>12.621</v>
      </c>
      <c r="U13" s="5">
        <v>1955</v>
      </c>
      <c r="V13" s="13">
        <f>DOE_2007!$C$6</f>
        <v>0.5036269430051814</v>
      </c>
      <c r="W13" s="42" t="s">
        <v>39</v>
      </c>
      <c r="Y13" s="59">
        <f t="shared" si="1"/>
        <v>42.418790299997944</v>
      </c>
      <c r="Z13" s="60">
        <f t="shared" si="2"/>
        <v>1.1872732330257089E-2</v>
      </c>
      <c r="AA13" s="58" t="s">
        <v>137</v>
      </c>
      <c r="AC13" s="59">
        <f t="shared" si="19"/>
        <v>31.471247338775491</v>
      </c>
      <c r="AD13" s="60">
        <f t="shared" si="18"/>
        <v>1.6002763970040246E-2</v>
      </c>
      <c r="AE13" s="58" t="s">
        <v>136</v>
      </c>
      <c r="AG13" s="59">
        <f t="shared" si="3"/>
        <v>32.526558089511319</v>
      </c>
      <c r="AH13" s="60">
        <f t="shared" si="4"/>
        <v>1.5483560898734735E-2</v>
      </c>
      <c r="AI13" s="58" t="s">
        <v>137</v>
      </c>
      <c r="AK13" s="59">
        <f t="shared" si="5"/>
        <v>32.043309354644663</v>
      </c>
      <c r="AL13" s="60">
        <f t="shared" si="6"/>
        <v>1.5717070213666334E-2</v>
      </c>
      <c r="AM13" s="58" t="s">
        <v>137</v>
      </c>
      <c r="AO13" s="59">
        <f t="shared" si="7"/>
        <v>35.047287976788738</v>
      </c>
      <c r="AP13" s="60">
        <f t="shared" si="8"/>
        <v>1.4369926236196236E-2</v>
      </c>
      <c r="AQ13" s="58" t="s">
        <v>137</v>
      </c>
      <c r="AS13" s="59">
        <f t="shared" si="9"/>
        <v>115.98546230105448</v>
      </c>
      <c r="AT13" s="60">
        <f t="shared" si="10"/>
        <v>4.342155758261807E-3</v>
      </c>
      <c r="AU13" s="58" t="s">
        <v>137</v>
      </c>
      <c r="AW13" s="59">
        <f t="shared" si="11"/>
        <v>33.89793963440318</v>
      </c>
      <c r="AX13" s="60">
        <f t="shared" si="12"/>
        <v>1.4857154990448092E-2</v>
      </c>
      <c r="AY13" s="58" t="s">
        <v>137</v>
      </c>
    </row>
    <row r="14" spans="1:51" x14ac:dyDescent="0.25">
      <c r="A14" s="15">
        <f>IAI_2020_Alumina_refining!A13</f>
        <v>35065</v>
      </c>
      <c r="B14" s="15">
        <f>IAI_2020_Alumina_refining!B13</f>
        <v>35431</v>
      </c>
      <c r="C14" s="16">
        <f>IAI_2020_Alumina_refining!C13</f>
        <v>16455</v>
      </c>
      <c r="D14" s="16">
        <f>IAI_2020_Alumina_refining!D13</f>
        <v>12668</v>
      </c>
      <c r="E14" s="16">
        <f>IAI_2020_Alumina_refining!E13</f>
        <v>12580</v>
      </c>
      <c r="F14" s="16">
        <f>IAI_2020_Alumina_refining!F13</f>
        <v>11987</v>
      </c>
      <c r="G14" s="16">
        <f>IAI_2020_Alumina_refining!G13</f>
        <v>12213</v>
      </c>
      <c r="H14" s="16" t="str">
        <f>IAI_2020_Alumina_refining!H13</f>
        <v>ND</v>
      </c>
      <c r="I14" s="16">
        <f>IAI_2020_Alumina_refining!I13</f>
        <v>12637</v>
      </c>
      <c r="K14" s="5">
        <v>1996</v>
      </c>
      <c r="L14" s="14" t="s">
        <v>35</v>
      </c>
      <c r="M14" s="17">
        <f t="shared" si="13"/>
        <v>16.454999999999998</v>
      </c>
      <c r="N14" s="17">
        <f t="shared" si="14"/>
        <v>12.667999999999999</v>
      </c>
      <c r="O14" s="17">
        <f t="shared" si="15"/>
        <v>12.58</v>
      </c>
      <c r="P14" s="17">
        <f t="shared" si="16"/>
        <v>11.987</v>
      </c>
      <c r="Q14" s="17">
        <f t="shared" si="17"/>
        <v>12.212999999999999</v>
      </c>
      <c r="R14" s="17"/>
      <c r="S14" s="17">
        <f t="shared" si="0"/>
        <v>12.637</v>
      </c>
      <c r="U14" s="5">
        <v>1956</v>
      </c>
      <c r="V14" s="13">
        <f>DOE_2007!$C$6</f>
        <v>0.5036269430051814</v>
      </c>
      <c r="W14" s="42" t="s">
        <v>39</v>
      </c>
      <c r="Y14" s="59">
        <f t="shared" si="1"/>
        <v>41.73643704457173</v>
      </c>
      <c r="Z14" s="60">
        <f t="shared" si="2"/>
        <v>1.2066840839033323E-2</v>
      </c>
      <c r="AA14" s="58" t="s">
        <v>137</v>
      </c>
      <c r="AC14" s="59">
        <f t="shared" si="19"/>
        <v>30.964997445224469</v>
      </c>
      <c r="AD14" s="60">
        <f t="shared" si="18"/>
        <v>1.626439478627674E-2</v>
      </c>
      <c r="AE14" s="58" t="s">
        <v>136</v>
      </c>
      <c r="AG14" s="59">
        <f t="shared" si="3"/>
        <v>32.00333235291626</v>
      </c>
      <c r="AH14" s="60">
        <f t="shared" si="4"/>
        <v>1.5736703211135732E-2</v>
      </c>
      <c r="AI14" s="58" t="s">
        <v>137</v>
      </c>
      <c r="AK14" s="59">
        <f t="shared" si="5"/>
        <v>31.527857209542542</v>
      </c>
      <c r="AL14" s="60">
        <f t="shared" si="6"/>
        <v>1.5974030193613938E-2</v>
      </c>
      <c r="AM14" s="58" t="s">
        <v>137</v>
      </c>
      <c r="AO14" s="59">
        <f t="shared" si="7"/>
        <v>34.483513506189965</v>
      </c>
      <c r="AP14" s="60">
        <f t="shared" si="8"/>
        <v>1.4604861622200354E-2</v>
      </c>
      <c r="AQ14" s="58" t="s">
        <v>137</v>
      </c>
      <c r="AS14" s="59">
        <f t="shared" si="9"/>
        <v>114.11970759132521</v>
      </c>
      <c r="AT14" s="60">
        <f t="shared" si="10"/>
        <v>4.4131461045161715E-3</v>
      </c>
      <c r="AU14" s="58" t="s">
        <v>137</v>
      </c>
      <c r="AW14" s="59">
        <f t="shared" si="11"/>
        <v>33.352653705733559</v>
      </c>
      <c r="AX14" s="60">
        <f t="shared" si="12"/>
        <v>1.5100056128925187E-2</v>
      </c>
      <c r="AY14" s="58" t="s">
        <v>137</v>
      </c>
    </row>
    <row r="15" spans="1:51" x14ac:dyDescent="0.25">
      <c r="A15" s="15">
        <f>IAI_2020_Alumina_refining!A14</f>
        <v>35431</v>
      </c>
      <c r="B15" s="15">
        <f>IAI_2020_Alumina_refining!B14</f>
        <v>35796</v>
      </c>
      <c r="C15" s="16">
        <f>IAI_2020_Alumina_refining!C14</f>
        <v>16356</v>
      </c>
      <c r="D15" s="16">
        <f>IAI_2020_Alumina_refining!D14</f>
        <v>11356</v>
      </c>
      <c r="E15" s="16">
        <f>IAI_2020_Alumina_refining!E14</f>
        <v>12052</v>
      </c>
      <c r="F15" s="16">
        <f>IAI_2020_Alumina_refining!F14</f>
        <v>12191</v>
      </c>
      <c r="G15" s="16">
        <f>IAI_2020_Alumina_refining!G14</f>
        <v>12269</v>
      </c>
      <c r="H15" s="16" t="str">
        <f>IAI_2020_Alumina_refining!H14</f>
        <v>ND</v>
      </c>
      <c r="I15" s="16">
        <f>IAI_2020_Alumina_refining!I14</f>
        <v>12339</v>
      </c>
      <c r="K15" s="5">
        <v>1997</v>
      </c>
      <c r="L15" s="14" t="s">
        <v>35</v>
      </c>
      <c r="M15" s="17">
        <f t="shared" si="13"/>
        <v>16.356000000000002</v>
      </c>
      <c r="N15" s="17">
        <f t="shared" si="14"/>
        <v>11.356</v>
      </c>
      <c r="O15" s="17">
        <f t="shared" si="15"/>
        <v>12.052</v>
      </c>
      <c r="P15" s="17">
        <f t="shared" si="16"/>
        <v>12.191000000000001</v>
      </c>
      <c r="Q15" s="17">
        <f t="shared" si="17"/>
        <v>12.269</v>
      </c>
      <c r="R15" s="17"/>
      <c r="S15" s="17">
        <f t="shared" si="0"/>
        <v>12.339</v>
      </c>
      <c r="U15" s="5">
        <v>1957</v>
      </c>
      <c r="V15" s="13">
        <f>DOE_2007!$C$6</f>
        <v>0.5036269430051814</v>
      </c>
      <c r="W15" s="42" t="s">
        <v>39</v>
      </c>
      <c r="Y15" s="59">
        <f t="shared" si="1"/>
        <v>41.054083789145515</v>
      </c>
      <c r="Z15" s="60">
        <f t="shared" si="2"/>
        <v>1.2267401839773555E-2</v>
      </c>
      <c r="AA15" s="58" t="s">
        <v>137</v>
      </c>
      <c r="AC15" s="59">
        <f t="shared" si="19"/>
        <v>30.458747551673447</v>
      </c>
      <c r="AD15" s="60">
        <f t="shared" si="18"/>
        <v>1.6534722649077259E-2</v>
      </c>
      <c r="AE15" s="58" t="s">
        <v>136</v>
      </c>
      <c r="AG15" s="59">
        <f t="shared" si="3"/>
        <v>31.480106616321194</v>
      </c>
      <c r="AH15" s="60">
        <f t="shared" si="4"/>
        <v>1.5998260398015003E-2</v>
      </c>
      <c r="AI15" s="58" t="s">
        <v>137</v>
      </c>
      <c r="AK15" s="59">
        <f t="shared" si="5"/>
        <v>31.012405064440419</v>
      </c>
      <c r="AL15" s="60">
        <f t="shared" si="6"/>
        <v>1.6239531953703659E-2</v>
      </c>
      <c r="AM15" s="58" t="s">
        <v>137</v>
      </c>
      <c r="AO15" s="59">
        <f t="shared" si="7"/>
        <v>33.919739035591185</v>
      </c>
      <c r="AP15" s="60">
        <f t="shared" si="8"/>
        <v>1.4847606653952659E-2</v>
      </c>
      <c r="AQ15" s="58" t="s">
        <v>137</v>
      </c>
      <c r="AS15" s="59">
        <f t="shared" si="9"/>
        <v>112.25395288159595</v>
      </c>
      <c r="AT15" s="60">
        <f t="shared" si="10"/>
        <v>4.486496288789053E-3</v>
      </c>
      <c r="AU15" s="58" t="s">
        <v>137</v>
      </c>
      <c r="AW15" s="59">
        <f t="shared" si="11"/>
        <v>32.807367777063938</v>
      </c>
      <c r="AX15" s="60">
        <f t="shared" si="12"/>
        <v>1.5351031708105324E-2</v>
      </c>
      <c r="AY15" s="58" t="s">
        <v>137</v>
      </c>
    </row>
    <row r="16" spans="1:51" x14ac:dyDescent="0.25">
      <c r="A16" s="15">
        <f>IAI_2020_Alumina_refining!A15</f>
        <v>35796</v>
      </c>
      <c r="B16" s="15">
        <f>IAI_2020_Alumina_refining!B15</f>
        <v>36161</v>
      </c>
      <c r="C16" s="16">
        <f>IAI_2020_Alumina_refining!C15</f>
        <v>17468</v>
      </c>
      <c r="D16" s="16">
        <f>IAI_2020_Alumina_refining!D15</f>
        <v>11025</v>
      </c>
      <c r="E16" s="16">
        <f>IAI_2020_Alumina_refining!E15</f>
        <v>12144</v>
      </c>
      <c r="F16" s="16">
        <f>IAI_2020_Alumina_refining!F15</f>
        <v>13031</v>
      </c>
      <c r="G16" s="16">
        <f>IAI_2020_Alumina_refining!G15</f>
        <v>12126</v>
      </c>
      <c r="H16" s="16">
        <f>IAI_2020_Alumina_refining!H15</f>
        <v>40632</v>
      </c>
      <c r="I16" s="16">
        <f>IAI_2020_Alumina_refining!I15</f>
        <v>14919</v>
      </c>
      <c r="K16" s="5">
        <v>1998</v>
      </c>
      <c r="L16" s="14" t="s">
        <v>35</v>
      </c>
      <c r="M16" s="17">
        <f t="shared" si="13"/>
        <v>17.468</v>
      </c>
      <c r="N16" s="17">
        <f t="shared" si="14"/>
        <v>11.025</v>
      </c>
      <c r="O16" s="17">
        <f t="shared" si="15"/>
        <v>12.144</v>
      </c>
      <c r="P16" s="17">
        <f t="shared" si="16"/>
        <v>13.031000000000001</v>
      </c>
      <c r="Q16" s="17">
        <f t="shared" si="17"/>
        <v>12.125999999999999</v>
      </c>
      <c r="R16" s="17">
        <f t="shared" ref="R16:R37" si="20">H16/1000</f>
        <v>40.631999999999998</v>
      </c>
      <c r="S16" s="17">
        <f t="shared" si="0"/>
        <v>14.919</v>
      </c>
      <c r="U16" s="5">
        <v>1958</v>
      </c>
      <c r="V16" s="13">
        <f>DOE_2007!$C$6</f>
        <v>0.5036269430051814</v>
      </c>
      <c r="W16" s="42" t="s">
        <v>39</v>
      </c>
      <c r="Y16" s="59">
        <f t="shared" si="1"/>
        <v>40.371730533719294</v>
      </c>
      <c r="Z16" s="60">
        <f t="shared" si="2"/>
        <v>1.2474742507868021E-2</v>
      </c>
      <c r="AA16" s="58" t="s">
        <v>137</v>
      </c>
      <c r="AC16" s="59">
        <f t="shared" si="19"/>
        <v>29.952497658122425</v>
      </c>
      <c r="AD16" s="60">
        <f t="shared" si="18"/>
        <v>1.6814188544594023E-2</v>
      </c>
      <c r="AE16" s="58" t="s">
        <v>136</v>
      </c>
      <c r="AG16" s="59">
        <f t="shared" si="3"/>
        <v>30.956880879726132</v>
      </c>
      <c r="AH16" s="60">
        <f t="shared" si="4"/>
        <v>1.6268659137911083E-2</v>
      </c>
      <c r="AI16" s="58" t="s">
        <v>137</v>
      </c>
      <c r="AK16" s="59">
        <f t="shared" si="5"/>
        <v>30.496952919338295</v>
      </c>
      <c r="AL16" s="60">
        <f t="shared" si="6"/>
        <v>1.6514008607260846E-2</v>
      </c>
      <c r="AM16" s="58" t="s">
        <v>137</v>
      </c>
      <c r="AO16" s="59">
        <f t="shared" si="7"/>
        <v>33.355964564992412</v>
      </c>
      <c r="AP16" s="60">
        <f t="shared" si="8"/>
        <v>1.5098557321701483E-2</v>
      </c>
      <c r="AQ16" s="58" t="s">
        <v>137</v>
      </c>
      <c r="AS16" s="59">
        <f t="shared" si="9"/>
        <v>110.38819817186669</v>
      </c>
      <c r="AT16" s="60">
        <f t="shared" si="10"/>
        <v>4.5623259673200712E-3</v>
      </c>
      <c r="AU16" s="58" t="s">
        <v>137</v>
      </c>
      <c r="AW16" s="59">
        <f t="shared" si="11"/>
        <v>32.262081848394317</v>
      </c>
      <c r="AX16" s="60">
        <f t="shared" si="12"/>
        <v>1.561049114473829E-2</v>
      </c>
      <c r="AY16" s="58" t="s">
        <v>137</v>
      </c>
    </row>
    <row r="17" spans="1:51" x14ac:dyDescent="0.25">
      <c r="A17" s="15">
        <f>IAI_2020_Alumina_refining!A16</f>
        <v>36161</v>
      </c>
      <c r="B17" s="15">
        <f>IAI_2020_Alumina_refining!B16</f>
        <v>36526</v>
      </c>
      <c r="C17" s="16">
        <f>IAI_2020_Alumina_refining!C16</f>
        <v>17106</v>
      </c>
      <c r="D17" s="16">
        <f>IAI_2020_Alumina_refining!D16</f>
        <v>11273</v>
      </c>
      <c r="E17" s="16">
        <f>IAI_2020_Alumina_refining!E16</f>
        <v>11709</v>
      </c>
      <c r="F17" s="16">
        <f>IAI_2020_Alumina_refining!F16</f>
        <v>12883</v>
      </c>
      <c r="G17" s="16">
        <f>IAI_2020_Alumina_refining!G16</f>
        <v>11964</v>
      </c>
      <c r="H17" s="16">
        <f>IAI_2020_Alumina_refining!H16</f>
        <v>38278</v>
      </c>
      <c r="I17" s="16">
        <f>IAI_2020_Alumina_refining!I16</f>
        <v>14774</v>
      </c>
      <c r="K17" s="5">
        <v>1999</v>
      </c>
      <c r="L17" s="14" t="s">
        <v>35</v>
      </c>
      <c r="M17" s="17">
        <f t="shared" si="13"/>
        <v>17.106000000000002</v>
      </c>
      <c r="N17" s="17">
        <f t="shared" si="14"/>
        <v>11.273</v>
      </c>
      <c r="O17" s="17">
        <f t="shared" si="15"/>
        <v>11.709</v>
      </c>
      <c r="P17" s="17">
        <f t="shared" si="16"/>
        <v>12.882999999999999</v>
      </c>
      <c r="Q17" s="17">
        <f t="shared" si="17"/>
        <v>11.964</v>
      </c>
      <c r="R17" s="17">
        <f t="shared" si="20"/>
        <v>38.277999999999999</v>
      </c>
      <c r="S17" s="17">
        <f t="shared" si="0"/>
        <v>14.773999999999999</v>
      </c>
      <c r="U17" s="62">
        <v>1959</v>
      </c>
      <c r="V17" s="63">
        <f>DOE_2007!$C$6</f>
        <v>0.5036269430051814</v>
      </c>
      <c r="W17" s="64" t="s">
        <v>39</v>
      </c>
      <c r="X17" s="62"/>
      <c r="Y17" s="65">
        <f t="shared" si="1"/>
        <v>39.68937727829308</v>
      </c>
      <c r="Z17" s="66">
        <f t="shared" si="2"/>
        <v>1.268921251834871E-2</v>
      </c>
      <c r="AA17" s="67" t="s">
        <v>137</v>
      </c>
      <c r="AB17" s="62"/>
      <c r="AC17" s="65">
        <f t="shared" si="19"/>
        <v>29.446247764571403</v>
      </c>
      <c r="AD17" s="66">
        <f t="shared" si="18"/>
        <v>1.7103263785314137E-2</v>
      </c>
      <c r="AE17" s="67" t="s">
        <v>136</v>
      </c>
      <c r="AF17" s="62"/>
      <c r="AG17" s="65">
        <f t="shared" si="3"/>
        <v>30.433655143131066</v>
      </c>
      <c r="AH17" s="66">
        <f t="shared" si="4"/>
        <v>1.6548355451771982E-2</v>
      </c>
      <c r="AI17" s="67" t="s">
        <v>137</v>
      </c>
      <c r="AJ17" s="61"/>
      <c r="AK17" s="65">
        <f t="shared" si="5"/>
        <v>29.981500774236171</v>
      </c>
      <c r="AL17" s="66">
        <f t="shared" si="6"/>
        <v>1.6797923052536457E-2</v>
      </c>
      <c r="AM17" s="67" t="s">
        <v>137</v>
      </c>
      <c r="AN17" s="68"/>
      <c r="AO17" s="65">
        <f t="shared" si="7"/>
        <v>32.792190094393632</v>
      </c>
      <c r="AP17" s="66">
        <f t="shared" si="8"/>
        <v>1.5358136847690596E-2</v>
      </c>
      <c r="AQ17" s="67" t="s">
        <v>137</v>
      </c>
      <c r="AR17" s="61"/>
      <c r="AS17" s="65">
        <f t="shared" si="9"/>
        <v>108.52244346213743</v>
      </c>
      <c r="AT17" s="66">
        <f t="shared" si="10"/>
        <v>4.6407630250317076E-3</v>
      </c>
      <c r="AU17" s="67" t="s">
        <v>137</v>
      </c>
      <c r="AV17" s="61"/>
      <c r="AW17" s="65">
        <f t="shared" si="11"/>
        <v>31.716795919724692</v>
      </c>
      <c r="AX17" s="66">
        <f t="shared" si="12"/>
        <v>1.5878872010901188E-2</v>
      </c>
      <c r="AY17" s="67" t="s">
        <v>137</v>
      </c>
    </row>
    <row r="18" spans="1:51" x14ac:dyDescent="0.25">
      <c r="A18" s="15">
        <f>IAI_2020_Alumina_refining!A17</f>
        <v>36526</v>
      </c>
      <c r="B18" s="15">
        <f>IAI_2020_Alumina_refining!B17</f>
        <v>36892</v>
      </c>
      <c r="C18" s="16">
        <f>IAI_2020_Alumina_refining!C17</f>
        <v>16687</v>
      </c>
      <c r="D18" s="16">
        <f>IAI_2020_Alumina_refining!D17</f>
        <v>11654</v>
      </c>
      <c r="E18" s="16">
        <f>IAI_2020_Alumina_refining!E17</f>
        <v>11903</v>
      </c>
      <c r="F18" s="16">
        <f>IAI_2020_Alumina_refining!F17</f>
        <v>12627</v>
      </c>
      <c r="G18" s="16">
        <f>IAI_2020_Alumina_refining!G17</f>
        <v>11370</v>
      </c>
      <c r="H18" s="16">
        <f>IAI_2020_Alumina_refining!H17</f>
        <v>35644</v>
      </c>
      <c r="I18" s="16">
        <f>IAI_2020_Alumina_refining!I17</f>
        <v>14479</v>
      </c>
      <c r="K18" s="5">
        <v>2000</v>
      </c>
      <c r="L18" s="14" t="s">
        <v>35</v>
      </c>
      <c r="M18" s="17">
        <f t="shared" si="13"/>
        <v>16.687000000000001</v>
      </c>
      <c r="N18" s="17">
        <f t="shared" si="14"/>
        <v>11.654</v>
      </c>
      <c r="O18" s="17">
        <f t="shared" si="15"/>
        <v>11.903</v>
      </c>
      <c r="P18" s="17">
        <f t="shared" si="16"/>
        <v>12.627000000000001</v>
      </c>
      <c r="Q18" s="17">
        <f t="shared" si="17"/>
        <v>11.37</v>
      </c>
      <c r="R18" s="17">
        <f t="shared" si="20"/>
        <v>35.643999999999998</v>
      </c>
      <c r="S18" s="17">
        <f t="shared" si="0"/>
        <v>14.478999999999999</v>
      </c>
      <c r="U18" s="5">
        <v>1960</v>
      </c>
      <c r="V18" s="13">
        <f>DOE_2007!$C$6</f>
        <v>0.5036269430051814</v>
      </c>
      <c r="W18" s="42" t="s">
        <v>39</v>
      </c>
      <c r="X18" s="10"/>
      <c r="Y18" s="59">
        <f t="shared" si="1"/>
        <v>39.007024022866865</v>
      </c>
      <c r="Z18" s="60">
        <f t="shared" si="2"/>
        <v>1.2911186013830305E-2</v>
      </c>
      <c r="AA18" s="58" t="s">
        <v>137</v>
      </c>
      <c r="AB18" s="12"/>
      <c r="AC18" s="59">
        <f t="shared" si="19"/>
        <v>28.939997871020381</v>
      </c>
      <c r="AD18" s="60">
        <f t="shared" si="18"/>
        <v>1.7402452662565598E-2</v>
      </c>
      <c r="AE18" s="58" t="s">
        <v>136</v>
      </c>
      <c r="AF18" s="12"/>
      <c r="AG18" s="59">
        <f t="shared" si="3"/>
        <v>29.910429406536004</v>
      </c>
      <c r="AH18" s="60">
        <f t="shared" si="4"/>
        <v>1.6837837269401731E-2</v>
      </c>
      <c r="AI18" s="58" t="s">
        <v>137</v>
      </c>
      <c r="AK18" s="59">
        <f t="shared" si="5"/>
        <v>29.466048629134047</v>
      </c>
      <c r="AL18" s="60">
        <f t="shared" si="6"/>
        <v>1.709177057785851E-2</v>
      </c>
      <c r="AM18" s="58" t="s">
        <v>137</v>
      </c>
      <c r="AO18" s="59">
        <f t="shared" si="7"/>
        <v>32.228415623794859</v>
      </c>
      <c r="AP18" s="60">
        <f t="shared" si="8"/>
        <v>1.5626798068017464E-2</v>
      </c>
      <c r="AQ18" s="58" t="s">
        <v>137</v>
      </c>
      <c r="AS18" s="59">
        <f t="shared" si="9"/>
        <v>106.65668875240816</v>
      </c>
      <c r="AT18" s="60">
        <f t="shared" si="10"/>
        <v>4.7219442952546207E-3</v>
      </c>
      <c r="AU18" s="58" t="s">
        <v>137</v>
      </c>
      <c r="AW18" s="59">
        <f t="shared" si="11"/>
        <v>31.171509991055071</v>
      </c>
      <c r="AX18" s="60">
        <f t="shared" si="12"/>
        <v>1.6156642496616348E-2</v>
      </c>
      <c r="AY18" s="58" t="s">
        <v>137</v>
      </c>
    </row>
    <row r="19" spans="1:51" x14ac:dyDescent="0.25">
      <c r="A19" s="15">
        <f>IAI_2020_Alumina_refining!A18</f>
        <v>36892</v>
      </c>
      <c r="B19" s="15">
        <f>IAI_2020_Alumina_refining!B18</f>
        <v>37257</v>
      </c>
      <c r="C19" s="16">
        <f>IAI_2020_Alumina_refining!C18</f>
        <v>15421</v>
      </c>
      <c r="D19" s="16">
        <f>IAI_2020_Alumina_refining!D18</f>
        <v>11082</v>
      </c>
      <c r="E19" s="16">
        <f>IAI_2020_Alumina_refining!E18</f>
        <v>11807</v>
      </c>
      <c r="F19" s="16">
        <f>IAI_2020_Alumina_refining!F18</f>
        <v>12934</v>
      </c>
      <c r="G19" s="16">
        <f>IAI_2020_Alumina_refining!G18</f>
        <v>11087</v>
      </c>
      <c r="H19" s="16">
        <f>IAI_2020_Alumina_refining!H18</f>
        <v>34691</v>
      </c>
      <c r="I19" s="16">
        <f>IAI_2020_Alumina_refining!I18</f>
        <v>14366</v>
      </c>
      <c r="K19" s="5">
        <v>2001</v>
      </c>
      <c r="L19" s="14" t="s">
        <v>35</v>
      </c>
      <c r="M19" s="17">
        <f t="shared" si="13"/>
        <v>15.420999999999999</v>
      </c>
      <c r="N19" s="17">
        <f t="shared" si="14"/>
        <v>11.082000000000001</v>
      </c>
      <c r="O19" s="17">
        <f t="shared" si="15"/>
        <v>11.807</v>
      </c>
      <c r="P19" s="17">
        <f t="shared" si="16"/>
        <v>12.933999999999999</v>
      </c>
      <c r="Q19" s="17">
        <f t="shared" si="17"/>
        <v>11.087</v>
      </c>
      <c r="R19" s="17">
        <f t="shared" si="20"/>
        <v>34.691000000000003</v>
      </c>
      <c r="S19" s="17">
        <f t="shared" si="0"/>
        <v>14.366</v>
      </c>
      <c r="U19" s="5">
        <v>1961</v>
      </c>
      <c r="V19" s="13">
        <f>DOE_2007!$C$6</f>
        <v>0.5036269430051814</v>
      </c>
      <c r="W19" s="42" t="s">
        <v>39</v>
      </c>
      <c r="X19" s="10"/>
      <c r="Y19" s="59">
        <f t="shared" si="1"/>
        <v>38.324670767440651</v>
      </c>
      <c r="Z19" s="60">
        <f t="shared" si="2"/>
        <v>1.3141063782680838E-2</v>
      </c>
      <c r="AA19" s="58" t="s">
        <v>137</v>
      </c>
      <c r="AB19" s="12"/>
      <c r="AC19" s="59">
        <f t="shared" si="19"/>
        <v>28.433747977469359</v>
      </c>
      <c r="AD19" s="60">
        <f t="shared" si="18"/>
        <v>1.7712295382383312E-2</v>
      </c>
      <c r="AE19" s="58" t="s">
        <v>136</v>
      </c>
      <c r="AF19" s="12"/>
      <c r="AG19" s="59">
        <f t="shared" si="3"/>
        <v>29.387203669940941</v>
      </c>
      <c r="AH19" s="60">
        <f t="shared" si="4"/>
        <v>1.7137627270073414E-2</v>
      </c>
      <c r="AI19" s="58" t="s">
        <v>137</v>
      </c>
      <c r="AK19" s="59">
        <f t="shared" si="5"/>
        <v>28.950596484031923</v>
      </c>
      <c r="AL19" s="60">
        <f t="shared" si="6"/>
        <v>1.7396081745084713E-2</v>
      </c>
      <c r="AM19" s="58" t="s">
        <v>137</v>
      </c>
      <c r="AO19" s="59">
        <f t="shared" si="7"/>
        <v>31.664641153196079</v>
      </c>
      <c r="AP19" s="60">
        <f t="shared" si="8"/>
        <v>1.5905026068938972E-2</v>
      </c>
      <c r="AQ19" s="58" t="s">
        <v>137</v>
      </c>
      <c r="AS19" s="59">
        <f t="shared" si="9"/>
        <v>104.7909340426789</v>
      </c>
      <c r="AT19" s="60">
        <f t="shared" si="10"/>
        <v>4.8060163563392417E-3</v>
      </c>
      <c r="AU19" s="58" t="s">
        <v>137</v>
      </c>
      <c r="AW19" s="59">
        <f t="shared" si="11"/>
        <v>30.626224062385447</v>
      </c>
      <c r="AX19" s="60">
        <f t="shared" si="12"/>
        <v>1.6444304135543975E-2</v>
      </c>
      <c r="AY19" s="58" t="s">
        <v>137</v>
      </c>
    </row>
    <row r="20" spans="1:51" x14ac:dyDescent="0.25">
      <c r="A20" s="15">
        <f>IAI_2020_Alumina_refining!A19</f>
        <v>37257</v>
      </c>
      <c r="B20" s="15">
        <f>IAI_2020_Alumina_refining!B19</f>
        <v>37622</v>
      </c>
      <c r="C20" s="16">
        <f>IAI_2020_Alumina_refining!C19</f>
        <v>12938</v>
      </c>
      <c r="D20" s="16">
        <f>IAI_2020_Alumina_refining!D19</f>
        <v>11957</v>
      </c>
      <c r="E20" s="16">
        <f>IAI_2020_Alumina_refining!E19</f>
        <v>11436</v>
      </c>
      <c r="F20" s="16">
        <f>IAI_2020_Alumina_refining!F19</f>
        <v>13490</v>
      </c>
      <c r="G20" s="16">
        <f>IAI_2020_Alumina_refining!G19</f>
        <v>11375</v>
      </c>
      <c r="H20" s="16">
        <f>IAI_2020_Alumina_refining!H19</f>
        <v>33948</v>
      </c>
      <c r="I20" s="16">
        <f>IAI_2020_Alumina_refining!I19</f>
        <v>14554</v>
      </c>
      <c r="K20" s="5">
        <v>2002</v>
      </c>
      <c r="L20" s="14" t="s">
        <v>35</v>
      </c>
      <c r="M20" s="17">
        <f t="shared" si="13"/>
        <v>12.938000000000001</v>
      </c>
      <c r="N20" s="17">
        <f t="shared" si="14"/>
        <v>11.957000000000001</v>
      </c>
      <c r="O20" s="17">
        <f t="shared" si="15"/>
        <v>11.436</v>
      </c>
      <c r="P20" s="17">
        <f t="shared" si="16"/>
        <v>13.49</v>
      </c>
      <c r="Q20" s="17">
        <f t="shared" si="17"/>
        <v>11.375</v>
      </c>
      <c r="R20" s="17">
        <f t="shared" si="20"/>
        <v>33.948</v>
      </c>
      <c r="S20" s="17">
        <f t="shared" si="0"/>
        <v>14.554</v>
      </c>
      <c r="U20" s="5">
        <v>1962</v>
      </c>
      <c r="V20" s="13">
        <f>DOE_2007!$C$6</f>
        <v>0.5036269430051814</v>
      </c>
      <c r="W20" s="42" t="s">
        <v>39</v>
      </c>
      <c r="X20" s="10"/>
      <c r="Y20" s="59">
        <f t="shared" si="1"/>
        <v>37.642317512014436</v>
      </c>
      <c r="Z20" s="60">
        <f t="shared" si="2"/>
        <v>1.3379275674098358E-2</v>
      </c>
      <c r="AA20" s="58" t="s">
        <v>137</v>
      </c>
      <c r="AB20" s="12"/>
      <c r="AC20" s="59">
        <f t="shared" si="19"/>
        <v>27.927498083918337</v>
      </c>
      <c r="AD20" s="60">
        <f t="shared" si="18"/>
        <v>1.8033371320690841E-2</v>
      </c>
      <c r="AE20" s="58" t="s">
        <v>136</v>
      </c>
      <c r="AF20" s="12"/>
      <c r="AG20" s="59">
        <f t="shared" si="3"/>
        <v>28.863977933345875</v>
      </c>
      <c r="AH20" s="60">
        <f t="shared" si="4"/>
        <v>1.7448286032097918E-2</v>
      </c>
      <c r="AI20" s="58" t="s">
        <v>137</v>
      </c>
      <c r="AK20" s="59">
        <f t="shared" si="5"/>
        <v>28.435144338929799</v>
      </c>
      <c r="AL20" s="60">
        <f t="shared" si="6"/>
        <v>1.7711425586670194E-2</v>
      </c>
      <c r="AM20" s="58" t="s">
        <v>137</v>
      </c>
      <c r="AO20" s="59">
        <f t="shared" si="7"/>
        <v>31.100866682597303</v>
      </c>
      <c r="AP20" s="60">
        <f t="shared" si="8"/>
        <v>1.6193341109911552E-2</v>
      </c>
      <c r="AQ20" s="58" t="s">
        <v>137</v>
      </c>
      <c r="AS20" s="59">
        <f t="shared" si="9"/>
        <v>102.92517933294964</v>
      </c>
      <c r="AT20" s="60">
        <f t="shared" si="10"/>
        <v>4.8931364149098384E-3</v>
      </c>
      <c r="AU20" s="58" t="s">
        <v>137</v>
      </c>
      <c r="AW20" s="59">
        <f t="shared" si="11"/>
        <v>30.080938133715826</v>
      </c>
      <c r="AX20" s="60">
        <f t="shared" si="12"/>
        <v>1.6742394827131329E-2</v>
      </c>
      <c r="AY20" s="58" t="s">
        <v>137</v>
      </c>
    </row>
    <row r="21" spans="1:51" x14ac:dyDescent="0.25">
      <c r="A21" s="15">
        <f>IAI_2020_Alumina_refining!A20</f>
        <v>37622</v>
      </c>
      <c r="B21" s="15">
        <f>IAI_2020_Alumina_refining!B20</f>
        <v>37987</v>
      </c>
      <c r="C21" s="16">
        <f>IAI_2020_Alumina_refining!C20</f>
        <v>14536</v>
      </c>
      <c r="D21" s="16">
        <f>IAI_2020_Alumina_refining!D20</f>
        <v>10927</v>
      </c>
      <c r="E21" s="16">
        <f>IAI_2020_Alumina_refining!E20</f>
        <v>11112</v>
      </c>
      <c r="F21" s="16">
        <f>IAI_2020_Alumina_refining!F20</f>
        <v>12312</v>
      </c>
      <c r="G21" s="16">
        <f>IAI_2020_Alumina_refining!G20</f>
        <v>11745</v>
      </c>
      <c r="H21" s="16">
        <f>IAI_2020_Alumina_refining!H20</f>
        <v>32612</v>
      </c>
      <c r="I21" s="16">
        <f>IAI_2020_Alumina_refining!I20</f>
        <v>14193</v>
      </c>
      <c r="K21" s="5">
        <v>2003</v>
      </c>
      <c r="L21" s="14" t="s">
        <v>35</v>
      </c>
      <c r="M21" s="17">
        <f t="shared" si="13"/>
        <v>14.536</v>
      </c>
      <c r="N21" s="17">
        <f t="shared" si="14"/>
        <v>10.927</v>
      </c>
      <c r="O21" s="17">
        <f t="shared" si="15"/>
        <v>11.112</v>
      </c>
      <c r="P21" s="17">
        <f t="shared" si="16"/>
        <v>12.311999999999999</v>
      </c>
      <c r="Q21" s="17">
        <f t="shared" si="17"/>
        <v>11.744999999999999</v>
      </c>
      <c r="R21" s="17">
        <f t="shared" si="20"/>
        <v>32.612000000000002</v>
      </c>
      <c r="S21" s="17">
        <f t="shared" si="0"/>
        <v>14.193</v>
      </c>
      <c r="U21" s="5">
        <v>1963</v>
      </c>
      <c r="V21" s="13">
        <f>DOE_2007!$C$6</f>
        <v>0.5036269430051814</v>
      </c>
      <c r="W21" s="42" t="s">
        <v>39</v>
      </c>
      <c r="X21" s="10"/>
      <c r="Y21" s="59">
        <f t="shared" si="1"/>
        <v>36.959964256588215</v>
      </c>
      <c r="Z21" s="60">
        <f t="shared" si="2"/>
        <v>1.3626283280709844E-2</v>
      </c>
      <c r="AA21" s="58" t="s">
        <v>137</v>
      </c>
      <c r="AB21" s="12"/>
      <c r="AC21" s="59">
        <f t="shared" si="19"/>
        <v>27.421248190367315</v>
      </c>
      <c r="AD21" s="60">
        <f t="shared" si="18"/>
        <v>1.8366302639064337E-2</v>
      </c>
      <c r="AE21" s="58" t="s">
        <v>136</v>
      </c>
      <c r="AF21" s="12"/>
      <c r="AG21" s="59">
        <f t="shared" si="3"/>
        <v>28.340752196750813</v>
      </c>
      <c r="AH21" s="60">
        <f t="shared" si="4"/>
        <v>1.7770415531275872E-2</v>
      </c>
      <c r="AI21" s="58" t="s">
        <v>137</v>
      </c>
      <c r="AK21" s="59">
        <f t="shared" si="5"/>
        <v>27.919692193827675</v>
      </c>
      <c r="AL21" s="60">
        <f t="shared" si="6"/>
        <v>1.8038413156880016E-2</v>
      </c>
      <c r="AM21" s="58" t="s">
        <v>137</v>
      </c>
      <c r="AO21" s="59">
        <f t="shared" si="7"/>
        <v>30.537092211998527</v>
      </c>
      <c r="AP21" s="60">
        <f t="shared" si="8"/>
        <v>1.6492301870421642E-2</v>
      </c>
      <c r="AQ21" s="58" t="s">
        <v>137</v>
      </c>
      <c r="AS21" s="59">
        <f t="shared" si="9"/>
        <v>101.05942462322038</v>
      </c>
      <c r="AT21" s="60">
        <f t="shared" si="10"/>
        <v>4.9834732869581694E-3</v>
      </c>
      <c r="AU21" s="58" t="s">
        <v>137</v>
      </c>
      <c r="AW21" s="59">
        <f t="shared" si="11"/>
        <v>29.535652205046201</v>
      </c>
      <c r="AX21" s="60">
        <f t="shared" si="12"/>
        <v>1.7051492193530641E-2</v>
      </c>
      <c r="AY21" s="58" t="s">
        <v>137</v>
      </c>
    </row>
    <row r="22" spans="1:51" x14ac:dyDescent="0.25">
      <c r="A22" s="15">
        <f>IAI_2020_Alumina_refining!A21</f>
        <v>37987</v>
      </c>
      <c r="B22" s="15">
        <f>IAI_2020_Alumina_refining!B21</f>
        <v>38353</v>
      </c>
      <c r="C22" s="16">
        <f>IAI_2020_Alumina_refining!C21</f>
        <v>12581</v>
      </c>
      <c r="D22" s="16">
        <f>IAI_2020_Alumina_refining!D21</f>
        <v>10352</v>
      </c>
      <c r="E22" s="16">
        <f>IAI_2020_Alumina_refining!E21</f>
        <v>10043</v>
      </c>
      <c r="F22" s="16">
        <f>IAI_2020_Alumina_refining!F21</f>
        <v>12403</v>
      </c>
      <c r="G22" s="16">
        <f>IAI_2020_Alumina_refining!G21</f>
        <v>11864</v>
      </c>
      <c r="H22" s="16">
        <f>IAI_2020_Alumina_refining!H21</f>
        <v>30088</v>
      </c>
      <c r="I22" s="16">
        <f>IAI_2020_Alumina_refining!I21</f>
        <v>13756</v>
      </c>
      <c r="K22" s="5">
        <v>2004</v>
      </c>
      <c r="L22" s="14" t="s">
        <v>35</v>
      </c>
      <c r="M22" s="17">
        <f t="shared" si="13"/>
        <v>12.581</v>
      </c>
      <c r="N22" s="17">
        <f t="shared" si="14"/>
        <v>10.352</v>
      </c>
      <c r="O22" s="17">
        <f t="shared" si="15"/>
        <v>10.042999999999999</v>
      </c>
      <c r="P22" s="17">
        <f t="shared" si="16"/>
        <v>12.403</v>
      </c>
      <c r="Q22" s="17">
        <f t="shared" si="17"/>
        <v>11.864000000000001</v>
      </c>
      <c r="R22" s="17">
        <f t="shared" si="20"/>
        <v>30.088000000000001</v>
      </c>
      <c r="S22" s="17">
        <f t="shared" si="0"/>
        <v>13.756</v>
      </c>
      <c r="U22" s="5">
        <v>1964</v>
      </c>
      <c r="V22" s="13">
        <f>DOE_2007!$C$6</f>
        <v>0.5036269430051814</v>
      </c>
      <c r="W22" s="42" t="s">
        <v>39</v>
      </c>
      <c r="X22" s="10"/>
      <c r="Y22" s="59">
        <f t="shared" si="1"/>
        <v>36.277611001162001</v>
      </c>
      <c r="Z22" s="60">
        <f t="shared" si="2"/>
        <v>1.388258292391552E-2</v>
      </c>
      <c r="AA22" s="58" t="s">
        <v>137</v>
      </c>
      <c r="AB22" s="12"/>
      <c r="AC22" s="59">
        <f t="shared" si="19"/>
        <v>26.914998296816293</v>
      </c>
      <c r="AD22" s="60">
        <f t="shared" si="18"/>
        <v>1.8711758308554458E-2</v>
      </c>
      <c r="AE22" s="58" t="s">
        <v>136</v>
      </c>
      <c r="AF22" s="12"/>
      <c r="AG22" s="59">
        <f t="shared" si="3"/>
        <v>27.817526460155751</v>
      </c>
      <c r="AH22" s="60">
        <f t="shared" si="4"/>
        <v>1.8104663034168338E-2</v>
      </c>
      <c r="AI22" s="58" t="s">
        <v>137</v>
      </c>
      <c r="AK22" s="59">
        <f t="shared" si="5"/>
        <v>27.404240048725551</v>
      </c>
      <c r="AL22" s="60">
        <f t="shared" si="6"/>
        <v>1.8377701483774694E-2</v>
      </c>
      <c r="AM22" s="58" t="s">
        <v>137</v>
      </c>
      <c r="AO22" s="59">
        <f t="shared" si="7"/>
        <v>29.97331774139975</v>
      </c>
      <c r="AP22" s="60">
        <f t="shared" si="8"/>
        <v>1.6802509063237991E-2</v>
      </c>
      <c r="AQ22" s="58" t="s">
        <v>137</v>
      </c>
      <c r="AS22" s="59">
        <f t="shared" si="9"/>
        <v>99.193669913491107</v>
      </c>
      <c r="AT22" s="60">
        <f t="shared" si="10"/>
        <v>5.0772084896587161E-3</v>
      </c>
      <c r="AU22" s="58" t="s">
        <v>137</v>
      </c>
      <c r="AW22" s="59">
        <f t="shared" si="11"/>
        <v>28.99036627637658</v>
      </c>
      <c r="AX22" s="60">
        <f t="shared" si="12"/>
        <v>1.7372217315362884E-2</v>
      </c>
      <c r="AY22" s="58" t="s">
        <v>137</v>
      </c>
    </row>
    <row r="23" spans="1:51" x14ac:dyDescent="0.25">
      <c r="A23" s="15">
        <f>IAI_2020_Alumina_refining!A22</f>
        <v>38353</v>
      </c>
      <c r="B23" s="15">
        <f>IAI_2020_Alumina_refining!B22</f>
        <v>38718</v>
      </c>
      <c r="C23" s="16">
        <f>IAI_2020_Alumina_refining!C22</f>
        <v>12788</v>
      </c>
      <c r="D23" s="16">
        <f>IAI_2020_Alumina_refining!D22</f>
        <v>11385</v>
      </c>
      <c r="E23" s="16">
        <f>IAI_2020_Alumina_refining!E22</f>
        <v>11190</v>
      </c>
      <c r="F23" s="16">
        <f>IAI_2020_Alumina_refining!F22</f>
        <v>12510</v>
      </c>
      <c r="G23" s="16">
        <f>IAI_2020_Alumina_refining!G22</f>
        <v>11444</v>
      </c>
      <c r="H23" s="16">
        <f>IAI_2020_Alumina_refining!H22</f>
        <v>29348</v>
      </c>
      <c r="I23" s="16">
        <f>IAI_2020_Alumina_refining!I22</f>
        <v>14133</v>
      </c>
      <c r="K23" s="5">
        <v>2005</v>
      </c>
      <c r="L23" s="14" t="s">
        <v>35</v>
      </c>
      <c r="M23" s="17">
        <f t="shared" si="13"/>
        <v>12.788</v>
      </c>
      <c r="N23" s="17">
        <f t="shared" si="14"/>
        <v>11.385</v>
      </c>
      <c r="O23" s="17">
        <f t="shared" si="15"/>
        <v>11.19</v>
      </c>
      <c r="P23" s="17">
        <f t="shared" si="16"/>
        <v>12.51</v>
      </c>
      <c r="Q23" s="17">
        <f t="shared" si="17"/>
        <v>11.444000000000001</v>
      </c>
      <c r="R23" s="17">
        <f t="shared" si="20"/>
        <v>29.347999999999999</v>
      </c>
      <c r="S23" s="17">
        <f t="shared" si="0"/>
        <v>14.132999999999999</v>
      </c>
      <c r="U23" s="5">
        <v>1965</v>
      </c>
      <c r="V23" s="13">
        <f>DOE_2007!$C$6</f>
        <v>0.5036269430051814</v>
      </c>
      <c r="W23" s="42" t="s">
        <v>39</v>
      </c>
      <c r="X23" s="10"/>
      <c r="Y23" s="59">
        <f t="shared" si="1"/>
        <v>35.595257745735786</v>
      </c>
      <c r="Z23" s="60">
        <f t="shared" si="2"/>
        <v>1.4148708982603576E-2</v>
      </c>
      <c r="AA23" s="58" t="s">
        <v>137</v>
      </c>
      <c r="AB23" s="12"/>
      <c r="AC23" s="59">
        <f t="shared" si="19"/>
        <v>26.408748403265271</v>
      </c>
      <c r="AD23" s="60">
        <f t="shared" si="18"/>
        <v>1.9070458596322996E-2</v>
      </c>
      <c r="AE23" s="58" t="s">
        <v>136</v>
      </c>
      <c r="AF23" s="12"/>
      <c r="AG23" s="59">
        <f t="shared" si="3"/>
        <v>27.294300723560685</v>
      </c>
      <c r="AH23" s="60">
        <f t="shared" si="4"/>
        <v>1.8451725439166358E-2</v>
      </c>
      <c r="AI23" s="58" t="s">
        <v>137</v>
      </c>
      <c r="AK23" s="59">
        <f t="shared" si="5"/>
        <v>26.888787903623427</v>
      </c>
      <c r="AL23" s="60">
        <f t="shared" si="6"/>
        <v>1.8729997975747901E-2</v>
      </c>
      <c r="AM23" s="58" t="s">
        <v>137</v>
      </c>
      <c r="AO23" s="59">
        <f t="shared" si="7"/>
        <v>29.409543270800974</v>
      </c>
      <c r="AP23" s="60">
        <f t="shared" si="8"/>
        <v>1.7124609463255534E-2</v>
      </c>
      <c r="AQ23" s="58" t="s">
        <v>137</v>
      </c>
      <c r="AS23" s="59">
        <f t="shared" si="9"/>
        <v>97.327915203761847</v>
      </c>
      <c r="AT23" s="60">
        <f t="shared" si="10"/>
        <v>5.17453745876307E-3</v>
      </c>
      <c r="AU23" s="58" t="s">
        <v>137</v>
      </c>
      <c r="AW23" s="59">
        <f t="shared" si="11"/>
        <v>28.445080347706956</v>
      </c>
      <c r="AX23" s="60">
        <f t="shared" si="12"/>
        <v>1.7705238897164174E-2</v>
      </c>
      <c r="AY23" s="58" t="s">
        <v>137</v>
      </c>
    </row>
    <row r="24" spans="1:51" x14ac:dyDescent="0.25">
      <c r="A24" s="15">
        <f>IAI_2020_Alumina_refining!A23</f>
        <v>38718</v>
      </c>
      <c r="B24" s="15">
        <f>IAI_2020_Alumina_refining!B23</f>
        <v>39083</v>
      </c>
      <c r="C24" s="16">
        <f>IAI_2020_Alumina_refining!C23</f>
        <v>19093</v>
      </c>
      <c r="D24" s="16">
        <f>IAI_2020_Alumina_refining!D23</f>
        <v>12076</v>
      </c>
      <c r="E24" s="16">
        <f>IAI_2020_Alumina_refining!E23</f>
        <v>11065</v>
      </c>
      <c r="F24" s="16">
        <f>IAI_2020_Alumina_refining!F23</f>
        <v>17005</v>
      </c>
      <c r="G24" s="16">
        <f>IAI_2020_Alumina_refining!G23</f>
        <v>11457</v>
      </c>
      <c r="H24" s="16">
        <f>IAI_2020_Alumina_refining!H23</f>
        <v>23598</v>
      </c>
      <c r="I24" s="16">
        <f>IAI_2020_Alumina_refining!I23</f>
        <v>15201</v>
      </c>
      <c r="K24" s="5">
        <v>2006</v>
      </c>
      <c r="L24" s="14" t="s">
        <v>35</v>
      </c>
      <c r="M24" s="17">
        <f t="shared" si="13"/>
        <v>19.093</v>
      </c>
      <c r="N24" s="17">
        <f t="shared" si="14"/>
        <v>12.076000000000001</v>
      </c>
      <c r="O24" s="17">
        <f t="shared" si="15"/>
        <v>11.065</v>
      </c>
      <c r="P24" s="17">
        <f t="shared" si="16"/>
        <v>17.004999999999999</v>
      </c>
      <c r="Q24" s="17">
        <f t="shared" si="17"/>
        <v>11.457000000000001</v>
      </c>
      <c r="R24" s="17">
        <f t="shared" si="20"/>
        <v>23.597999999999999</v>
      </c>
      <c r="S24" s="17">
        <f t="shared" si="0"/>
        <v>15.201000000000001</v>
      </c>
      <c r="U24" s="5">
        <v>1966</v>
      </c>
      <c r="V24" s="13">
        <f>DOE_2007!$C$6</f>
        <v>0.5036269430051814</v>
      </c>
      <c r="W24" s="42" t="s">
        <v>39</v>
      </c>
      <c r="X24" s="10"/>
      <c r="Y24" s="59">
        <f t="shared" si="1"/>
        <v>34.912904490309572</v>
      </c>
      <c r="Z24" s="60">
        <f t="shared" si="2"/>
        <v>1.4425237612212073E-2</v>
      </c>
      <c r="AA24" s="58" t="s">
        <v>137</v>
      </c>
      <c r="AB24" s="12"/>
      <c r="AC24" s="59">
        <f t="shared" si="19"/>
        <v>25.902498509714249</v>
      </c>
      <c r="AD24" s="60">
        <f t="shared" si="18"/>
        <v>1.944318007841234E-2</v>
      </c>
      <c r="AE24" s="58" t="s">
        <v>136</v>
      </c>
      <c r="AF24" s="12"/>
      <c r="AG24" s="59">
        <f t="shared" si="3"/>
        <v>26.771074986965623</v>
      </c>
      <c r="AH24" s="60">
        <f t="shared" si="4"/>
        <v>1.8812354126623184E-2</v>
      </c>
      <c r="AI24" s="58" t="s">
        <v>137</v>
      </c>
      <c r="AK24" s="59">
        <f t="shared" si="5"/>
        <v>26.373335758521304</v>
      </c>
      <c r="AL24" s="60">
        <f t="shared" si="6"/>
        <v>1.9096065344804101E-2</v>
      </c>
      <c r="AM24" s="58" t="s">
        <v>137</v>
      </c>
      <c r="AO24" s="59">
        <f t="shared" si="7"/>
        <v>28.845768800202197</v>
      </c>
      <c r="AP24" s="60">
        <f t="shared" si="8"/>
        <v>1.7459300408788243E-2</v>
      </c>
      <c r="AQ24" s="58" t="s">
        <v>137</v>
      </c>
      <c r="AS24" s="59">
        <f t="shared" si="9"/>
        <v>95.462160494032588</v>
      </c>
      <c r="AT24" s="60">
        <f t="shared" si="10"/>
        <v>5.2756709087540873E-3</v>
      </c>
      <c r="AU24" s="58" t="s">
        <v>137</v>
      </c>
      <c r="AW24" s="59">
        <f t="shared" si="11"/>
        <v>27.899794419037335</v>
      </c>
      <c r="AX24" s="60">
        <f t="shared" si="12"/>
        <v>1.8051277921300138E-2</v>
      </c>
      <c r="AY24" s="58" t="s">
        <v>137</v>
      </c>
    </row>
    <row r="25" spans="1:51" x14ac:dyDescent="0.25">
      <c r="A25" s="15">
        <f>IAI_2020_Alumina_refining!A24</f>
        <v>39083</v>
      </c>
      <c r="B25" s="15">
        <f>IAI_2020_Alumina_refining!B24</f>
        <v>39448</v>
      </c>
      <c r="C25" s="16">
        <f>IAI_2020_Alumina_refining!C24</f>
        <v>18057</v>
      </c>
      <c r="D25" s="16">
        <f>IAI_2020_Alumina_refining!D24</f>
        <v>10961</v>
      </c>
      <c r="E25" s="16">
        <f>IAI_2020_Alumina_refining!E24</f>
        <v>10741</v>
      </c>
      <c r="F25" s="16">
        <f>IAI_2020_Alumina_refining!F24</f>
        <v>14628</v>
      </c>
      <c r="G25" s="16">
        <f>IAI_2020_Alumina_refining!G24</f>
        <v>11230</v>
      </c>
      <c r="H25" s="16">
        <f>IAI_2020_Alumina_refining!H24</f>
        <v>25522</v>
      </c>
      <c r="I25" s="16">
        <f>IAI_2020_Alumina_refining!I24</f>
        <v>15934</v>
      </c>
      <c r="K25" s="5">
        <v>2007</v>
      </c>
      <c r="L25" s="14" t="s">
        <v>35</v>
      </c>
      <c r="M25" s="17">
        <f t="shared" si="13"/>
        <v>18.056999999999999</v>
      </c>
      <c r="N25" s="17">
        <f t="shared" si="14"/>
        <v>10.961</v>
      </c>
      <c r="O25" s="17">
        <f t="shared" si="15"/>
        <v>10.741</v>
      </c>
      <c r="P25" s="17">
        <f t="shared" si="16"/>
        <v>14.628</v>
      </c>
      <c r="Q25" s="17">
        <f t="shared" si="17"/>
        <v>11.23</v>
      </c>
      <c r="R25" s="17">
        <f t="shared" si="20"/>
        <v>25.521999999999998</v>
      </c>
      <c r="S25" s="17">
        <f t="shared" si="0"/>
        <v>15.933999999999999</v>
      </c>
      <c r="U25" s="5">
        <v>1967</v>
      </c>
      <c r="V25" s="13">
        <f>DOE_2007!$C$6</f>
        <v>0.5036269430051814</v>
      </c>
      <c r="W25" s="42" t="s">
        <v>39</v>
      </c>
      <c r="X25" s="10"/>
      <c r="Y25" s="59">
        <f t="shared" si="1"/>
        <v>34.230551234883357</v>
      </c>
      <c r="Z25" s="60">
        <f t="shared" si="2"/>
        <v>1.4712790908606516E-2</v>
      </c>
      <c r="AA25" s="58" t="s">
        <v>137</v>
      </c>
      <c r="AB25" s="12"/>
      <c r="AC25" s="59">
        <f t="shared" si="19"/>
        <v>25.396248616163227</v>
      </c>
      <c r="AD25" s="60">
        <f t="shared" si="18"/>
        <v>1.9830761252063515E-2</v>
      </c>
      <c r="AE25" s="58" t="s">
        <v>136</v>
      </c>
      <c r="AF25" s="12"/>
      <c r="AG25" s="59">
        <f t="shared" si="3"/>
        <v>26.24784925037056</v>
      </c>
      <c r="AH25" s="60">
        <f t="shared" si="4"/>
        <v>1.9187360389082978E-2</v>
      </c>
      <c r="AI25" s="58" t="s">
        <v>137</v>
      </c>
      <c r="AK25" s="59">
        <f t="shared" si="5"/>
        <v>25.85788361341918</v>
      </c>
      <c r="AL25" s="60">
        <f t="shared" si="6"/>
        <v>1.9476727118681116E-2</v>
      </c>
      <c r="AM25" s="58" t="s">
        <v>137</v>
      </c>
      <c r="AO25" s="59">
        <f t="shared" si="7"/>
        <v>28.281994329603421</v>
      </c>
      <c r="AP25" s="60">
        <f t="shared" si="8"/>
        <v>1.7807334841235839E-2</v>
      </c>
      <c r="AQ25" s="58" t="s">
        <v>137</v>
      </c>
      <c r="AS25" s="59">
        <f t="shared" si="9"/>
        <v>93.596405784303329</v>
      </c>
      <c r="AT25" s="60">
        <f t="shared" si="10"/>
        <v>5.3808363556802586E-3</v>
      </c>
      <c r="AU25" s="58" t="s">
        <v>137</v>
      </c>
      <c r="AW25" s="59">
        <f t="shared" si="11"/>
        <v>27.354508490367714</v>
      </c>
      <c r="AX25" s="60">
        <f t="shared" si="12"/>
        <v>1.8411112858508223E-2</v>
      </c>
      <c r="AY25" s="58" t="s">
        <v>137</v>
      </c>
    </row>
    <row r="26" spans="1:51" x14ac:dyDescent="0.25">
      <c r="A26" s="15">
        <f>IAI_2020_Alumina_refining!A25</f>
        <v>39448</v>
      </c>
      <c r="B26" s="15">
        <f>IAI_2020_Alumina_refining!B25</f>
        <v>39814</v>
      </c>
      <c r="C26" s="16">
        <f>IAI_2020_Alumina_refining!C25</f>
        <v>16787</v>
      </c>
      <c r="D26" s="16">
        <f>IAI_2020_Alumina_refining!D25</f>
        <v>10871</v>
      </c>
      <c r="E26" s="16">
        <f>IAI_2020_Alumina_refining!E25</f>
        <v>10504</v>
      </c>
      <c r="F26" s="16">
        <f>IAI_2020_Alumina_refining!F25</f>
        <v>15840</v>
      </c>
      <c r="G26" s="16">
        <f>IAI_2020_Alumina_refining!G25</f>
        <v>11295</v>
      </c>
      <c r="H26" s="16">
        <f>IAI_2020_Alumina_refining!H25</f>
        <v>23356</v>
      </c>
      <c r="I26" s="16">
        <f>IAI_2020_Alumina_refining!I25</f>
        <v>15554</v>
      </c>
      <c r="K26" s="5">
        <v>2008</v>
      </c>
      <c r="L26" s="14" t="s">
        <v>35</v>
      </c>
      <c r="M26" s="17">
        <f t="shared" si="13"/>
        <v>16.786999999999999</v>
      </c>
      <c r="N26" s="17">
        <f t="shared" si="14"/>
        <v>10.871</v>
      </c>
      <c r="O26" s="17">
        <f t="shared" si="15"/>
        <v>10.504</v>
      </c>
      <c r="P26" s="17">
        <f t="shared" si="16"/>
        <v>15.84</v>
      </c>
      <c r="Q26" s="17">
        <f t="shared" si="17"/>
        <v>11.295</v>
      </c>
      <c r="R26" s="17">
        <f t="shared" si="20"/>
        <v>23.356000000000002</v>
      </c>
      <c r="S26" s="17">
        <f t="shared" si="0"/>
        <v>15.554</v>
      </c>
      <c r="U26" s="5">
        <v>1968</v>
      </c>
      <c r="V26" s="13">
        <f>DOE_2007!$C$6</f>
        <v>0.5036269430051814</v>
      </c>
      <c r="W26" s="42" t="s">
        <v>39</v>
      </c>
      <c r="X26" s="10"/>
      <c r="Y26" s="59">
        <f t="shared" si="1"/>
        <v>33.548197979457143</v>
      </c>
      <c r="Z26" s="60">
        <f t="shared" si="2"/>
        <v>1.5012041580104291E-2</v>
      </c>
      <c r="AA26" s="58" t="s">
        <v>137</v>
      </c>
      <c r="AB26" s="12"/>
      <c r="AC26" s="59">
        <f t="shared" si="19"/>
        <v>24.889998722612205</v>
      </c>
      <c r="AD26" s="60">
        <f t="shared" si="18"/>
        <v>2.0234108832944356E-2</v>
      </c>
      <c r="AE26" s="58" t="s">
        <v>136</v>
      </c>
      <c r="AF26" s="12"/>
      <c r="AG26" s="59">
        <f t="shared" si="3"/>
        <v>25.724623513775494</v>
      </c>
      <c r="AH26" s="60">
        <f t="shared" si="4"/>
        <v>1.9577621524198011E-2</v>
      </c>
      <c r="AI26" s="58" t="s">
        <v>137</v>
      </c>
      <c r="AK26" s="59">
        <f t="shared" si="5"/>
        <v>25.342431468317056</v>
      </c>
      <c r="AL26" s="60">
        <f t="shared" si="6"/>
        <v>1.9872873825655307E-2</v>
      </c>
      <c r="AM26" s="58" t="s">
        <v>137</v>
      </c>
      <c r="AO26" s="59">
        <f t="shared" si="7"/>
        <v>27.718219859004645</v>
      </c>
      <c r="AP26" s="60">
        <f t="shared" si="8"/>
        <v>1.8169526959775927E-2</v>
      </c>
      <c r="AQ26" s="58" t="s">
        <v>137</v>
      </c>
      <c r="AS26" s="59">
        <f t="shared" si="9"/>
        <v>91.730651074574055</v>
      </c>
      <c r="AT26" s="60">
        <f t="shared" si="10"/>
        <v>5.4902798258321421E-3</v>
      </c>
      <c r="AU26" s="58" t="s">
        <v>137</v>
      </c>
      <c r="AW26" s="59">
        <f t="shared" si="11"/>
        <v>26.809222561698089</v>
      </c>
      <c r="AX26" s="60">
        <f t="shared" si="12"/>
        <v>1.8785585514318689E-2</v>
      </c>
      <c r="AY26" s="58" t="s">
        <v>137</v>
      </c>
    </row>
    <row r="27" spans="1:51" x14ac:dyDescent="0.25">
      <c r="A27" s="15">
        <f>IAI_2020_Alumina_refining!A26</f>
        <v>39814</v>
      </c>
      <c r="B27" s="15">
        <f>IAI_2020_Alumina_refining!B26</f>
        <v>40179</v>
      </c>
      <c r="C27" s="16">
        <f>IAI_2020_Alumina_refining!C26</f>
        <v>16955</v>
      </c>
      <c r="D27" s="16">
        <f>IAI_2020_Alumina_refining!D26</f>
        <v>11819</v>
      </c>
      <c r="E27" s="16">
        <f>IAI_2020_Alumina_refining!E26</f>
        <v>9554</v>
      </c>
      <c r="F27" s="16">
        <f>IAI_2020_Alumina_refining!F26</f>
        <v>17137</v>
      </c>
      <c r="G27" s="16">
        <f>IAI_2020_Alumina_refining!G26</f>
        <v>11203</v>
      </c>
      <c r="H27" s="16">
        <f>IAI_2020_Alumina_refining!H26</f>
        <v>19385</v>
      </c>
      <c r="I27" s="16">
        <f>IAI_2020_Alumina_refining!I26</f>
        <v>14647</v>
      </c>
      <c r="K27" s="5">
        <v>2009</v>
      </c>
      <c r="L27" s="14" t="s">
        <v>35</v>
      </c>
      <c r="M27" s="17">
        <f t="shared" si="13"/>
        <v>16.954999999999998</v>
      </c>
      <c r="N27" s="17">
        <f t="shared" si="14"/>
        <v>11.819000000000001</v>
      </c>
      <c r="O27" s="17">
        <f t="shared" si="15"/>
        <v>9.5540000000000003</v>
      </c>
      <c r="P27" s="17">
        <f t="shared" si="16"/>
        <v>17.137</v>
      </c>
      <c r="Q27" s="17">
        <f t="shared" si="17"/>
        <v>11.202999999999999</v>
      </c>
      <c r="R27" s="17">
        <f t="shared" si="20"/>
        <v>19.385000000000002</v>
      </c>
      <c r="S27" s="17">
        <f t="shared" si="0"/>
        <v>14.647</v>
      </c>
      <c r="U27" s="5">
        <v>1969</v>
      </c>
      <c r="V27" s="13">
        <f>DOE_2007!$C$6</f>
        <v>0.5036269430051814</v>
      </c>
      <c r="W27" s="42" t="s">
        <v>39</v>
      </c>
      <c r="X27" s="10"/>
      <c r="Y27" s="59">
        <f t="shared" si="1"/>
        <v>32.865844724030921</v>
      </c>
      <c r="Z27" s="60">
        <f t="shared" si="2"/>
        <v>1.5323718201496228E-2</v>
      </c>
      <c r="AA27" s="58" t="s">
        <v>137</v>
      </c>
      <c r="AB27" s="12"/>
      <c r="AC27" s="59">
        <f t="shared" si="19"/>
        <v>24.383748829061183</v>
      </c>
      <c r="AD27" s="60">
        <f t="shared" si="18"/>
        <v>2.065420483682746E-2</v>
      </c>
      <c r="AE27" s="58" t="s">
        <v>136</v>
      </c>
      <c r="AF27" s="12"/>
      <c r="AG27" s="59">
        <f t="shared" si="3"/>
        <v>25.201397777180432</v>
      </c>
      <c r="AH27" s="60">
        <f t="shared" si="4"/>
        <v>1.9984087686644496E-2</v>
      </c>
      <c r="AI27" s="58" t="s">
        <v>137</v>
      </c>
      <c r="AK27" s="59">
        <f t="shared" si="5"/>
        <v>24.826979323214932</v>
      </c>
      <c r="AL27" s="60">
        <f t="shared" si="6"/>
        <v>2.0285469949791902E-2</v>
      </c>
      <c r="AM27" s="58" t="s">
        <v>137</v>
      </c>
      <c r="AO27" s="59">
        <f t="shared" si="7"/>
        <v>27.154445388405865</v>
      </c>
      <c r="AP27" s="60">
        <f t="shared" si="8"/>
        <v>1.8546758580464878E-2</v>
      </c>
      <c r="AQ27" s="58" t="s">
        <v>137</v>
      </c>
      <c r="AS27" s="59">
        <f t="shared" si="9"/>
        <v>89.864896364844796</v>
      </c>
      <c r="AT27" s="60">
        <f t="shared" si="10"/>
        <v>5.6042677772697082E-3</v>
      </c>
      <c r="AU27" s="58" t="s">
        <v>137</v>
      </c>
      <c r="AW27" s="59">
        <f t="shared" si="11"/>
        <v>26.263936633028468</v>
      </c>
      <c r="AX27" s="60">
        <f t="shared" si="12"/>
        <v>1.9175607603767991E-2</v>
      </c>
      <c r="AY27" s="58" t="s">
        <v>137</v>
      </c>
    </row>
    <row r="28" spans="1:51" x14ac:dyDescent="0.25">
      <c r="A28" s="15">
        <f>IAI_2020_Alumina_refining!A27</f>
        <v>40179</v>
      </c>
      <c r="B28" s="15">
        <f>IAI_2020_Alumina_refining!B27</f>
        <v>40544</v>
      </c>
      <c r="C28" s="16">
        <f>IAI_2020_Alumina_refining!C27</f>
        <v>16212</v>
      </c>
      <c r="D28" s="16">
        <f>IAI_2020_Alumina_refining!D27</f>
        <v>12018</v>
      </c>
      <c r="E28" s="16">
        <f>IAI_2020_Alumina_refining!E27</f>
        <v>9814</v>
      </c>
      <c r="F28" s="16">
        <f>IAI_2020_Alumina_refining!F27</f>
        <v>14627</v>
      </c>
      <c r="G28" s="16">
        <f>IAI_2020_Alumina_refining!G27</f>
        <v>10721</v>
      </c>
      <c r="H28" s="16">
        <f>IAI_2020_Alumina_refining!H27</f>
        <v>18581</v>
      </c>
      <c r="I28" s="16">
        <f>IAI_2020_Alumina_refining!I27</f>
        <v>14346</v>
      </c>
      <c r="K28" s="5">
        <v>2010</v>
      </c>
      <c r="L28" s="14" t="s">
        <v>35</v>
      </c>
      <c r="M28" s="17">
        <f t="shared" si="13"/>
        <v>16.212</v>
      </c>
      <c r="N28" s="17">
        <f t="shared" si="14"/>
        <v>12.018000000000001</v>
      </c>
      <c r="O28" s="17">
        <f t="shared" si="15"/>
        <v>9.8140000000000001</v>
      </c>
      <c r="P28" s="17">
        <f t="shared" si="16"/>
        <v>14.627000000000001</v>
      </c>
      <c r="Q28" s="17">
        <f t="shared" si="17"/>
        <v>10.721</v>
      </c>
      <c r="R28" s="17">
        <f t="shared" si="20"/>
        <v>18.581</v>
      </c>
      <c r="S28" s="17">
        <f t="shared" si="0"/>
        <v>14.346</v>
      </c>
      <c r="U28" s="5">
        <v>1970</v>
      </c>
      <c r="V28" s="13">
        <f>DOE_2007!$C$6</f>
        <v>0.5036269430051814</v>
      </c>
      <c r="W28" s="42" t="s">
        <v>39</v>
      </c>
      <c r="X28" s="10"/>
      <c r="Y28" s="59">
        <f t="shared" si="1"/>
        <v>32.183491468604707</v>
      </c>
      <c r="Z28" s="60">
        <f t="shared" si="2"/>
        <v>1.5648611136441618E-2</v>
      </c>
      <c r="AA28" s="58" t="s">
        <v>137</v>
      </c>
      <c r="AB28" s="12"/>
      <c r="AC28" s="59">
        <f t="shared" si="19"/>
        <v>23.877498935510161</v>
      </c>
      <c r="AD28" s="60">
        <f t="shared" si="18"/>
        <v>2.1092114562141055E-2</v>
      </c>
      <c r="AE28" s="58" t="s">
        <v>136</v>
      </c>
      <c r="AF28" s="12"/>
      <c r="AG28" s="59">
        <f t="shared" si="3"/>
        <v>24.67817204058537</v>
      </c>
      <c r="AH28" s="60">
        <f t="shared" si="4"/>
        <v>2.0407789611682894E-2</v>
      </c>
      <c r="AI28" s="58" t="s">
        <v>137</v>
      </c>
      <c r="AK28" s="59">
        <f t="shared" si="5"/>
        <v>24.311527178112808</v>
      </c>
      <c r="AL28" s="60">
        <f t="shared" si="6"/>
        <v>2.07155617709852E-2</v>
      </c>
      <c r="AM28" s="58" t="s">
        <v>137</v>
      </c>
      <c r="AO28" s="59">
        <f t="shared" si="7"/>
        <v>26.590670917807088</v>
      </c>
      <c r="AP28" s="60">
        <f t="shared" si="8"/>
        <v>1.893998630429123E-2</v>
      </c>
      <c r="AQ28" s="58" t="s">
        <v>137</v>
      </c>
      <c r="AS28" s="59">
        <f t="shared" si="9"/>
        <v>87.999141655115537</v>
      </c>
      <c r="AT28" s="60">
        <f t="shared" si="10"/>
        <v>5.7230892657906367E-3</v>
      </c>
      <c r="AU28" s="58" t="s">
        <v>137</v>
      </c>
      <c r="AW28" s="59">
        <f t="shared" si="11"/>
        <v>25.718650704358843</v>
      </c>
      <c r="AX28" s="60">
        <f t="shared" si="12"/>
        <v>1.958216816249329E-2</v>
      </c>
      <c r="AY28" s="58" t="s">
        <v>137</v>
      </c>
    </row>
    <row r="29" spans="1:51" x14ac:dyDescent="0.25">
      <c r="A29" s="15">
        <f>IAI_2020_Alumina_refining!A28</f>
        <v>40544</v>
      </c>
      <c r="B29" s="15">
        <f>IAI_2020_Alumina_refining!B28</f>
        <v>40909</v>
      </c>
      <c r="C29" s="16">
        <f>IAI_2020_Alumina_refining!C28</f>
        <v>15491</v>
      </c>
      <c r="D29" s="16">
        <f>IAI_2020_Alumina_refining!D28</f>
        <v>11262</v>
      </c>
      <c r="E29" s="16">
        <f>IAI_2020_Alumina_refining!E28</f>
        <v>9043</v>
      </c>
      <c r="F29" s="16">
        <f>IAI_2020_Alumina_refining!F28</f>
        <v>14274</v>
      </c>
      <c r="G29" s="16">
        <f>IAI_2020_Alumina_refining!G28</f>
        <v>11411</v>
      </c>
      <c r="H29" s="16">
        <f>IAI_2020_Alumina_refining!H28</f>
        <v>16640</v>
      </c>
      <c r="I29" s="16">
        <f>IAI_2020_Alumina_refining!I28</f>
        <v>13759</v>
      </c>
      <c r="K29" s="5">
        <v>2011</v>
      </c>
      <c r="L29" s="14" t="s">
        <v>35</v>
      </c>
      <c r="M29" s="17">
        <f t="shared" si="13"/>
        <v>15.491</v>
      </c>
      <c r="N29" s="17">
        <f t="shared" si="14"/>
        <v>11.262</v>
      </c>
      <c r="O29" s="17">
        <f t="shared" si="15"/>
        <v>9.0429999999999993</v>
      </c>
      <c r="P29" s="17">
        <f t="shared" si="16"/>
        <v>14.273999999999999</v>
      </c>
      <c r="Q29" s="17">
        <f t="shared" si="17"/>
        <v>11.411</v>
      </c>
      <c r="R29" s="17">
        <f t="shared" si="20"/>
        <v>16.64</v>
      </c>
      <c r="S29" s="17">
        <f t="shared" si="0"/>
        <v>13.759</v>
      </c>
      <c r="U29" s="5">
        <v>1971</v>
      </c>
      <c r="V29" s="13">
        <f>DOE_2007!$C$6</f>
        <v>0.5036269430051814</v>
      </c>
      <c r="W29" s="42" t="s">
        <v>39</v>
      </c>
      <c r="X29" s="10"/>
      <c r="Y29" s="59">
        <f t="shared" si="1"/>
        <v>31.501138213178493</v>
      </c>
      <c r="Z29" s="60">
        <f t="shared" si="2"/>
        <v>1.5987579229581272E-2</v>
      </c>
      <c r="AA29" s="58" t="s">
        <v>137</v>
      </c>
      <c r="AB29" s="12"/>
      <c r="AC29" s="59">
        <f t="shared" si="19"/>
        <v>23.371249041959139</v>
      </c>
      <c r="AD29" s="60">
        <f t="shared" si="18"/>
        <v>2.1548995609990896E-2</v>
      </c>
      <c r="AE29" s="58" t="s">
        <v>136</v>
      </c>
      <c r="AF29" s="12"/>
      <c r="AG29" s="59">
        <f t="shared" si="3"/>
        <v>24.154946303990304</v>
      </c>
      <c r="AH29" s="60">
        <f t="shared" si="4"/>
        <v>2.0849847342528937E-2</v>
      </c>
      <c r="AI29" s="58" t="s">
        <v>137</v>
      </c>
      <c r="AK29" s="59">
        <f t="shared" si="5"/>
        <v>23.796075033010684</v>
      </c>
      <c r="AL29" s="60">
        <f t="shared" si="6"/>
        <v>2.1164286223948017E-2</v>
      </c>
      <c r="AM29" s="58" t="s">
        <v>137</v>
      </c>
      <c r="AO29" s="59">
        <f t="shared" si="7"/>
        <v>26.026896447208312</v>
      </c>
      <c r="AP29" s="60">
        <f t="shared" si="8"/>
        <v>1.9350249616842091E-2</v>
      </c>
      <c r="AQ29" s="58" t="s">
        <v>137</v>
      </c>
      <c r="AS29" s="59">
        <f t="shared" si="9"/>
        <v>86.133386945386277</v>
      </c>
      <c r="AT29" s="60">
        <f t="shared" si="10"/>
        <v>5.847058392403761E-3</v>
      </c>
      <c r="AU29" s="58" t="s">
        <v>137</v>
      </c>
      <c r="AW29" s="59">
        <f t="shared" si="11"/>
        <v>25.173364775689222</v>
      </c>
      <c r="AX29" s="60">
        <f t="shared" si="12"/>
        <v>2.0006341921027224E-2</v>
      </c>
      <c r="AY29" s="58" t="s">
        <v>137</v>
      </c>
    </row>
    <row r="30" spans="1:51" x14ac:dyDescent="0.25">
      <c r="A30" s="15">
        <f>IAI_2020_Alumina_refining!A29</f>
        <v>40909</v>
      </c>
      <c r="B30" s="15">
        <f>IAI_2020_Alumina_refining!B29</f>
        <v>41275</v>
      </c>
      <c r="C30" s="16">
        <f>IAI_2020_Alumina_refining!C29</f>
        <v>15683</v>
      </c>
      <c r="D30" s="16">
        <f>IAI_2020_Alumina_refining!D29</f>
        <v>11617</v>
      </c>
      <c r="E30" s="16">
        <f>IAI_2020_Alumina_refining!E29</f>
        <v>8882</v>
      </c>
      <c r="F30" s="16">
        <f>IAI_2020_Alumina_refining!F29</f>
        <v>13255</v>
      </c>
      <c r="G30" s="16">
        <f>IAI_2020_Alumina_refining!G29</f>
        <v>10128</v>
      </c>
      <c r="H30" s="16">
        <f>IAI_2020_Alumina_refining!H29</f>
        <v>17140</v>
      </c>
      <c r="I30" s="16">
        <f>IAI_2020_Alumina_refining!I29</f>
        <v>13675</v>
      </c>
      <c r="K30" s="5">
        <v>2012</v>
      </c>
      <c r="L30" s="14" t="s">
        <v>35</v>
      </c>
      <c r="M30" s="17">
        <f t="shared" si="13"/>
        <v>15.683</v>
      </c>
      <c r="N30" s="17">
        <f t="shared" si="14"/>
        <v>11.617000000000001</v>
      </c>
      <c r="O30" s="17">
        <f t="shared" si="15"/>
        <v>8.8819999999999997</v>
      </c>
      <c r="P30" s="17">
        <f t="shared" si="16"/>
        <v>13.255000000000001</v>
      </c>
      <c r="Q30" s="17">
        <f t="shared" si="17"/>
        <v>10.128</v>
      </c>
      <c r="R30" s="17">
        <f t="shared" si="20"/>
        <v>17.14</v>
      </c>
      <c r="S30" s="17">
        <f t="shared" si="0"/>
        <v>13.675000000000001</v>
      </c>
      <c r="U30" s="5">
        <v>1972</v>
      </c>
      <c r="V30" s="13">
        <f>DOE_2007!$C$6</f>
        <v>0.5036269430051814</v>
      </c>
      <c r="W30" s="42" t="s">
        <v>39</v>
      </c>
      <c r="X30" s="10"/>
      <c r="Y30" s="59">
        <f t="shared" si="1"/>
        <v>30.818784957752278</v>
      </c>
      <c r="Z30" s="60">
        <f t="shared" si="2"/>
        <v>1.6341557387663887E-2</v>
      </c>
      <c r="AA30" s="58" t="s">
        <v>137</v>
      </c>
      <c r="AB30" s="12"/>
      <c r="AC30" s="59">
        <f t="shared" si="19"/>
        <v>22.864999148408117</v>
      </c>
      <c r="AD30" s="60">
        <f t="shared" si="18"/>
        <v>2.202610810244637E-2</v>
      </c>
      <c r="AE30" s="58" t="s">
        <v>136</v>
      </c>
      <c r="AF30" s="12"/>
      <c r="AG30" s="59">
        <f t="shared" si="3"/>
        <v>23.631720567395242</v>
      </c>
      <c r="AH30" s="60">
        <f t="shared" si="4"/>
        <v>2.131148011711162E-2</v>
      </c>
      <c r="AI30" s="58" t="s">
        <v>137</v>
      </c>
      <c r="AK30" s="59">
        <f t="shared" si="5"/>
        <v>23.28062288790856</v>
      </c>
      <c r="AL30" s="60">
        <f t="shared" si="6"/>
        <v>2.1632880934073034E-2</v>
      </c>
      <c r="AM30" s="58" t="s">
        <v>137</v>
      </c>
      <c r="AO30" s="59">
        <f t="shared" si="7"/>
        <v>25.463121976609536</v>
      </c>
      <c r="AP30" s="60">
        <f t="shared" si="8"/>
        <v>1.9778680063969135E-2</v>
      </c>
      <c r="AQ30" s="58" t="s">
        <v>137</v>
      </c>
      <c r="AS30" s="59">
        <f t="shared" si="9"/>
        <v>84.267632235657004</v>
      </c>
      <c r="AT30" s="60">
        <f t="shared" si="10"/>
        <v>5.9765170759369778E-3</v>
      </c>
      <c r="AU30" s="58" t="s">
        <v>137</v>
      </c>
      <c r="AW30" s="59">
        <f t="shared" si="11"/>
        <v>24.628078847019598</v>
      </c>
      <c r="AX30" s="60">
        <f t="shared" si="12"/>
        <v>2.0449298791575393E-2</v>
      </c>
      <c r="AY30" s="58" t="s">
        <v>137</v>
      </c>
    </row>
    <row r="31" spans="1:51" x14ac:dyDescent="0.25">
      <c r="A31" s="15">
        <f>IAI_2020_Alumina_refining!A30</f>
        <v>41275</v>
      </c>
      <c r="B31" s="15">
        <f>IAI_2020_Alumina_refining!B30</f>
        <v>41640</v>
      </c>
      <c r="C31" s="16">
        <f>IAI_2020_Alumina_refining!C30</f>
        <v>16642</v>
      </c>
      <c r="D31" s="16">
        <f>IAI_2020_Alumina_refining!D30</f>
        <v>11451</v>
      </c>
      <c r="E31" s="16">
        <f>IAI_2020_Alumina_refining!E30</f>
        <v>8847</v>
      </c>
      <c r="F31" s="16">
        <f>IAI_2020_Alumina_refining!F30</f>
        <v>13791</v>
      </c>
      <c r="G31" s="16">
        <f>IAI_2020_Alumina_refining!G30</f>
        <v>10508</v>
      </c>
      <c r="H31" s="16">
        <f>IAI_2020_Alumina_refining!H30</f>
        <v>15523</v>
      </c>
      <c r="I31" s="16">
        <f>IAI_2020_Alumina_refining!I30</f>
        <v>13260</v>
      </c>
      <c r="K31" s="5">
        <v>2013</v>
      </c>
      <c r="L31" s="14" t="s">
        <v>35</v>
      </c>
      <c r="M31" s="17">
        <f t="shared" si="13"/>
        <v>16.641999999999999</v>
      </c>
      <c r="N31" s="17">
        <f t="shared" si="14"/>
        <v>11.451000000000001</v>
      </c>
      <c r="O31" s="17">
        <f t="shared" si="15"/>
        <v>8.8469999999999995</v>
      </c>
      <c r="P31" s="17">
        <f t="shared" si="16"/>
        <v>13.791</v>
      </c>
      <c r="Q31" s="17">
        <f t="shared" si="17"/>
        <v>10.507999999999999</v>
      </c>
      <c r="R31" s="17">
        <f t="shared" si="20"/>
        <v>15.523</v>
      </c>
      <c r="S31" s="17">
        <f t="shared" si="0"/>
        <v>13.26</v>
      </c>
      <c r="U31" s="5">
        <v>1973</v>
      </c>
      <c r="V31" s="13">
        <f>DOE_2007!$C$6</f>
        <v>0.5036269430051814</v>
      </c>
      <c r="W31" s="42" t="s">
        <v>39</v>
      </c>
      <c r="X31" s="10"/>
      <c r="Y31" s="59">
        <f t="shared" si="1"/>
        <v>30.13643170232606</v>
      </c>
      <c r="Z31" s="60">
        <f t="shared" si="2"/>
        <v>1.6711565190589875E-2</v>
      </c>
      <c r="AA31" s="58" t="s">
        <v>137</v>
      </c>
      <c r="AB31" s="12"/>
      <c r="AC31" s="59">
        <f t="shared" si="19"/>
        <v>22.358749254857095</v>
      </c>
      <c r="AD31" s="60">
        <f t="shared" si="18"/>
        <v>2.2524826289009713E-2</v>
      </c>
      <c r="AE31" s="58" t="s">
        <v>136</v>
      </c>
      <c r="AF31" s="12"/>
      <c r="AG31" s="59">
        <f t="shared" si="3"/>
        <v>23.108494830800179</v>
      </c>
      <c r="AH31" s="60">
        <f t="shared" si="4"/>
        <v>2.1794017597975345E-2</v>
      </c>
      <c r="AI31" s="58" t="s">
        <v>137</v>
      </c>
      <c r="AK31" s="59">
        <f t="shared" si="5"/>
        <v>22.765170742806436</v>
      </c>
      <c r="AL31" s="60">
        <f t="shared" si="6"/>
        <v>2.2122695616694305E-2</v>
      </c>
      <c r="AM31" s="58" t="s">
        <v>137</v>
      </c>
      <c r="AO31" s="59">
        <f t="shared" si="7"/>
        <v>24.899347506010759</v>
      </c>
      <c r="AP31" s="60">
        <f t="shared" si="8"/>
        <v>2.0226511673994859E-2</v>
      </c>
      <c r="AQ31" s="58" t="s">
        <v>137</v>
      </c>
      <c r="AS31" s="59">
        <f t="shared" si="9"/>
        <v>82.401877525927745</v>
      </c>
      <c r="AT31" s="60">
        <f t="shared" si="10"/>
        <v>6.1118382023117764E-3</v>
      </c>
      <c r="AU31" s="58" t="s">
        <v>137</v>
      </c>
      <c r="AW31" s="59">
        <f t="shared" si="11"/>
        <v>24.082792918349977</v>
      </c>
      <c r="AX31" s="60">
        <f t="shared" si="12"/>
        <v>2.091231464359937E-2</v>
      </c>
      <c r="AY31" s="58" t="s">
        <v>137</v>
      </c>
    </row>
    <row r="32" spans="1:51" x14ac:dyDescent="0.25">
      <c r="A32" s="15">
        <f>IAI_2020_Alumina_refining!A31</f>
        <v>41640</v>
      </c>
      <c r="B32" s="15">
        <f>IAI_2020_Alumina_refining!B31</f>
        <v>42005</v>
      </c>
      <c r="C32" s="16">
        <f>IAI_2020_Alumina_refining!C31</f>
        <v>15011</v>
      </c>
      <c r="D32" s="16">
        <f>IAI_2020_Alumina_refining!D31</f>
        <v>11953</v>
      </c>
      <c r="E32" s="16">
        <f>IAI_2020_Alumina_refining!E31</f>
        <v>8624</v>
      </c>
      <c r="F32" s="16">
        <f>IAI_2020_Alumina_refining!F31</f>
        <v>13086</v>
      </c>
      <c r="G32" s="16">
        <f>IAI_2020_Alumina_refining!G31</f>
        <v>10673</v>
      </c>
      <c r="H32" s="16">
        <f>IAI_2020_Alumina_refining!H31</f>
        <v>13936</v>
      </c>
      <c r="I32" s="16">
        <f>IAI_2020_Alumina_refining!I31</f>
        <v>12579</v>
      </c>
      <c r="K32" s="5">
        <v>2014</v>
      </c>
      <c r="L32" s="14" t="s">
        <v>35</v>
      </c>
      <c r="M32" s="17">
        <f t="shared" si="13"/>
        <v>15.010999999999999</v>
      </c>
      <c r="N32" s="17">
        <f t="shared" si="14"/>
        <v>11.952999999999999</v>
      </c>
      <c r="O32" s="17">
        <f t="shared" si="15"/>
        <v>8.6240000000000006</v>
      </c>
      <c r="P32" s="17">
        <f t="shared" si="16"/>
        <v>13.086</v>
      </c>
      <c r="Q32" s="17">
        <f t="shared" si="17"/>
        <v>10.673</v>
      </c>
      <c r="R32" s="17">
        <f t="shared" si="20"/>
        <v>13.936</v>
      </c>
      <c r="S32" s="17">
        <f t="shared" si="0"/>
        <v>12.579000000000001</v>
      </c>
      <c r="U32" s="5">
        <v>1974</v>
      </c>
      <c r="V32" s="13">
        <f>DOE_2007!$C$6</f>
        <v>0.5036269430051814</v>
      </c>
      <c r="W32" s="42" t="s">
        <v>39</v>
      </c>
      <c r="X32" s="10"/>
      <c r="Y32" s="59">
        <f t="shared" si="1"/>
        <v>29.454078446899846</v>
      </c>
      <c r="Z32" s="60">
        <f t="shared" si="2"/>
        <v>1.7098716699391083E-2</v>
      </c>
      <c r="AA32" s="58" t="s">
        <v>137</v>
      </c>
      <c r="AB32" s="12"/>
      <c r="AC32" s="59">
        <f t="shared" si="19"/>
        <v>21.852499361306073</v>
      </c>
      <c r="AD32" s="60">
        <f t="shared" si="18"/>
        <v>2.3046651766385446E-2</v>
      </c>
      <c r="AE32" s="58" t="s">
        <v>136</v>
      </c>
      <c r="AF32" s="12"/>
      <c r="AG32" s="59">
        <f t="shared" si="3"/>
        <v>22.585269094205113</v>
      </c>
      <c r="AH32" s="60">
        <f t="shared" si="4"/>
        <v>2.2298912663139405E-2</v>
      </c>
      <c r="AI32" s="58" t="s">
        <v>137</v>
      </c>
      <c r="AK32" s="59">
        <f t="shared" si="5"/>
        <v>22.249718597704316</v>
      </c>
      <c r="AL32" s="60">
        <f t="shared" si="6"/>
        <v>2.2635205060847138E-2</v>
      </c>
      <c r="AM32" s="58" t="s">
        <v>137</v>
      </c>
      <c r="AO32" s="59">
        <f t="shared" si="7"/>
        <v>24.335573035411983</v>
      </c>
      <c r="AP32" s="60">
        <f t="shared" si="8"/>
        <v>2.0695092828606383E-2</v>
      </c>
      <c r="AQ32" s="58" t="s">
        <v>137</v>
      </c>
      <c r="AS32" s="59">
        <f t="shared" si="9"/>
        <v>80.536122816198485</v>
      </c>
      <c r="AT32" s="60">
        <f t="shared" si="10"/>
        <v>6.253429211567226E-3</v>
      </c>
      <c r="AU32" s="58" t="s">
        <v>137</v>
      </c>
      <c r="AW32" s="59">
        <f t="shared" si="11"/>
        <v>23.537506989680352</v>
      </c>
      <c r="AX32" s="60">
        <f t="shared" si="12"/>
        <v>2.139678357720674E-2</v>
      </c>
      <c r="AY32" s="58" t="s">
        <v>137</v>
      </c>
    </row>
    <row r="33" spans="1:51" x14ac:dyDescent="0.25">
      <c r="A33" s="15">
        <f>IAI_2020_Alumina_refining!A32</f>
        <v>42005</v>
      </c>
      <c r="B33" s="15">
        <f>IAI_2020_Alumina_refining!B32</f>
        <v>42370</v>
      </c>
      <c r="C33" s="16">
        <f>IAI_2020_Alumina_refining!C32</f>
        <v>14786</v>
      </c>
      <c r="D33" s="16">
        <f>IAI_2020_Alumina_refining!D32</f>
        <v>12158</v>
      </c>
      <c r="E33" s="16">
        <f>IAI_2020_Alumina_refining!E32</f>
        <v>8974</v>
      </c>
      <c r="F33" s="16">
        <f>IAI_2020_Alumina_refining!F32</f>
        <v>12979</v>
      </c>
      <c r="G33" s="16">
        <f>IAI_2020_Alumina_refining!G32</f>
        <v>10450</v>
      </c>
      <c r="H33" s="16">
        <f>IAI_2020_Alumina_refining!H32</f>
        <v>12524</v>
      </c>
      <c r="I33" s="16">
        <f>IAI_2020_Alumina_refining!I32</f>
        <v>11933</v>
      </c>
      <c r="K33" s="5">
        <v>2015</v>
      </c>
      <c r="L33" s="14" t="s">
        <v>35</v>
      </c>
      <c r="M33" s="17">
        <f t="shared" si="13"/>
        <v>14.786</v>
      </c>
      <c r="N33" s="17">
        <f t="shared" si="14"/>
        <v>12.157999999999999</v>
      </c>
      <c r="O33" s="17">
        <f t="shared" si="15"/>
        <v>8.9740000000000002</v>
      </c>
      <c r="P33" s="17">
        <f t="shared" si="16"/>
        <v>12.978999999999999</v>
      </c>
      <c r="Q33" s="17">
        <f t="shared" si="17"/>
        <v>10.45</v>
      </c>
      <c r="R33" s="17">
        <f t="shared" si="20"/>
        <v>12.523999999999999</v>
      </c>
      <c r="S33" s="17">
        <f t="shared" si="0"/>
        <v>11.933</v>
      </c>
      <c r="U33" s="5">
        <v>1975</v>
      </c>
      <c r="V33" s="13">
        <f>DOE_2007!$C$6</f>
        <v>0.5036269430051814</v>
      </c>
      <c r="W33" s="42" t="s">
        <v>39</v>
      </c>
      <c r="X33" s="10"/>
      <c r="Y33" s="59">
        <f t="shared" si="1"/>
        <v>28.771725191473632</v>
      </c>
      <c r="Z33" s="60">
        <f t="shared" si="2"/>
        <v>1.7504231659852949E-2</v>
      </c>
      <c r="AA33" s="58" t="s">
        <v>137</v>
      </c>
      <c r="AB33" s="12"/>
      <c r="AC33" s="59">
        <f t="shared" si="19"/>
        <v>21.346249467755051</v>
      </c>
      <c r="AD33" s="60">
        <f t="shared" si="18"/>
        <v>2.3593228579378494E-2</v>
      </c>
      <c r="AE33" s="58" t="s">
        <v>136</v>
      </c>
      <c r="AF33" s="12"/>
      <c r="AG33" s="59">
        <f t="shared" si="3"/>
        <v>22.062043357610051</v>
      </c>
      <c r="AH33" s="60">
        <f t="shared" si="4"/>
        <v>2.2827756017053651E-2</v>
      </c>
      <c r="AI33" s="58" t="s">
        <v>137</v>
      </c>
      <c r="AK33" s="59">
        <f t="shared" si="5"/>
        <v>21.734266452602192</v>
      </c>
      <c r="AL33" s="60">
        <f t="shared" si="6"/>
        <v>2.3172023960573253E-2</v>
      </c>
      <c r="AM33" s="58" t="s">
        <v>137</v>
      </c>
      <c r="AO33" s="59">
        <f t="shared" si="7"/>
        <v>23.771798564813206</v>
      </c>
      <c r="AP33" s="60">
        <f t="shared" si="8"/>
        <v>2.1185899822937473E-2</v>
      </c>
      <c r="AQ33" s="58" t="s">
        <v>137</v>
      </c>
      <c r="AS33" s="59">
        <f t="shared" si="9"/>
        <v>78.670368106469226</v>
      </c>
      <c r="AT33" s="60">
        <f t="shared" si="10"/>
        <v>6.4017361953053725E-3</v>
      </c>
      <c r="AU33" s="58" t="s">
        <v>137</v>
      </c>
      <c r="AW33" s="59">
        <f t="shared" si="11"/>
        <v>22.992221061010731</v>
      </c>
      <c r="AX33" s="60">
        <f t="shared" si="12"/>
        <v>2.1904231943003165E-2</v>
      </c>
      <c r="AY33" s="58" t="s">
        <v>137</v>
      </c>
    </row>
    <row r="34" spans="1:51" x14ac:dyDescent="0.25">
      <c r="A34" s="15">
        <f>IAI_2020_Alumina_refining!A33</f>
        <v>42370</v>
      </c>
      <c r="B34" s="15">
        <f>IAI_2020_Alumina_refining!B33</f>
        <v>42736</v>
      </c>
      <c r="C34" s="16">
        <f>IAI_2020_Alumina_refining!C33</f>
        <v>15037</v>
      </c>
      <c r="D34" s="16">
        <f>IAI_2020_Alumina_refining!D33</f>
        <v>11591</v>
      </c>
      <c r="E34" s="16">
        <f>IAI_2020_Alumina_refining!E33</f>
        <v>8640</v>
      </c>
      <c r="F34" s="16">
        <f>IAI_2020_Alumina_refining!F33</f>
        <v>12908</v>
      </c>
      <c r="G34" s="16">
        <f>IAI_2020_Alumina_refining!G33</f>
        <v>10746</v>
      </c>
      <c r="H34" s="16">
        <f>IAI_2020_Alumina_refining!H33</f>
        <v>11954</v>
      </c>
      <c r="I34" s="16">
        <f>IAI_2020_Alumina_refining!I33</f>
        <v>11388</v>
      </c>
      <c r="K34" s="5">
        <v>2016</v>
      </c>
      <c r="L34" s="14" t="s">
        <v>35</v>
      </c>
      <c r="M34" s="17">
        <f t="shared" si="13"/>
        <v>15.037000000000001</v>
      </c>
      <c r="N34" s="17">
        <f t="shared" si="14"/>
        <v>11.590999999999999</v>
      </c>
      <c r="O34" s="17">
        <f t="shared" si="15"/>
        <v>8.64</v>
      </c>
      <c r="P34" s="17">
        <f t="shared" si="16"/>
        <v>12.907999999999999</v>
      </c>
      <c r="Q34" s="17">
        <f t="shared" si="17"/>
        <v>10.746</v>
      </c>
      <c r="R34" s="17">
        <f t="shared" si="20"/>
        <v>11.954000000000001</v>
      </c>
      <c r="S34" s="17">
        <f t="shared" si="0"/>
        <v>11.388</v>
      </c>
      <c r="U34" s="5">
        <v>1976</v>
      </c>
      <c r="V34" s="13">
        <f>DOE_2007!$C$6</f>
        <v>0.5036269430051814</v>
      </c>
      <c r="W34" s="42" t="s">
        <v>39</v>
      </c>
      <c r="X34" s="10"/>
      <c r="Y34" s="59">
        <f t="shared" si="1"/>
        <v>28.089371936047414</v>
      </c>
      <c r="Z34" s="60">
        <f t="shared" si="2"/>
        <v>1.7929448339101921E-2</v>
      </c>
      <c r="AA34" s="58" t="s">
        <v>137</v>
      </c>
      <c r="AB34" s="12"/>
      <c r="AC34" s="59">
        <f t="shared" si="19"/>
        <v>20.839999574204029</v>
      </c>
      <c r="AD34" s="60">
        <f t="shared" si="18"/>
        <v>2.4166360522798483E-2</v>
      </c>
      <c r="AE34" s="58" t="s">
        <v>136</v>
      </c>
      <c r="AF34" s="12"/>
      <c r="AG34" s="59">
        <f t="shared" si="3"/>
        <v>21.538817621014985</v>
      </c>
      <c r="AH34" s="60">
        <f t="shared" si="4"/>
        <v>2.3382292931149705E-2</v>
      </c>
      <c r="AI34" s="58" t="s">
        <v>137</v>
      </c>
      <c r="AK34" s="59">
        <f t="shared" si="5"/>
        <v>21.218814307500068</v>
      </c>
      <c r="AL34" s="60">
        <f t="shared" si="6"/>
        <v>2.3734923907938053E-2</v>
      </c>
      <c r="AM34" s="58" t="s">
        <v>137</v>
      </c>
      <c r="AO34" s="59">
        <f t="shared" si="7"/>
        <v>23.20802409421443</v>
      </c>
      <c r="AP34" s="60">
        <f t="shared" si="8"/>
        <v>2.1700552402077671E-2</v>
      </c>
      <c r="AQ34" s="58" t="s">
        <v>137</v>
      </c>
      <c r="AS34" s="59">
        <f t="shared" si="9"/>
        <v>76.804613396739953</v>
      </c>
      <c r="AT34" s="60">
        <f t="shared" si="10"/>
        <v>6.5572485913529561E-3</v>
      </c>
      <c r="AU34" s="58" t="s">
        <v>137</v>
      </c>
      <c r="AW34" s="59">
        <f t="shared" si="11"/>
        <v>22.44693513234111</v>
      </c>
      <c r="AX34" s="60">
        <f t="shared" si="12"/>
        <v>2.243633440538461E-2</v>
      </c>
      <c r="AY34" s="58" t="s">
        <v>137</v>
      </c>
    </row>
    <row r="35" spans="1:51" x14ac:dyDescent="0.25">
      <c r="A35" s="15">
        <f>IAI_2020_Alumina_refining!A34</f>
        <v>42736</v>
      </c>
      <c r="B35" s="15">
        <f>IAI_2020_Alumina_refining!B34</f>
        <v>43101</v>
      </c>
      <c r="C35" s="16">
        <f>IAI_2020_Alumina_refining!C34</f>
        <v>13099</v>
      </c>
      <c r="D35" s="16">
        <f>IAI_2020_Alumina_refining!D34</f>
        <v>9879</v>
      </c>
      <c r="E35" s="16">
        <f>IAI_2020_Alumina_refining!E34</f>
        <v>8591</v>
      </c>
      <c r="F35" s="16">
        <f>IAI_2020_Alumina_refining!F34</f>
        <v>12807</v>
      </c>
      <c r="G35" s="16">
        <f>IAI_2020_Alumina_refining!G34</f>
        <v>10600</v>
      </c>
      <c r="H35" s="16">
        <f>IAI_2020_Alumina_refining!H34</f>
        <v>12054</v>
      </c>
      <c r="I35" s="16">
        <f>IAI_2020_Alumina_refining!I34</f>
        <v>11564</v>
      </c>
      <c r="K35" s="5">
        <v>2017</v>
      </c>
      <c r="L35" s="14" t="s">
        <v>35</v>
      </c>
      <c r="M35" s="17">
        <f t="shared" si="13"/>
        <v>13.099</v>
      </c>
      <c r="N35" s="17">
        <f t="shared" si="14"/>
        <v>9.8789999999999996</v>
      </c>
      <c r="O35" s="17">
        <f t="shared" si="15"/>
        <v>8.5909999999999993</v>
      </c>
      <c r="P35" s="17">
        <f t="shared" si="16"/>
        <v>12.807</v>
      </c>
      <c r="Q35" s="17">
        <f t="shared" si="17"/>
        <v>10.6</v>
      </c>
      <c r="R35" s="17">
        <f t="shared" si="20"/>
        <v>12.054</v>
      </c>
      <c r="S35" s="17">
        <f t="shared" si="0"/>
        <v>11.564</v>
      </c>
      <c r="U35" s="5">
        <v>1977</v>
      </c>
      <c r="V35" s="13">
        <f>DOE_2007!$C$6</f>
        <v>0.5036269430051814</v>
      </c>
      <c r="W35" s="42" t="s">
        <v>39</v>
      </c>
      <c r="X35" s="10"/>
      <c r="Y35" s="59">
        <f t="shared" si="1"/>
        <v>27.407018680621199</v>
      </c>
      <c r="Z35" s="60">
        <f t="shared" si="2"/>
        <v>1.8375838279749965E-2</v>
      </c>
      <c r="AA35" s="58" t="s">
        <v>137</v>
      </c>
      <c r="AB35" s="12"/>
      <c r="AC35" s="59">
        <f t="shared" si="19"/>
        <v>20.333749680653007</v>
      </c>
      <c r="AD35" s="60">
        <f t="shared" si="18"/>
        <v>2.4768031027959804E-2</v>
      </c>
      <c r="AE35" s="58" t="s">
        <v>136</v>
      </c>
      <c r="AF35" s="12"/>
      <c r="AG35" s="59">
        <f t="shared" si="3"/>
        <v>21.015591884419923</v>
      </c>
      <c r="AH35" s="60">
        <f t="shared" si="4"/>
        <v>2.3964442485131684E-2</v>
      </c>
      <c r="AI35" s="58" t="s">
        <v>137</v>
      </c>
      <c r="AK35" s="59">
        <f t="shared" si="5"/>
        <v>20.703362162397944</v>
      </c>
      <c r="AL35" s="60">
        <f t="shared" si="6"/>
        <v>2.4325852924501484E-2</v>
      </c>
      <c r="AM35" s="58" t="s">
        <v>137</v>
      </c>
      <c r="AO35" s="59">
        <f t="shared" si="7"/>
        <v>22.644249623615654</v>
      </c>
      <c r="AP35" s="60">
        <f t="shared" si="8"/>
        <v>2.2240831618458648E-2</v>
      </c>
      <c r="AQ35" s="58" t="s">
        <v>137</v>
      </c>
      <c r="AS35" s="59">
        <f t="shared" si="9"/>
        <v>74.938858687010693</v>
      </c>
      <c r="AT35" s="60">
        <f t="shared" si="10"/>
        <v>6.720504579721817E-3</v>
      </c>
      <c r="AU35" s="58" t="s">
        <v>137</v>
      </c>
      <c r="AW35" s="59">
        <f t="shared" si="11"/>
        <v>21.901649203671486</v>
      </c>
      <c r="AX35" s="60">
        <f t="shared" si="12"/>
        <v>2.2994932405398759E-2</v>
      </c>
      <c r="AY35" s="58" t="s">
        <v>137</v>
      </c>
    </row>
    <row r="36" spans="1:51" x14ac:dyDescent="0.25">
      <c r="A36" s="15">
        <f>IAI_2020_Alumina_refining!A35</f>
        <v>43101</v>
      </c>
      <c r="B36" s="15">
        <f>IAI_2020_Alumina_refining!B35</f>
        <v>43466</v>
      </c>
      <c r="C36" s="16">
        <f>IAI_2020_Alumina_refining!C35</f>
        <v>12324</v>
      </c>
      <c r="D36" s="16">
        <f>IAI_2020_Alumina_refining!D35</f>
        <v>9888</v>
      </c>
      <c r="E36" s="16">
        <f>IAI_2020_Alumina_refining!E35</f>
        <v>9330</v>
      </c>
      <c r="F36" s="16">
        <f>IAI_2020_Alumina_refining!F35</f>
        <v>13076</v>
      </c>
      <c r="G36" s="16">
        <f>IAI_2020_Alumina_refining!G35</f>
        <v>10713</v>
      </c>
      <c r="H36" s="16">
        <f>IAI_2020_Alumina_refining!H35</f>
        <v>11525</v>
      </c>
      <c r="I36" s="16">
        <f>IAI_2020_Alumina_refining!I35</f>
        <v>11359</v>
      </c>
      <c r="K36" s="5">
        <v>2018</v>
      </c>
      <c r="L36" s="14" t="s">
        <v>35</v>
      </c>
      <c r="M36" s="17">
        <f t="shared" si="13"/>
        <v>12.324</v>
      </c>
      <c r="N36" s="17">
        <f t="shared" si="14"/>
        <v>9.8879999999999999</v>
      </c>
      <c r="O36" s="17">
        <f t="shared" si="15"/>
        <v>9.33</v>
      </c>
      <c r="P36" s="17">
        <f t="shared" si="16"/>
        <v>13.076000000000001</v>
      </c>
      <c r="Q36" s="17">
        <f t="shared" si="17"/>
        <v>10.712999999999999</v>
      </c>
      <c r="R36" s="17">
        <f t="shared" si="20"/>
        <v>11.525</v>
      </c>
      <c r="S36" s="17">
        <f t="shared" si="0"/>
        <v>11.359</v>
      </c>
      <c r="U36" s="5">
        <v>1978</v>
      </c>
      <c r="V36" s="13">
        <f>DOE_2007!$C$6</f>
        <v>0.5036269430051814</v>
      </c>
      <c r="W36" s="42" t="s">
        <v>39</v>
      </c>
      <c r="X36" s="10"/>
      <c r="Y36" s="59">
        <f t="shared" si="1"/>
        <v>26.724665425194981</v>
      </c>
      <c r="Z36" s="60">
        <f t="shared" si="2"/>
        <v>1.8845023314319264E-2</v>
      </c>
      <c r="AA36" s="58" t="s">
        <v>137</v>
      </c>
      <c r="AB36" s="12"/>
      <c r="AC36" s="59">
        <f t="shared" si="19"/>
        <v>19.827499787101985</v>
      </c>
      <c r="AD36" s="60">
        <f t="shared" si="18"/>
        <v>2.5400426095719669E-2</v>
      </c>
      <c r="AE36" s="58" t="s">
        <v>136</v>
      </c>
      <c r="AF36" s="12"/>
      <c r="AG36" s="59">
        <f t="shared" si="3"/>
        <v>20.49236614782486</v>
      </c>
      <c r="AH36" s="60">
        <f t="shared" si="4"/>
        <v>2.4576319755961334E-2</v>
      </c>
      <c r="AI36" s="58" t="s">
        <v>137</v>
      </c>
      <c r="AK36" s="59">
        <f t="shared" si="5"/>
        <v>20.18791001729582</v>
      </c>
      <c r="AL36" s="60">
        <f t="shared" si="6"/>
        <v>2.4946957984937682E-2</v>
      </c>
      <c r="AM36" s="58" t="s">
        <v>137</v>
      </c>
      <c r="AO36" s="59">
        <f t="shared" si="7"/>
        <v>22.080475153016877</v>
      </c>
      <c r="AP36" s="60">
        <f t="shared" si="8"/>
        <v>2.280870042492588E-2</v>
      </c>
      <c r="AQ36" s="58" t="s">
        <v>137</v>
      </c>
      <c r="AS36" s="59">
        <f t="shared" si="9"/>
        <v>73.073103977281434</v>
      </c>
      <c r="AT36" s="60">
        <f t="shared" si="10"/>
        <v>6.8920973052104088E-3</v>
      </c>
      <c r="AU36" s="58" t="s">
        <v>137</v>
      </c>
      <c r="AW36" s="59">
        <f t="shared" si="11"/>
        <v>21.356363275001865</v>
      </c>
      <c r="AX36" s="60">
        <f t="shared" si="12"/>
        <v>2.3582055452048282E-2</v>
      </c>
      <c r="AY36" s="58" t="s">
        <v>137</v>
      </c>
    </row>
    <row r="37" spans="1:51" x14ac:dyDescent="0.25">
      <c r="A37" s="15">
        <f>IAI_2020_Alumina_refining!A36</f>
        <v>43466</v>
      </c>
      <c r="B37" s="15">
        <f>IAI_2020_Alumina_refining!B36</f>
        <v>43831</v>
      </c>
      <c r="C37" s="16">
        <f>IAI_2020_Alumina_refining!C36</f>
        <v>12852</v>
      </c>
      <c r="D37" s="16">
        <f>IAI_2020_Alumina_refining!D36</f>
        <v>8938</v>
      </c>
      <c r="E37" s="16">
        <f>IAI_2020_Alumina_refining!E36</f>
        <v>8951</v>
      </c>
      <c r="F37" s="16">
        <f>IAI_2020_Alumina_refining!F36</f>
        <v>13456</v>
      </c>
      <c r="G37" s="16">
        <f>IAI_2020_Alumina_refining!G36</f>
        <v>10417</v>
      </c>
      <c r="H37" s="16">
        <f>IAI_2020_Alumina_refining!H36</f>
        <v>10378</v>
      </c>
      <c r="I37" s="16">
        <f>IAI_2020_Alumina_refining!I36</f>
        <v>10736</v>
      </c>
      <c r="K37" s="5">
        <v>2019</v>
      </c>
      <c r="L37" s="14" t="s">
        <v>35</v>
      </c>
      <c r="M37" s="17">
        <f t="shared" si="13"/>
        <v>12.852</v>
      </c>
      <c r="N37" s="17">
        <f t="shared" si="14"/>
        <v>8.9380000000000006</v>
      </c>
      <c r="O37" s="17">
        <f t="shared" si="15"/>
        <v>8.9510000000000005</v>
      </c>
      <c r="P37" s="17">
        <f t="shared" si="16"/>
        <v>13.456</v>
      </c>
      <c r="Q37" s="17">
        <f t="shared" si="17"/>
        <v>10.417</v>
      </c>
      <c r="R37" s="17">
        <f t="shared" si="20"/>
        <v>10.378</v>
      </c>
      <c r="S37" s="17">
        <f t="shared" si="0"/>
        <v>10.736000000000001</v>
      </c>
      <c r="U37" s="5">
        <v>1979</v>
      </c>
      <c r="V37" s="13">
        <f>DOE_2007!$C$6</f>
        <v>0.5036269430051814</v>
      </c>
      <c r="W37" s="42" t="s">
        <v>39</v>
      </c>
      <c r="X37" s="10"/>
      <c r="Y37" s="59">
        <f t="shared" si="1"/>
        <v>26.042312169768767</v>
      </c>
      <c r="Z37" s="60">
        <f t="shared" si="2"/>
        <v>1.9338795254509582E-2</v>
      </c>
      <c r="AA37" s="58" t="s">
        <v>137</v>
      </c>
      <c r="AB37" s="12"/>
      <c r="AC37" s="59">
        <f t="shared" si="19"/>
        <v>19.321249893550963</v>
      </c>
      <c r="AD37" s="60">
        <f t="shared" si="18"/>
        <v>2.6065960834825791E-2</v>
      </c>
      <c r="AE37" s="58" t="s">
        <v>136</v>
      </c>
      <c r="AF37" s="12"/>
      <c r="AG37" s="59">
        <f t="shared" si="3"/>
        <v>19.969140411229795</v>
      </c>
      <c r="AH37" s="60">
        <f t="shared" si="4"/>
        <v>2.5220261495179985E-2</v>
      </c>
      <c r="AI37" s="58" t="s">
        <v>137</v>
      </c>
      <c r="AK37" s="59">
        <f t="shared" si="5"/>
        <v>19.672457872193696</v>
      </c>
      <c r="AL37" s="60">
        <f t="shared" si="6"/>
        <v>2.5600611081599507E-2</v>
      </c>
      <c r="AM37" s="58" t="s">
        <v>137</v>
      </c>
      <c r="AO37" s="59">
        <f t="shared" si="7"/>
        <v>21.516700682418101</v>
      </c>
      <c r="AP37" s="60">
        <f t="shared" si="8"/>
        <v>2.3406327505253122E-2</v>
      </c>
      <c r="AQ37" s="58" t="s">
        <v>137</v>
      </c>
      <c r="AS37" s="59">
        <f t="shared" si="9"/>
        <v>71.207349267552161</v>
      </c>
      <c r="AT37" s="60">
        <f t="shared" si="10"/>
        <v>7.0726820782623162E-3</v>
      </c>
      <c r="AU37" s="58" t="s">
        <v>137</v>
      </c>
      <c r="AW37" s="59">
        <f t="shared" si="11"/>
        <v>20.81107734633224</v>
      </c>
      <c r="AX37" s="60">
        <f t="shared" si="12"/>
        <v>2.419994576080613E-2</v>
      </c>
      <c r="AY37" s="58" t="s">
        <v>137</v>
      </c>
    </row>
    <row r="38" spans="1:51" x14ac:dyDescent="0.25">
      <c r="A38" s="15">
        <f>IAI_2020_Alumina_refining!A37</f>
        <v>43831</v>
      </c>
      <c r="B38" s="15">
        <f>IAI_2020_Alumina_refining!B37</f>
        <v>44197</v>
      </c>
      <c r="C38" s="16">
        <f>IAI_2020_Alumina_refining!C37</f>
        <v>12156</v>
      </c>
      <c r="D38" s="16">
        <f>IAI_2020_Alumina_refining!D37</f>
        <v>10363</v>
      </c>
      <c r="E38" s="16">
        <f>IAI_2020_Alumina_refining!E37</f>
        <v>8277</v>
      </c>
      <c r="F38" s="16">
        <f>IAI_2020_Alumina_refining!F37</f>
        <v>13707</v>
      </c>
      <c r="G38" s="16">
        <f>IAI_2020_Alumina_refining!G37</f>
        <v>10455</v>
      </c>
      <c r="H38" s="16">
        <f>IAI_2020_Alumina_refining!H37</f>
        <v>10878</v>
      </c>
      <c r="I38" s="16">
        <f>IAI_2020_Alumina_refining!I37</f>
        <v>10915</v>
      </c>
      <c r="K38" s="5">
        <v>2020</v>
      </c>
      <c r="L38" s="14" t="s">
        <v>35</v>
      </c>
      <c r="M38" s="17">
        <f t="shared" ref="M38:M39" si="21">C38/1000</f>
        <v>12.156000000000001</v>
      </c>
      <c r="N38" s="17">
        <f t="shared" ref="N38:N39" si="22">D38/1000</f>
        <v>10.363</v>
      </c>
      <c r="O38" s="17">
        <f t="shared" ref="O38:O39" si="23">E38/1000</f>
        <v>8.2769999999999992</v>
      </c>
      <c r="P38" s="17">
        <f t="shared" ref="P38:P39" si="24">F38/1000</f>
        <v>13.707000000000001</v>
      </c>
      <c r="Q38" s="17">
        <f t="shared" ref="Q38:Q39" si="25">G38/1000</f>
        <v>10.455</v>
      </c>
      <c r="R38" s="17">
        <f t="shared" ref="R38:R39" si="26">H38/1000</f>
        <v>10.878</v>
      </c>
      <c r="S38" s="17">
        <f t="shared" ref="S38:S39" si="27">I38/1000</f>
        <v>10.914999999999999</v>
      </c>
      <c r="U38" s="5">
        <v>1980</v>
      </c>
      <c r="V38" s="13">
        <f>DOE_2007!$C$6</f>
        <v>0.5036269430051814</v>
      </c>
      <c r="W38" s="42" t="s">
        <v>39</v>
      </c>
      <c r="X38" s="10"/>
      <c r="Y38" s="59">
        <f t="shared" si="1"/>
        <v>25.359958914342634</v>
      </c>
      <c r="Z38" s="60">
        <f t="shared" si="2"/>
        <v>1.9859138759106942E-2</v>
      </c>
      <c r="AA38" s="58" t="s">
        <v>137</v>
      </c>
      <c r="AB38" s="12"/>
      <c r="AC38" s="40">
        <f>OTA_1993!E6</f>
        <v>18.815000000000001</v>
      </c>
      <c r="AD38" s="12">
        <f t="shared" ref="AD38:AD39" si="28">V38/AC38</f>
        <v>2.676731028462298E-2</v>
      </c>
      <c r="AE38" s="57" t="s">
        <v>132</v>
      </c>
      <c r="AF38" s="12"/>
      <c r="AG38" s="59">
        <f t="shared" si="3"/>
        <v>19.445914674634796</v>
      </c>
      <c r="AH38" s="60">
        <f t="shared" si="4"/>
        <v>2.5898855951585097E-2</v>
      </c>
      <c r="AI38" s="58" t="s">
        <v>137</v>
      </c>
      <c r="AK38" s="59">
        <f t="shared" si="5"/>
        <v>19.157005727091633</v>
      </c>
      <c r="AL38" s="60">
        <f t="shared" si="6"/>
        <v>2.6289439496954243E-2</v>
      </c>
      <c r="AM38" s="58" t="s">
        <v>137</v>
      </c>
      <c r="AO38" s="59">
        <f t="shared" si="7"/>
        <v>20.952926211819388</v>
      </c>
      <c r="AP38" s="60">
        <f t="shared" si="8"/>
        <v>2.4036114951862392E-2</v>
      </c>
      <c r="AQ38" s="58" t="s">
        <v>137</v>
      </c>
      <c r="AS38" s="59">
        <f t="shared" si="9"/>
        <v>69.341594557823129</v>
      </c>
      <c r="AT38" s="60">
        <f t="shared" si="10"/>
        <v>7.2629847383335394E-3</v>
      </c>
      <c r="AU38" s="58" t="s">
        <v>137</v>
      </c>
      <c r="AW38" s="59">
        <f t="shared" si="11"/>
        <v>20.265791417662683</v>
      </c>
      <c r="AX38" s="60">
        <f t="shared" si="12"/>
        <v>2.4851086869780201E-2</v>
      </c>
      <c r="AY38" s="58" t="s">
        <v>137</v>
      </c>
    </row>
    <row r="39" spans="1:51" x14ac:dyDescent="0.25">
      <c r="A39" s="15">
        <f>IAI_2020_Alumina_refining!A38</f>
        <v>44197</v>
      </c>
      <c r="B39" s="15">
        <f>IAI_2020_Alumina_refining!B38</f>
        <v>44562</v>
      </c>
      <c r="C39" s="16">
        <f>IAI_2020_Alumina_refining!C38</f>
        <v>12659</v>
      </c>
      <c r="D39" s="16">
        <f>IAI_2020_Alumina_refining!D38</f>
        <v>9366</v>
      </c>
      <c r="E39" s="16">
        <f>IAI_2020_Alumina_refining!E38</f>
        <v>8108</v>
      </c>
      <c r="F39" s="16">
        <f>IAI_2020_Alumina_refining!F38</f>
        <v>13132</v>
      </c>
      <c r="G39" s="16">
        <f>IAI_2020_Alumina_refining!G38</f>
        <v>11040</v>
      </c>
      <c r="H39" s="16">
        <f>IAI_2020_Alumina_refining!H38</f>
        <v>10055</v>
      </c>
      <c r="I39" s="16">
        <f>IAI_2020_Alumina_refining!I38</f>
        <v>10545</v>
      </c>
      <c r="K39" s="5">
        <v>2021</v>
      </c>
      <c r="L39" s="14" t="s">
        <v>35</v>
      </c>
      <c r="M39" s="17">
        <f t="shared" si="21"/>
        <v>12.659000000000001</v>
      </c>
      <c r="N39" s="17">
        <f t="shared" si="22"/>
        <v>9.3659999999999997</v>
      </c>
      <c r="O39" s="17">
        <f t="shared" si="23"/>
        <v>8.1080000000000005</v>
      </c>
      <c r="P39" s="17">
        <f t="shared" si="24"/>
        <v>13.132</v>
      </c>
      <c r="Q39" s="17">
        <f t="shared" si="25"/>
        <v>11.04</v>
      </c>
      <c r="R39" s="17">
        <f t="shared" si="26"/>
        <v>10.055</v>
      </c>
      <c r="S39" s="17">
        <f t="shared" si="27"/>
        <v>10.545</v>
      </c>
      <c r="U39" s="5">
        <v>1981</v>
      </c>
      <c r="V39" s="13">
        <f>DOE_2007!$C$6</f>
        <v>0.5036269430051814</v>
      </c>
      <c r="W39" s="42" t="s">
        <v>39</v>
      </c>
      <c r="X39" s="10"/>
      <c r="Y39" s="59">
        <f t="shared" si="1"/>
        <v>23.535767131474106</v>
      </c>
      <c r="Z39" s="60">
        <f t="shared" si="2"/>
        <v>2.1398365313178468E-2</v>
      </c>
      <c r="AA39" s="58" t="s">
        <v>137</v>
      </c>
      <c r="AB39" s="12"/>
      <c r="AC39" s="59">
        <f>AC38+((AC$43-AC$38)/(U$43-U$38))</f>
        <v>17.461600000000001</v>
      </c>
      <c r="AD39" s="60">
        <f t="shared" si="28"/>
        <v>2.8841969980138212E-2</v>
      </c>
      <c r="AE39" s="58" t="s">
        <v>136</v>
      </c>
      <c r="AF39" s="12"/>
      <c r="AG39" s="59">
        <f t="shared" si="3"/>
        <v>18.047131739707837</v>
      </c>
      <c r="AH39" s="60">
        <f t="shared" si="4"/>
        <v>2.7906204169667936E-2</v>
      </c>
      <c r="AI39" s="58" t="s">
        <v>137</v>
      </c>
      <c r="AK39" s="59">
        <f t="shared" si="5"/>
        <v>17.779004581673306</v>
      </c>
      <c r="AL39" s="60">
        <f t="shared" si="6"/>
        <v>2.8327060758189061E-2</v>
      </c>
      <c r="AM39" s="58" t="s">
        <v>137</v>
      </c>
      <c r="AO39" s="59">
        <f t="shared" si="7"/>
        <v>19.44574096945551</v>
      </c>
      <c r="AP39" s="60">
        <f t="shared" si="8"/>
        <v>2.5899087301237623E-2</v>
      </c>
      <c r="AQ39" s="58" t="s">
        <v>137</v>
      </c>
      <c r="AS39" s="59">
        <f t="shared" si="9"/>
        <v>64.353717115646248</v>
      </c>
      <c r="AT39" s="60">
        <f t="shared" si="10"/>
        <v>7.8259184640437057E-3</v>
      </c>
      <c r="AU39" s="58" t="s">
        <v>137</v>
      </c>
      <c r="AW39" s="59">
        <f t="shared" si="11"/>
        <v>18.808033134130145</v>
      </c>
      <c r="AX39" s="60">
        <f t="shared" si="12"/>
        <v>2.6777225423495817E-2</v>
      </c>
      <c r="AY39" s="58" t="s">
        <v>137</v>
      </c>
    </row>
    <row r="40" spans="1:51" x14ac:dyDescent="0.25">
      <c r="A40" s="15"/>
      <c r="B40" s="15"/>
      <c r="C40" s="16"/>
      <c r="D40" s="16"/>
      <c r="E40" s="16"/>
      <c r="F40" s="16"/>
      <c r="G40" s="16"/>
      <c r="H40" s="16"/>
      <c r="I40" s="16"/>
      <c r="U40" s="5">
        <v>1982</v>
      </c>
      <c r="V40" s="13">
        <f>DOE_2007!$C$6</f>
        <v>0.5036269430051814</v>
      </c>
      <c r="W40" s="42" t="s">
        <v>39</v>
      </c>
      <c r="X40" s="10"/>
      <c r="Y40" s="59">
        <f t="shared" si="1"/>
        <v>21.711575348605578</v>
      </c>
      <c r="Z40" s="60">
        <f t="shared" si="2"/>
        <v>2.3196241402055919E-2</v>
      </c>
      <c r="AA40" s="58" t="s">
        <v>137</v>
      </c>
      <c r="AB40" s="12"/>
      <c r="AC40" s="59">
        <f t="shared" ref="AC40:AC42" si="29">AC39+((AC$43-AC$38)/(U$43-U$38))</f>
        <v>16.1082</v>
      </c>
      <c r="AD40" s="60">
        <f t="shared" ref="AD40:AD42" si="30">V40/AC40</f>
        <v>3.1265252666665515E-2</v>
      </c>
      <c r="AE40" s="58" t="s">
        <v>136</v>
      </c>
      <c r="AF40" s="12"/>
      <c r="AG40" s="59">
        <f t="shared" si="3"/>
        <v>16.648348804780877</v>
      </c>
      <c r="AH40" s="60">
        <f t="shared" si="4"/>
        <v>3.0250864449725835E-2</v>
      </c>
      <c r="AI40" s="58" t="s">
        <v>137</v>
      </c>
      <c r="AK40" s="59">
        <f t="shared" si="5"/>
        <v>16.401003436254978</v>
      </c>
      <c r="AL40" s="60">
        <f t="shared" si="6"/>
        <v>3.0707081122359675E-2</v>
      </c>
      <c r="AM40" s="58" t="s">
        <v>137</v>
      </c>
      <c r="AO40" s="59">
        <f t="shared" si="7"/>
        <v>17.938555727091632</v>
      </c>
      <c r="AP40" s="60">
        <f t="shared" si="8"/>
        <v>2.8075110988148327E-2</v>
      </c>
      <c r="AQ40" s="58" t="s">
        <v>137</v>
      </c>
      <c r="AS40" s="59">
        <f t="shared" si="9"/>
        <v>59.365839673469381</v>
      </c>
      <c r="AT40" s="60">
        <f t="shared" si="10"/>
        <v>8.4834468067037632E-3</v>
      </c>
      <c r="AU40" s="58" t="s">
        <v>137</v>
      </c>
      <c r="AW40" s="59">
        <f t="shared" si="11"/>
        <v>17.350274850597611</v>
      </c>
      <c r="AX40" s="60">
        <f t="shared" si="12"/>
        <v>2.9027029677736464E-2</v>
      </c>
      <c r="AY40" s="58" t="s">
        <v>137</v>
      </c>
    </row>
    <row r="41" spans="1:51" x14ac:dyDescent="0.25">
      <c r="A41" s="15"/>
      <c r="B41" s="15"/>
      <c r="C41" s="16"/>
      <c r="D41" s="16"/>
      <c r="E41" s="16"/>
      <c r="F41" s="16"/>
      <c r="G41" s="16"/>
      <c r="H41" s="16"/>
      <c r="I41" s="16"/>
      <c r="U41" s="5">
        <v>1983</v>
      </c>
      <c r="V41" s="13">
        <f>DOE_2007!$C$6</f>
        <v>0.5036269430051814</v>
      </c>
      <c r="W41" s="42" t="s">
        <v>39</v>
      </c>
      <c r="X41" s="10"/>
      <c r="Y41" s="59">
        <f t="shared" si="1"/>
        <v>19.887383565737053</v>
      </c>
      <c r="Z41" s="60">
        <f t="shared" si="2"/>
        <v>2.5323941751334966E-2</v>
      </c>
      <c r="AA41" s="58" t="s">
        <v>137</v>
      </c>
      <c r="AB41" s="12"/>
      <c r="AC41" s="59">
        <f t="shared" si="29"/>
        <v>14.754799999999999</v>
      </c>
      <c r="AD41" s="60">
        <f t="shared" si="30"/>
        <v>3.4133091807762993E-2</v>
      </c>
      <c r="AE41" s="58" t="s">
        <v>136</v>
      </c>
      <c r="AF41" s="12"/>
      <c r="AG41" s="59">
        <f t="shared" si="3"/>
        <v>15.249565869853917</v>
      </c>
      <c r="AH41" s="60">
        <f t="shared" si="4"/>
        <v>3.3025657733691663E-2</v>
      </c>
      <c r="AI41" s="58" t="s">
        <v>137</v>
      </c>
      <c r="AK41" s="59">
        <f t="shared" si="5"/>
        <v>15.023002290836653</v>
      </c>
      <c r="AL41" s="60">
        <f t="shared" si="6"/>
        <v>3.3523721374413347E-2</v>
      </c>
      <c r="AM41" s="58" t="s">
        <v>137</v>
      </c>
      <c r="AO41" s="59">
        <f t="shared" si="7"/>
        <v>16.431370484727754</v>
      </c>
      <c r="AP41" s="60">
        <f t="shared" si="8"/>
        <v>3.0650330930903226E-2</v>
      </c>
      <c r="AQ41" s="58" t="s">
        <v>137</v>
      </c>
      <c r="AS41" s="59">
        <f t="shared" si="9"/>
        <v>54.377962231292507</v>
      </c>
      <c r="AT41" s="60">
        <f t="shared" si="10"/>
        <v>9.2616001471890891E-3</v>
      </c>
      <c r="AU41" s="58" t="s">
        <v>137</v>
      </c>
      <c r="AW41" s="59">
        <f t="shared" si="11"/>
        <v>15.892516567065073</v>
      </c>
      <c r="AX41" s="60">
        <f t="shared" si="12"/>
        <v>3.1689565392612203E-2</v>
      </c>
      <c r="AY41" s="58" t="s">
        <v>137</v>
      </c>
    </row>
    <row r="42" spans="1:51" x14ac:dyDescent="0.25">
      <c r="A42" s="15"/>
      <c r="B42" s="15"/>
      <c r="C42" s="16"/>
      <c r="D42" s="16"/>
      <c r="E42" s="16"/>
      <c r="F42" s="16"/>
      <c r="G42" s="16"/>
      <c r="H42" s="16"/>
      <c r="I42" s="16"/>
      <c r="U42" s="5">
        <v>1984</v>
      </c>
      <c r="V42" s="13">
        <f>DOE_2007!$C$6</f>
        <v>0.5036269430051814</v>
      </c>
      <c r="W42" s="42" t="s">
        <v>39</v>
      </c>
      <c r="X42" s="10"/>
      <c r="Y42" s="59">
        <f>AC42*(Y$43/AC$43)</f>
        <v>18.063191782868525</v>
      </c>
      <c r="Z42" s="60">
        <f>V42/Y42</f>
        <v>2.7881392671854969E-2</v>
      </c>
      <c r="AA42" s="58" t="s">
        <v>137</v>
      </c>
      <c r="AB42" s="12"/>
      <c r="AC42" s="59">
        <f t="shared" si="29"/>
        <v>13.401399999999999</v>
      </c>
      <c r="AD42" s="60">
        <f t="shared" si="30"/>
        <v>3.758017393743799E-2</v>
      </c>
      <c r="AE42" s="58" t="s">
        <v>136</v>
      </c>
      <c r="AF42" s="12"/>
      <c r="AG42" s="59">
        <f>AC42*(AG$43/AC$43)</f>
        <v>13.850782934926958</v>
      </c>
      <c r="AH42" s="60">
        <f>V42/AG42</f>
        <v>3.6360900706573475E-2</v>
      </c>
      <c r="AI42" s="58" t="s">
        <v>137</v>
      </c>
      <c r="AK42" s="59">
        <f>AC42*(AK$43/AC$43)</f>
        <v>13.645001145418325</v>
      </c>
      <c r="AL42" s="60">
        <f t="shared" ref="AL42:AL77" si="31">V42/AK42</f>
        <v>3.6909263519870616E-2</v>
      </c>
      <c r="AM42" s="58" t="s">
        <v>137</v>
      </c>
      <c r="AO42" s="59">
        <f>AC42*(AO$43/AC$43)</f>
        <v>14.924185242363876</v>
      </c>
      <c r="AP42" s="60">
        <f t="shared" ref="AP42:AP77" si="32">V42/AO42</f>
        <v>3.3745690959100613E-2</v>
      </c>
      <c r="AQ42" s="58" t="s">
        <v>137</v>
      </c>
      <c r="AS42" s="59">
        <f t="shared" si="9"/>
        <v>49.39008478911564</v>
      </c>
      <c r="AT42" s="60">
        <f t="shared" si="10"/>
        <v>1.0196924041648302E-2</v>
      </c>
      <c r="AU42" s="58" t="s">
        <v>137</v>
      </c>
      <c r="AW42" s="59">
        <f>AC42*(AW$43/AC$43)</f>
        <v>14.434758283532535</v>
      </c>
      <c r="AX42" s="60">
        <f t="shared" ref="AX42:AX77" si="33">V42/AW42</f>
        <v>3.4889877136337587E-2</v>
      </c>
      <c r="AY42" s="58" t="s">
        <v>137</v>
      </c>
    </row>
    <row r="43" spans="1:51" x14ac:dyDescent="0.25">
      <c r="A43" s="15"/>
      <c r="B43" s="15"/>
      <c r="C43" s="16"/>
      <c r="D43" s="16"/>
      <c r="E43" s="16"/>
      <c r="F43" s="16"/>
      <c r="G43" s="16"/>
      <c r="H43" s="16"/>
      <c r="I43" s="16"/>
      <c r="U43" s="5">
        <v>1985</v>
      </c>
      <c r="V43" s="13">
        <f>DOE_2007!$C$6</f>
        <v>0.5036269430051814</v>
      </c>
      <c r="W43" s="42" t="s">
        <v>39</v>
      </c>
      <c r="X43" s="10"/>
      <c r="Y43" s="40">
        <f t="shared" ref="Y43:Y77" si="34">M3</f>
        <v>16.239000000000001</v>
      </c>
      <c r="Z43" s="12">
        <f>V43/Y43</f>
        <v>3.1013420962200961E-2</v>
      </c>
      <c r="AA43" s="5" t="s">
        <v>18</v>
      </c>
      <c r="AB43" s="12"/>
      <c r="AC43" s="40">
        <f t="shared" ref="AC43:AC77" si="35">N3</f>
        <v>12.048</v>
      </c>
      <c r="AD43" s="12">
        <f>V43/AC43</f>
        <v>4.1801705096711606E-2</v>
      </c>
      <c r="AE43" s="5" t="s">
        <v>18</v>
      </c>
      <c r="AF43" s="12"/>
      <c r="AG43" s="40">
        <f t="shared" ref="AG43:AG77" si="36">O3</f>
        <v>12.452</v>
      </c>
      <c r="AH43" s="12">
        <f>V43/AG43</f>
        <v>4.0445466029969596E-2</v>
      </c>
      <c r="AI43" s="5" t="s">
        <v>18</v>
      </c>
      <c r="AK43" s="17">
        <f t="shared" ref="AK43:AK77" si="37">P3</f>
        <v>12.266999999999999</v>
      </c>
      <c r="AL43" s="7">
        <f t="shared" si="31"/>
        <v>4.1055428630079188E-2</v>
      </c>
      <c r="AM43" s="5" t="s">
        <v>18</v>
      </c>
      <c r="AO43" s="17">
        <f t="shared" ref="AO43:AO77" si="38">Q3</f>
        <v>13.417</v>
      </c>
      <c r="AP43" s="7">
        <f t="shared" si="32"/>
        <v>3.7536479317670228E-2</v>
      </c>
      <c r="AQ43" s="58" t="s">
        <v>137</v>
      </c>
      <c r="AS43" s="59">
        <f t="shared" si="9"/>
        <v>44.402207346938773</v>
      </c>
      <c r="AT43" s="60">
        <f t="shared" si="10"/>
        <v>1.1342385279859358E-2</v>
      </c>
      <c r="AU43" s="58" t="s">
        <v>137</v>
      </c>
      <c r="AW43" s="17">
        <f t="shared" ref="AW43:AW77" si="39">S3</f>
        <v>12.977</v>
      </c>
      <c r="AX43" s="44">
        <f t="shared" si="33"/>
        <v>3.8809196501901934E-2</v>
      </c>
      <c r="AY43" s="5" t="s">
        <v>18</v>
      </c>
    </row>
    <row r="44" spans="1:51" x14ac:dyDescent="0.25">
      <c r="A44" s="15"/>
      <c r="B44" s="15"/>
      <c r="C44" s="16"/>
      <c r="D44" s="16"/>
      <c r="E44" s="16"/>
      <c r="F44" s="16"/>
      <c r="G44" s="16"/>
      <c r="H44" s="16"/>
      <c r="I44" s="16"/>
      <c r="U44" s="5">
        <v>1986</v>
      </c>
      <c r="V44" s="13">
        <f>DOE_2007!$C$6</f>
        <v>0.5036269430051814</v>
      </c>
      <c r="W44" s="42" t="s">
        <v>39</v>
      </c>
      <c r="X44" s="10"/>
      <c r="Y44" s="40">
        <f t="shared" si="34"/>
        <v>15.536</v>
      </c>
      <c r="Z44" s="12">
        <f t="shared" ref="Z44:Z77" si="40">V44/Y44</f>
        <v>3.2416770275822696E-2</v>
      </c>
      <c r="AA44" s="5" t="s">
        <v>18</v>
      </c>
      <c r="AB44" s="12"/>
      <c r="AC44" s="40">
        <f t="shared" si="35"/>
        <v>11.512</v>
      </c>
      <c r="AD44" s="12">
        <f t="shared" ref="AD44:AD77" si="41">V44/AC44</f>
        <v>4.3747997133876074E-2</v>
      </c>
      <c r="AE44" s="5" t="s">
        <v>18</v>
      </c>
      <c r="AF44" s="12"/>
      <c r="AG44" s="40">
        <f t="shared" si="36"/>
        <v>10.286</v>
      </c>
      <c r="AH44" s="12">
        <f t="shared" ref="AH44:AH77" si="42">V44/AG44</f>
        <v>4.8962370504100856E-2</v>
      </c>
      <c r="AI44" s="5" t="s">
        <v>18</v>
      </c>
      <c r="AK44" s="17">
        <f t="shared" si="37"/>
        <v>12.125999999999999</v>
      </c>
      <c r="AL44" s="7">
        <f t="shared" si="31"/>
        <v>4.1532817335080109E-2</v>
      </c>
      <c r="AM44" s="5" t="s">
        <v>18</v>
      </c>
      <c r="AO44" s="17">
        <f t="shared" si="38"/>
        <v>13.031000000000001</v>
      </c>
      <c r="AP44" s="7">
        <f t="shared" si="32"/>
        <v>3.8648372573492545E-2</v>
      </c>
      <c r="AQ44" s="5" t="s">
        <v>18</v>
      </c>
      <c r="AS44" s="59">
        <f t="shared" si="9"/>
        <v>42.426810340136051</v>
      </c>
      <c r="AT44" s="60">
        <f t="shared" si="10"/>
        <v>1.1870487999630435E-2</v>
      </c>
      <c r="AU44" s="58" t="s">
        <v>137</v>
      </c>
      <c r="AW44" s="17">
        <f t="shared" si="39"/>
        <v>12.156000000000001</v>
      </c>
      <c r="AX44" s="44">
        <f t="shared" si="33"/>
        <v>4.1430317785881986E-2</v>
      </c>
      <c r="AY44" s="5" t="s">
        <v>18</v>
      </c>
    </row>
    <row r="45" spans="1:51" x14ac:dyDescent="0.25">
      <c r="A45" s="15"/>
      <c r="B45" s="15"/>
      <c r="C45" s="16"/>
      <c r="D45" s="16"/>
      <c r="E45" s="16"/>
      <c r="F45" s="16"/>
      <c r="G45" s="16"/>
      <c r="H45" s="16"/>
      <c r="I45" s="16"/>
      <c r="U45" s="5">
        <v>1987</v>
      </c>
      <c r="V45" s="13">
        <f>DOE_2007!$C$6</f>
        <v>0.5036269430051814</v>
      </c>
      <c r="W45" s="42" t="s">
        <v>39</v>
      </c>
      <c r="X45" s="10"/>
      <c r="Y45" s="40">
        <f t="shared" si="34"/>
        <v>18.015999999999998</v>
      </c>
      <c r="Z45" s="12">
        <f t="shared" si="40"/>
        <v>2.7954426232525614E-2</v>
      </c>
      <c r="AA45" s="5" t="s">
        <v>18</v>
      </c>
      <c r="AB45" s="12"/>
      <c r="AC45" s="40">
        <f t="shared" si="35"/>
        <v>12.728</v>
      </c>
      <c r="AD45" s="12">
        <f t="shared" si="41"/>
        <v>3.9568427325988483E-2</v>
      </c>
      <c r="AE45" s="5" t="s">
        <v>18</v>
      </c>
      <c r="AF45" s="12"/>
      <c r="AG45" s="40">
        <f t="shared" si="36"/>
        <v>9.9649999999999999</v>
      </c>
      <c r="AH45" s="12">
        <f t="shared" si="42"/>
        <v>5.053958284045975E-2</v>
      </c>
      <c r="AI45" s="5" t="s">
        <v>18</v>
      </c>
      <c r="AK45" s="17">
        <f t="shared" si="37"/>
        <v>12.269</v>
      </c>
      <c r="AL45" s="7">
        <f t="shared" si="31"/>
        <v>4.1048736083232652E-2</v>
      </c>
      <c r="AM45" s="5" t="s">
        <v>18</v>
      </c>
      <c r="AO45" s="17">
        <f t="shared" si="38"/>
        <v>12.592000000000001</v>
      </c>
      <c r="AP45" s="7">
        <f t="shared" si="32"/>
        <v>3.9995786452126855E-2</v>
      </c>
      <c r="AQ45" s="5" t="s">
        <v>18</v>
      </c>
      <c r="AS45" s="59">
        <f t="shared" si="9"/>
        <v>46.908308027210879</v>
      </c>
      <c r="AT45" s="60">
        <f t="shared" si="10"/>
        <v>1.0736412464782021E-2</v>
      </c>
      <c r="AU45" s="58" t="s">
        <v>137</v>
      </c>
      <c r="AW45" s="17">
        <f t="shared" si="39"/>
        <v>12.228999999999999</v>
      </c>
      <c r="AX45" s="44">
        <f t="shared" si="33"/>
        <v>4.1183002944245761E-2</v>
      </c>
      <c r="AY45" s="5" t="s">
        <v>18</v>
      </c>
    </row>
    <row r="46" spans="1:51" x14ac:dyDescent="0.25">
      <c r="A46" s="15"/>
      <c r="B46" s="15"/>
      <c r="C46" s="16"/>
      <c r="D46" s="16"/>
      <c r="E46" s="16"/>
      <c r="F46" s="16"/>
      <c r="G46" s="16"/>
      <c r="H46" s="16"/>
      <c r="I46" s="16"/>
      <c r="U46" s="5">
        <v>1988</v>
      </c>
      <c r="V46" s="13">
        <f>DOE_2007!$C$6</f>
        <v>0.5036269430051814</v>
      </c>
      <c r="W46" s="42" t="s">
        <v>39</v>
      </c>
      <c r="X46" s="10"/>
      <c r="Y46" s="40">
        <f t="shared" si="34"/>
        <v>15.462999999999999</v>
      </c>
      <c r="Z46" s="12">
        <f t="shared" si="40"/>
        <v>3.2569808122950364E-2</v>
      </c>
      <c r="AA46" s="5" t="s">
        <v>18</v>
      </c>
      <c r="AB46" s="12"/>
      <c r="AC46" s="40">
        <f t="shared" si="35"/>
        <v>13.365</v>
      </c>
      <c r="AD46" s="12">
        <f t="shared" si="41"/>
        <v>3.7682524729156855E-2</v>
      </c>
      <c r="AE46" s="5" t="s">
        <v>18</v>
      </c>
      <c r="AF46" s="12"/>
      <c r="AG46" s="40">
        <f t="shared" si="36"/>
        <v>9.9809999999999999</v>
      </c>
      <c r="AH46" s="12">
        <f t="shared" si="42"/>
        <v>5.0458565575110852E-2</v>
      </c>
      <c r="AI46" s="5" t="s">
        <v>18</v>
      </c>
      <c r="AK46" s="17">
        <f t="shared" si="37"/>
        <v>12.23</v>
      </c>
      <c r="AL46" s="7">
        <f t="shared" si="31"/>
        <v>4.1179635568698393E-2</v>
      </c>
      <c r="AM46" s="5" t="s">
        <v>18</v>
      </c>
      <c r="AO46" s="17">
        <f t="shared" si="38"/>
        <v>12.401999999999999</v>
      </c>
      <c r="AP46" s="7">
        <f t="shared" si="32"/>
        <v>4.0608526286500683E-2</v>
      </c>
      <c r="AQ46" s="5" t="s">
        <v>18</v>
      </c>
      <c r="AS46" s="59">
        <f t="shared" si="9"/>
        <v>49.255934693877549</v>
      </c>
      <c r="AT46" s="60">
        <f t="shared" si="10"/>
        <v>1.0224695686625181E-2</v>
      </c>
      <c r="AU46" s="58" t="s">
        <v>137</v>
      </c>
      <c r="AW46" s="17">
        <f t="shared" si="39"/>
        <v>12.234</v>
      </c>
      <c r="AX46" s="44">
        <f t="shared" si="33"/>
        <v>4.1166171571455079E-2</v>
      </c>
      <c r="AY46" s="5" t="s">
        <v>18</v>
      </c>
    </row>
    <row r="47" spans="1:51" x14ac:dyDescent="0.25">
      <c r="A47" s="15"/>
      <c r="B47" s="15"/>
      <c r="C47" s="16"/>
      <c r="D47" s="16"/>
      <c r="E47" s="16"/>
      <c r="F47" s="16"/>
      <c r="G47" s="16"/>
      <c r="H47" s="16"/>
      <c r="I47" s="16"/>
      <c r="U47" s="5">
        <v>1989</v>
      </c>
      <c r="V47" s="13">
        <f>DOE_2007!$C$6</f>
        <v>0.5036269430051814</v>
      </c>
      <c r="W47" s="42" t="s">
        <v>39</v>
      </c>
      <c r="X47" s="10"/>
      <c r="Y47" s="40">
        <f t="shared" si="34"/>
        <v>14.456</v>
      </c>
      <c r="Z47" s="12">
        <f t="shared" si="40"/>
        <v>3.483860978176407E-2</v>
      </c>
      <c r="AA47" s="5" t="s">
        <v>18</v>
      </c>
      <c r="AB47" s="12"/>
      <c r="AC47" s="40">
        <f t="shared" si="35"/>
        <v>13.653</v>
      </c>
      <c r="AD47" s="12">
        <f t="shared" si="41"/>
        <v>3.6887639566775168E-2</v>
      </c>
      <c r="AE47" s="5" t="s">
        <v>18</v>
      </c>
      <c r="AF47" s="12"/>
      <c r="AG47" s="40">
        <f t="shared" si="36"/>
        <v>11.462</v>
      </c>
      <c r="AH47" s="12">
        <f t="shared" si="42"/>
        <v>4.3938836416435298E-2</v>
      </c>
      <c r="AI47" s="5" t="s">
        <v>18</v>
      </c>
      <c r="AK47" s="17">
        <f t="shared" si="37"/>
        <v>11.893000000000001</v>
      </c>
      <c r="AL47" s="7">
        <f t="shared" si="31"/>
        <v>4.2346501555972534E-2</v>
      </c>
      <c r="AM47" s="5" t="s">
        <v>18</v>
      </c>
      <c r="AO47" s="17">
        <f t="shared" si="38"/>
        <v>12.339</v>
      </c>
      <c r="AP47" s="7">
        <f t="shared" si="32"/>
        <v>4.0815863765716942E-2</v>
      </c>
      <c r="AQ47" s="5" t="s">
        <v>18</v>
      </c>
      <c r="AS47" s="59">
        <f t="shared" si="9"/>
        <v>50.317342040816321</v>
      </c>
      <c r="AT47" s="60">
        <f t="shared" si="10"/>
        <v>1.0009013246300854E-2</v>
      </c>
      <c r="AU47" s="58" t="s">
        <v>137</v>
      </c>
      <c r="AW47" s="17">
        <f t="shared" si="39"/>
        <v>12.476000000000001</v>
      </c>
      <c r="AX47" s="44">
        <f t="shared" si="33"/>
        <v>4.0367661350206904E-2</v>
      </c>
      <c r="AY47" s="5" t="s">
        <v>18</v>
      </c>
    </row>
    <row r="48" spans="1:51" x14ac:dyDescent="0.25">
      <c r="A48" s="15"/>
      <c r="B48" s="15"/>
      <c r="C48" s="16"/>
      <c r="D48" s="16"/>
      <c r="E48" s="16"/>
      <c r="F48" s="16"/>
      <c r="G48" s="16"/>
      <c r="H48" s="16"/>
      <c r="I48" s="16"/>
      <c r="U48" s="5">
        <v>1990</v>
      </c>
      <c r="V48" s="13">
        <f>DOE_2007!$C$6</f>
        <v>0.5036269430051814</v>
      </c>
      <c r="W48" s="42" t="s">
        <v>39</v>
      </c>
      <c r="X48" s="10"/>
      <c r="Y48" s="40">
        <f t="shared" si="34"/>
        <v>15.488</v>
      </c>
      <c r="Z48" s="12">
        <f t="shared" si="40"/>
        <v>3.2517235472958511E-2</v>
      </c>
      <c r="AA48" s="5" t="s">
        <v>18</v>
      </c>
      <c r="AB48" s="12"/>
      <c r="AC48" s="40">
        <f t="shared" si="35"/>
        <v>13.289</v>
      </c>
      <c r="AD48" s="12">
        <f t="shared" si="41"/>
        <v>3.7898031680727022E-2</v>
      </c>
      <c r="AE48" s="5" t="s">
        <v>18</v>
      </c>
      <c r="AF48" s="12"/>
      <c r="AG48" s="40">
        <f t="shared" si="36"/>
        <v>11.984999999999999</v>
      </c>
      <c r="AH48" s="12">
        <f t="shared" si="42"/>
        <v>4.2021438715492819E-2</v>
      </c>
      <c r="AI48" s="5" t="s">
        <v>18</v>
      </c>
      <c r="AK48" s="17">
        <f t="shared" si="37"/>
        <v>12.000999999999999</v>
      </c>
      <c r="AL48" s="7">
        <f t="shared" si="31"/>
        <v>4.1965414799198519E-2</v>
      </c>
      <c r="AM48" s="5" t="s">
        <v>18</v>
      </c>
      <c r="AO48" s="17">
        <f t="shared" si="38"/>
        <v>12.706</v>
      </c>
      <c r="AP48" s="7">
        <f t="shared" si="32"/>
        <v>3.963693869079029E-2</v>
      </c>
      <c r="AQ48" s="5" t="s">
        <v>18</v>
      </c>
      <c r="AS48" s="59">
        <f t="shared" si="9"/>
        <v>48.975841088435367</v>
      </c>
      <c r="AT48" s="60">
        <f t="shared" si="10"/>
        <v>1.0283170882063779E-2</v>
      </c>
      <c r="AU48" s="58" t="s">
        <v>137</v>
      </c>
      <c r="AW48" s="17">
        <f t="shared" si="39"/>
        <v>12.737</v>
      </c>
      <c r="AX48" s="44">
        <f t="shared" si="33"/>
        <v>3.9540468164024609E-2</v>
      </c>
      <c r="AY48" s="5" t="s">
        <v>18</v>
      </c>
    </row>
    <row r="49" spans="1:51" x14ac:dyDescent="0.25">
      <c r="A49" s="15"/>
      <c r="B49" s="15"/>
      <c r="C49" s="16"/>
      <c r="D49" s="16"/>
      <c r="E49" s="16"/>
      <c r="F49" s="16"/>
      <c r="G49" s="16"/>
      <c r="H49" s="16"/>
      <c r="I49" s="16"/>
      <c r="U49" s="5">
        <v>1991</v>
      </c>
      <c r="V49" s="13">
        <f>DOE_2007!$C$6</f>
        <v>0.5036269430051814</v>
      </c>
      <c r="W49" s="42" t="s">
        <v>39</v>
      </c>
      <c r="X49" s="10"/>
      <c r="Y49" s="40">
        <f t="shared" si="34"/>
        <v>15.379</v>
      </c>
      <c r="Z49" s="12">
        <f t="shared" si="40"/>
        <v>3.2747704207372483E-2</v>
      </c>
      <c r="AA49" s="5" t="s">
        <v>18</v>
      </c>
      <c r="AB49" s="12"/>
      <c r="AC49" s="40">
        <f t="shared" si="35"/>
        <v>13.286</v>
      </c>
      <c r="AD49" s="12">
        <f t="shared" si="41"/>
        <v>3.7906589116753077E-2</v>
      </c>
      <c r="AE49" s="5" t="s">
        <v>18</v>
      </c>
      <c r="AF49" s="12"/>
      <c r="AG49" s="40">
        <f t="shared" si="36"/>
        <v>12.278</v>
      </c>
      <c r="AH49" s="12">
        <f t="shared" si="42"/>
        <v>4.1018646604103384E-2</v>
      </c>
      <c r="AI49" s="5" t="s">
        <v>18</v>
      </c>
      <c r="AK49" s="17">
        <f t="shared" si="37"/>
        <v>12.084</v>
      </c>
      <c r="AL49" s="7">
        <f t="shared" si="31"/>
        <v>4.1677171715092803E-2</v>
      </c>
      <c r="AM49" s="5" t="s">
        <v>18</v>
      </c>
      <c r="AO49" s="17">
        <f t="shared" si="38"/>
        <v>12.435</v>
      </c>
      <c r="AP49" s="7">
        <f t="shared" si="32"/>
        <v>4.0500759389238548E-2</v>
      </c>
      <c r="AQ49" s="5" t="s">
        <v>18</v>
      </c>
      <c r="AS49" s="59">
        <f t="shared" si="9"/>
        <v>48.964784761904752</v>
      </c>
      <c r="AT49" s="60">
        <f t="shared" si="10"/>
        <v>1.0285492838457443E-2</v>
      </c>
      <c r="AU49" s="58" t="s">
        <v>137</v>
      </c>
      <c r="AW49" s="17">
        <f t="shared" si="39"/>
        <v>12.696</v>
      </c>
      <c r="AX49" s="44">
        <f t="shared" si="33"/>
        <v>3.9668158711813284E-2</v>
      </c>
      <c r="AY49" s="5" t="s">
        <v>18</v>
      </c>
    </row>
    <row r="50" spans="1:51" x14ac:dyDescent="0.25">
      <c r="A50" s="15"/>
      <c r="B50" s="15"/>
      <c r="C50" s="16"/>
      <c r="D50" s="16"/>
      <c r="E50" s="16"/>
      <c r="F50" s="16"/>
      <c r="G50" s="16"/>
      <c r="H50" s="16"/>
      <c r="I50" s="16"/>
      <c r="U50" s="5">
        <v>1992</v>
      </c>
      <c r="V50" s="13">
        <f>DOE_2007!$C$6</f>
        <v>0.5036269430051814</v>
      </c>
      <c r="W50" s="42" t="s">
        <v>39</v>
      </c>
      <c r="X50" s="10"/>
      <c r="Y50" s="40">
        <f t="shared" si="34"/>
        <v>15.004</v>
      </c>
      <c r="Z50" s="12">
        <f t="shared" si="40"/>
        <v>3.356617855273137E-2</v>
      </c>
      <c r="AA50" s="5" t="s">
        <v>18</v>
      </c>
      <c r="AB50" s="12"/>
      <c r="AC50" s="40">
        <f t="shared" si="35"/>
        <v>13.02</v>
      </c>
      <c r="AD50" s="12">
        <f t="shared" si="41"/>
        <v>3.8681024808385672E-2</v>
      </c>
      <c r="AE50" s="5" t="s">
        <v>18</v>
      </c>
      <c r="AF50" s="12"/>
      <c r="AG50" s="40">
        <f t="shared" si="36"/>
        <v>12.372</v>
      </c>
      <c r="AH50" s="12">
        <f t="shared" si="42"/>
        <v>4.0706995069930599E-2</v>
      </c>
      <c r="AI50" s="5" t="s">
        <v>18</v>
      </c>
      <c r="AK50" s="17">
        <f t="shared" si="37"/>
        <v>12.452999999999999</v>
      </c>
      <c r="AL50" s="7">
        <f t="shared" si="31"/>
        <v>4.0442218180774224E-2</v>
      </c>
      <c r="AM50" s="5" t="s">
        <v>18</v>
      </c>
      <c r="AO50" s="17">
        <f t="shared" si="38"/>
        <v>12.446999999999999</v>
      </c>
      <c r="AP50" s="7">
        <f t="shared" si="32"/>
        <v>4.0461713103975373E-2</v>
      </c>
      <c r="AQ50" s="5" t="s">
        <v>18</v>
      </c>
      <c r="AS50" s="59">
        <f t="shared" si="9"/>
        <v>47.984457142857138</v>
      </c>
      <c r="AT50" s="60">
        <f t="shared" si="10"/>
        <v>1.0495626563114098E-2</v>
      </c>
      <c r="AU50" s="58" t="s">
        <v>137</v>
      </c>
      <c r="AW50" s="17">
        <f t="shared" si="39"/>
        <v>12.705</v>
      </c>
      <c r="AX50" s="44">
        <f t="shared" si="33"/>
        <v>3.964005848132085E-2</v>
      </c>
      <c r="AY50" s="5" t="s">
        <v>18</v>
      </c>
    </row>
    <row r="51" spans="1:51" x14ac:dyDescent="0.25">
      <c r="A51" s="15"/>
      <c r="B51" s="15"/>
      <c r="C51" s="16"/>
      <c r="D51" s="16"/>
      <c r="E51" s="16"/>
      <c r="F51" s="16"/>
      <c r="G51" s="16"/>
      <c r="H51" s="16"/>
      <c r="I51" s="16"/>
      <c r="U51" s="5">
        <v>1993</v>
      </c>
      <c r="V51" s="13">
        <f>DOE_2007!$C$6</f>
        <v>0.5036269430051814</v>
      </c>
      <c r="W51" s="42" t="s">
        <v>39</v>
      </c>
      <c r="X51" s="10"/>
      <c r="Y51" s="40">
        <f t="shared" si="34"/>
        <v>15.698</v>
      </c>
      <c r="Z51" s="12">
        <f t="shared" si="40"/>
        <v>3.2082236145061879E-2</v>
      </c>
      <c r="AA51" s="5" t="s">
        <v>18</v>
      </c>
      <c r="AB51" s="12"/>
      <c r="AC51" s="40">
        <f t="shared" si="35"/>
        <v>12.872</v>
      </c>
      <c r="AD51" s="12">
        <f t="shared" si="41"/>
        <v>3.9125772452235967E-2</v>
      </c>
      <c r="AE51" s="5" t="s">
        <v>18</v>
      </c>
      <c r="AF51" s="12"/>
      <c r="AG51" s="40">
        <f t="shared" si="36"/>
        <v>12.613</v>
      </c>
      <c r="AH51" s="12">
        <f t="shared" si="42"/>
        <v>3.9929195512977203E-2</v>
      </c>
      <c r="AI51" s="5" t="s">
        <v>18</v>
      </c>
      <c r="AK51" s="17">
        <f t="shared" si="37"/>
        <v>12.263999999999999</v>
      </c>
      <c r="AL51" s="7">
        <f t="shared" si="31"/>
        <v>4.1065471543149171E-2</v>
      </c>
      <c r="AM51" s="5" t="s">
        <v>18</v>
      </c>
      <c r="AO51" s="17">
        <f t="shared" si="38"/>
        <v>11.398</v>
      </c>
      <c r="AP51" s="7">
        <f t="shared" si="32"/>
        <v>4.4185553869554431E-2</v>
      </c>
      <c r="AQ51" s="5" t="s">
        <v>18</v>
      </c>
      <c r="AS51" s="59">
        <f t="shared" si="9"/>
        <v>47.439011700680268</v>
      </c>
      <c r="AT51" s="60">
        <f t="shared" si="10"/>
        <v>1.0616303437829828E-2</v>
      </c>
      <c r="AU51" s="58" t="s">
        <v>137</v>
      </c>
      <c r="AW51" s="17">
        <f t="shared" si="39"/>
        <v>12.353</v>
      </c>
      <c r="AX51" s="44">
        <f t="shared" si="33"/>
        <v>4.0769606007057507E-2</v>
      </c>
      <c r="AY51" s="5" t="s">
        <v>18</v>
      </c>
    </row>
    <row r="52" spans="1:51" x14ac:dyDescent="0.25">
      <c r="A52" s="15"/>
      <c r="B52" s="15"/>
      <c r="C52" s="16"/>
      <c r="D52" s="16"/>
      <c r="E52" s="16"/>
      <c r="F52" s="16"/>
      <c r="G52" s="16"/>
      <c r="H52" s="16"/>
      <c r="I52" s="16"/>
      <c r="U52" s="5">
        <v>1994</v>
      </c>
      <c r="V52" s="13">
        <f>DOE_2007!$C$6</f>
        <v>0.5036269430051814</v>
      </c>
      <c r="W52" s="42" t="s">
        <v>39</v>
      </c>
      <c r="X52" s="10"/>
      <c r="Y52" s="40">
        <f t="shared" si="34"/>
        <v>15.169</v>
      </c>
      <c r="Z52" s="12">
        <f t="shared" si="40"/>
        <v>3.3201064210243353E-2</v>
      </c>
      <c r="AA52" s="5" t="s">
        <v>18</v>
      </c>
      <c r="AB52" s="12"/>
      <c r="AC52" s="40">
        <f t="shared" si="35"/>
        <v>12.327</v>
      </c>
      <c r="AD52" s="12">
        <f t="shared" si="41"/>
        <v>4.0855596901531711E-2</v>
      </c>
      <c r="AE52" s="5" t="s">
        <v>18</v>
      </c>
      <c r="AF52" s="12"/>
      <c r="AG52" s="40">
        <f t="shared" si="36"/>
        <v>12.644</v>
      </c>
      <c r="AH52" s="12">
        <f t="shared" si="42"/>
        <v>3.9831298877347467E-2</v>
      </c>
      <c r="AI52" s="5" t="s">
        <v>18</v>
      </c>
      <c r="AK52" s="17">
        <f t="shared" si="37"/>
        <v>11.723000000000001</v>
      </c>
      <c r="AL52" s="7">
        <f t="shared" si="31"/>
        <v>4.2960585430792578E-2</v>
      </c>
      <c r="AM52" s="5" t="s">
        <v>18</v>
      </c>
      <c r="AO52" s="17">
        <f t="shared" si="38"/>
        <v>11.5</v>
      </c>
      <c r="AP52" s="7">
        <f t="shared" si="32"/>
        <v>4.3793647217841861E-2</v>
      </c>
      <c r="AQ52" s="5" t="s">
        <v>18</v>
      </c>
      <c r="AS52" s="59">
        <f t="shared" si="9"/>
        <v>45.43044571428571</v>
      </c>
      <c r="AT52" s="60">
        <f t="shared" si="10"/>
        <v>1.1085670305163102E-2</v>
      </c>
      <c r="AU52" s="58" t="s">
        <v>137</v>
      </c>
      <c r="AW52" s="17">
        <f t="shared" si="39"/>
        <v>12.194000000000001</v>
      </c>
      <c r="AX52" s="44">
        <f t="shared" si="33"/>
        <v>4.1301209037656335E-2</v>
      </c>
      <c r="AY52" s="5" t="s">
        <v>18</v>
      </c>
    </row>
    <row r="53" spans="1:51" x14ac:dyDescent="0.25">
      <c r="A53" s="15"/>
      <c r="B53" s="15"/>
      <c r="C53" s="6"/>
      <c r="D53" s="6"/>
      <c r="E53" s="6"/>
      <c r="F53" s="6"/>
      <c r="G53" s="6"/>
      <c r="H53" s="6"/>
      <c r="I53" s="5"/>
      <c r="U53" s="5">
        <v>1995</v>
      </c>
      <c r="V53" s="13">
        <f>DOE_2007!$C$6</f>
        <v>0.5036269430051814</v>
      </c>
      <c r="W53" s="42" t="s">
        <v>39</v>
      </c>
      <c r="X53" s="10"/>
      <c r="Y53" s="40">
        <f t="shared" si="34"/>
        <v>15.065</v>
      </c>
      <c r="Z53" s="12">
        <f t="shared" si="40"/>
        <v>3.3430265051787679E-2</v>
      </c>
      <c r="AA53" s="5" t="s">
        <v>18</v>
      </c>
      <c r="AB53" s="12"/>
      <c r="AC53" s="40">
        <f t="shared" si="35"/>
        <v>12.528</v>
      </c>
      <c r="AD53" s="12">
        <f t="shared" si="41"/>
        <v>4.020010720028587E-2</v>
      </c>
      <c r="AE53" s="5" t="s">
        <v>18</v>
      </c>
      <c r="AF53" s="12"/>
      <c r="AG53" s="40">
        <f t="shared" si="36"/>
        <v>12.794</v>
      </c>
      <c r="AH53" s="12">
        <f t="shared" si="42"/>
        <v>3.9364306941158465E-2</v>
      </c>
      <c r="AI53" s="5" t="s">
        <v>18</v>
      </c>
      <c r="AK53" s="17">
        <f t="shared" si="37"/>
        <v>12.093999999999999</v>
      </c>
      <c r="AL53" s="7">
        <f t="shared" si="31"/>
        <v>4.1642710683411729E-2</v>
      </c>
      <c r="AM53" s="5" t="s">
        <v>18</v>
      </c>
      <c r="AO53" s="17">
        <f t="shared" si="38"/>
        <v>12.301</v>
      </c>
      <c r="AP53" s="7">
        <f t="shared" si="32"/>
        <v>4.0941951305193187E-2</v>
      </c>
      <c r="AQ53" s="5" t="s">
        <v>18</v>
      </c>
      <c r="AS53" s="59">
        <f t="shared" si="9"/>
        <v>46.171219591836731</v>
      </c>
      <c r="AT53" s="60">
        <f t="shared" si="10"/>
        <v>1.0907811131205744E-2</v>
      </c>
      <c r="AU53" s="58" t="s">
        <v>137</v>
      </c>
      <c r="AW53" s="17">
        <f t="shared" si="39"/>
        <v>12.621</v>
      </c>
      <c r="AX53" s="44">
        <f t="shared" si="33"/>
        <v>3.9903885825622487E-2</v>
      </c>
      <c r="AY53" s="5" t="s">
        <v>18</v>
      </c>
    </row>
    <row r="54" spans="1:51" x14ac:dyDescent="0.25">
      <c r="A54" s="15"/>
      <c r="B54" s="15"/>
      <c r="C54" s="5"/>
      <c r="D54" s="5"/>
      <c r="E54" s="5"/>
      <c r="F54" s="5"/>
      <c r="G54" s="5"/>
      <c r="H54" s="5"/>
      <c r="I54" s="5"/>
      <c r="U54" s="5">
        <v>1996</v>
      </c>
      <c r="V54" s="13">
        <f>DOE_2007!$C$6</f>
        <v>0.5036269430051814</v>
      </c>
      <c r="W54" s="42" t="s">
        <v>39</v>
      </c>
      <c r="X54" s="10"/>
      <c r="Y54" s="40">
        <f t="shared" si="34"/>
        <v>16.454999999999998</v>
      </c>
      <c r="Z54" s="12">
        <f t="shared" si="40"/>
        <v>3.0606316803718107E-2</v>
      </c>
      <c r="AA54" s="5" t="s">
        <v>18</v>
      </c>
      <c r="AB54" s="12"/>
      <c r="AC54" s="40">
        <f t="shared" si="35"/>
        <v>12.667999999999999</v>
      </c>
      <c r="AD54" s="12">
        <f t="shared" si="41"/>
        <v>3.975583699125209E-2</v>
      </c>
      <c r="AE54" s="5" t="s">
        <v>18</v>
      </c>
      <c r="AF54" s="12"/>
      <c r="AG54" s="40">
        <f t="shared" si="36"/>
        <v>12.58</v>
      </c>
      <c r="AH54" s="12">
        <f t="shared" si="42"/>
        <v>4.0033938235705994E-2</v>
      </c>
      <c r="AI54" s="5" t="s">
        <v>18</v>
      </c>
      <c r="AK54" s="17">
        <f t="shared" si="37"/>
        <v>11.987</v>
      </c>
      <c r="AL54" s="7">
        <f t="shared" si="31"/>
        <v>4.2014427546940972E-2</v>
      </c>
      <c r="AM54" s="5" t="s">
        <v>18</v>
      </c>
      <c r="AO54" s="17">
        <f t="shared" si="38"/>
        <v>12.212999999999999</v>
      </c>
      <c r="AP54" s="7">
        <f t="shared" si="32"/>
        <v>4.1236955949003638E-2</v>
      </c>
      <c r="AQ54" s="5" t="s">
        <v>18</v>
      </c>
      <c r="AS54" s="59">
        <f t="shared" si="9"/>
        <v>46.687181496598633</v>
      </c>
      <c r="AT54" s="60">
        <f t="shared" si="10"/>
        <v>1.0787263802632268E-2</v>
      </c>
      <c r="AU54" s="58" t="s">
        <v>137</v>
      </c>
      <c r="AW54" s="17">
        <f t="shared" si="39"/>
        <v>12.637</v>
      </c>
      <c r="AX54" s="44">
        <f t="shared" si="33"/>
        <v>3.9853362586466837E-2</v>
      </c>
      <c r="AY54" s="5" t="s">
        <v>18</v>
      </c>
    </row>
    <row r="55" spans="1:51" x14ac:dyDescent="0.25">
      <c r="A55" s="15"/>
      <c r="B55" s="15"/>
      <c r="C55" s="6"/>
      <c r="D55" s="6"/>
      <c r="E55" s="6"/>
      <c r="F55" s="6"/>
      <c r="G55" s="6"/>
      <c r="H55" s="6"/>
      <c r="I55" s="5"/>
      <c r="U55" s="5">
        <v>1997</v>
      </c>
      <c r="V55" s="13">
        <f>DOE_2007!$C$6</f>
        <v>0.5036269430051814</v>
      </c>
      <c r="W55" s="42" t="s">
        <v>39</v>
      </c>
      <c r="X55" s="10"/>
      <c r="Y55" s="40">
        <f t="shared" si="34"/>
        <v>16.356000000000002</v>
      </c>
      <c r="Z55" s="12">
        <f t="shared" si="40"/>
        <v>3.0791571472559388E-2</v>
      </c>
      <c r="AA55" s="5" t="s">
        <v>18</v>
      </c>
      <c r="AB55" s="12"/>
      <c r="AC55" s="40">
        <f t="shared" si="35"/>
        <v>11.356</v>
      </c>
      <c r="AD55" s="12">
        <f t="shared" si="41"/>
        <v>4.4348973494644367E-2</v>
      </c>
      <c r="AE55" s="5" t="s">
        <v>18</v>
      </c>
      <c r="AF55" s="12"/>
      <c r="AG55" s="40">
        <f t="shared" si="36"/>
        <v>12.052</v>
      </c>
      <c r="AH55" s="12">
        <f t="shared" si="42"/>
        <v>4.1787831314734604E-2</v>
      </c>
      <c r="AI55" s="5" t="s">
        <v>18</v>
      </c>
      <c r="AK55" s="17">
        <f t="shared" si="37"/>
        <v>12.191000000000001</v>
      </c>
      <c r="AL55" s="7">
        <f t="shared" si="31"/>
        <v>4.1311372570353652E-2</v>
      </c>
      <c r="AM55" s="5" t="s">
        <v>18</v>
      </c>
      <c r="AO55" s="17">
        <f t="shared" si="38"/>
        <v>12.269</v>
      </c>
      <c r="AP55" s="7">
        <f t="shared" si="32"/>
        <v>4.1048736083232652E-2</v>
      </c>
      <c r="AQ55" s="5" t="s">
        <v>18</v>
      </c>
      <c r="AS55" s="59">
        <f>AC55*(AS$56/AC$56)</f>
        <v>41.851881360544212</v>
      </c>
      <c r="AT55" s="60">
        <f t="shared" ref="AT55:AT77" si="43">V55/AS55</f>
        <v>1.2033555640343922E-2</v>
      </c>
      <c r="AU55" s="58" t="s">
        <v>137</v>
      </c>
      <c r="AW55" s="17">
        <f t="shared" si="39"/>
        <v>12.339</v>
      </c>
      <c r="AX55" s="44">
        <f t="shared" si="33"/>
        <v>4.0815863765716942E-2</v>
      </c>
      <c r="AY55" s="5" t="s">
        <v>18</v>
      </c>
    </row>
    <row r="56" spans="1:51" x14ac:dyDescent="0.25">
      <c r="A56" s="15"/>
      <c r="B56" s="15"/>
      <c r="C56" s="6"/>
      <c r="D56" s="6"/>
      <c r="E56" s="6"/>
      <c r="F56" s="6"/>
      <c r="G56" s="6"/>
      <c r="H56" s="6"/>
      <c r="I56" s="5"/>
      <c r="U56" s="5">
        <v>1998</v>
      </c>
      <c r="V56" s="13">
        <f>DOE_2007!$C$6</f>
        <v>0.5036269430051814</v>
      </c>
      <c r="W56" s="42" t="s">
        <v>39</v>
      </c>
      <c r="X56" s="10"/>
      <c r="Y56" s="40">
        <f t="shared" si="34"/>
        <v>17.468</v>
      </c>
      <c r="Z56" s="12">
        <f t="shared" si="40"/>
        <v>2.8831402736728955E-2</v>
      </c>
      <c r="AA56" s="5" t="s">
        <v>18</v>
      </c>
      <c r="AB56" s="12"/>
      <c r="AC56" s="40">
        <f t="shared" si="35"/>
        <v>11.025</v>
      </c>
      <c r="AD56" s="12">
        <f t="shared" si="41"/>
        <v>4.5680448345141171E-2</v>
      </c>
      <c r="AE56" s="5" t="s">
        <v>18</v>
      </c>
      <c r="AF56" s="12"/>
      <c r="AG56" s="40">
        <f t="shared" si="36"/>
        <v>12.144</v>
      </c>
      <c r="AH56" s="12">
        <f t="shared" si="42"/>
        <v>4.1471256835077519E-2</v>
      </c>
      <c r="AI56" s="5" t="s">
        <v>18</v>
      </c>
      <c r="AK56" s="17">
        <f t="shared" si="37"/>
        <v>13.031000000000001</v>
      </c>
      <c r="AL56" s="7">
        <f t="shared" si="31"/>
        <v>3.8648372573492545E-2</v>
      </c>
      <c r="AM56" s="5" t="s">
        <v>18</v>
      </c>
      <c r="AO56" s="17">
        <f t="shared" si="38"/>
        <v>12.125999999999999</v>
      </c>
      <c r="AP56" s="7">
        <f t="shared" si="32"/>
        <v>4.1532817335080109E-2</v>
      </c>
      <c r="AQ56" s="5" t="s">
        <v>18</v>
      </c>
      <c r="AS56" s="17">
        <f t="shared" ref="AS56:AS77" si="44">R16</f>
        <v>40.631999999999998</v>
      </c>
      <c r="AT56" s="7">
        <f t="shared" si="43"/>
        <v>1.2394835179296649E-2</v>
      </c>
      <c r="AU56" s="5" t="s">
        <v>18</v>
      </c>
      <c r="AW56" s="17">
        <f t="shared" si="39"/>
        <v>14.919</v>
      </c>
      <c r="AX56" s="44">
        <f t="shared" si="33"/>
        <v>3.3757419599516149E-2</v>
      </c>
      <c r="AY56" s="5" t="s">
        <v>18</v>
      </c>
    </row>
    <row r="57" spans="1:51" x14ac:dyDescent="0.25">
      <c r="A57" s="15"/>
      <c r="B57" s="15"/>
      <c r="C57" s="6"/>
      <c r="D57" s="6"/>
      <c r="E57" s="6"/>
      <c r="F57" s="6"/>
      <c r="G57" s="6"/>
      <c r="H57" s="6"/>
      <c r="I57" s="5"/>
      <c r="U57" s="5">
        <v>1999</v>
      </c>
      <c r="V57" s="13">
        <f>DOE_2007!$C$6</f>
        <v>0.5036269430051814</v>
      </c>
      <c r="W57" s="42" t="s">
        <v>39</v>
      </c>
      <c r="X57" s="10"/>
      <c r="Y57" s="40">
        <f t="shared" si="34"/>
        <v>17.106000000000002</v>
      </c>
      <c r="Z57" s="12">
        <f t="shared" si="40"/>
        <v>2.9441537647911922E-2</v>
      </c>
      <c r="AA57" s="5" t="s">
        <v>18</v>
      </c>
      <c r="AB57" s="12"/>
      <c r="AC57" s="40">
        <f t="shared" si="35"/>
        <v>11.273</v>
      </c>
      <c r="AD57" s="12">
        <f t="shared" si="41"/>
        <v>4.4675502794746864E-2</v>
      </c>
      <c r="AE57" s="5" t="s">
        <v>18</v>
      </c>
      <c r="AF57" s="12"/>
      <c r="AG57" s="40">
        <f t="shared" si="36"/>
        <v>11.709</v>
      </c>
      <c r="AH57" s="12">
        <f t="shared" si="42"/>
        <v>4.301195174696229E-2</v>
      </c>
      <c r="AI57" s="5" t="s">
        <v>18</v>
      </c>
      <c r="AK57" s="17">
        <f t="shared" si="37"/>
        <v>12.882999999999999</v>
      </c>
      <c r="AL57" s="7">
        <f t="shared" si="31"/>
        <v>3.9092365365612156E-2</v>
      </c>
      <c r="AM57" s="5" t="s">
        <v>18</v>
      </c>
      <c r="AO57" s="17">
        <f t="shared" si="38"/>
        <v>11.964</v>
      </c>
      <c r="AP57" s="7">
        <f t="shared" si="32"/>
        <v>4.2095197509627334E-2</v>
      </c>
      <c r="AQ57" s="5" t="s">
        <v>18</v>
      </c>
      <c r="AS57" s="17">
        <f t="shared" si="44"/>
        <v>38.277999999999999</v>
      </c>
      <c r="AT57" s="7">
        <f t="shared" si="43"/>
        <v>1.3157086133162167E-2</v>
      </c>
      <c r="AU57" s="5" t="s">
        <v>18</v>
      </c>
      <c r="AW57" s="17">
        <f t="shared" si="39"/>
        <v>14.773999999999999</v>
      </c>
      <c r="AX57" s="44">
        <f t="shared" si="33"/>
        <v>3.408873311257489E-2</v>
      </c>
      <c r="AY57" s="5" t="s">
        <v>18</v>
      </c>
    </row>
    <row r="58" spans="1:51" x14ac:dyDescent="0.25">
      <c r="A58" s="15"/>
      <c r="B58" s="15"/>
      <c r="C58" s="6"/>
      <c r="D58" s="6"/>
      <c r="E58" s="6"/>
      <c r="F58" s="6"/>
      <c r="G58" s="6"/>
      <c r="H58" s="6"/>
      <c r="I58" s="5"/>
      <c r="U58" s="5">
        <v>2000</v>
      </c>
      <c r="V58" s="13">
        <f>DOE_2007!$C$6</f>
        <v>0.5036269430051814</v>
      </c>
      <c r="W58" s="42" t="s">
        <v>39</v>
      </c>
      <c r="X58" s="10"/>
      <c r="Y58" s="40">
        <f t="shared" si="34"/>
        <v>16.687000000000001</v>
      </c>
      <c r="Z58" s="12">
        <f t="shared" si="40"/>
        <v>3.0180796009179684E-2</v>
      </c>
      <c r="AA58" s="5" t="s">
        <v>18</v>
      </c>
      <c r="AB58" s="12"/>
      <c r="AC58" s="40">
        <f t="shared" si="35"/>
        <v>11.654</v>
      </c>
      <c r="AD58" s="12">
        <f t="shared" si="41"/>
        <v>4.3214942766876728E-2</v>
      </c>
      <c r="AE58" s="5" t="s">
        <v>18</v>
      </c>
      <c r="AF58" s="12"/>
      <c r="AG58" s="40">
        <f t="shared" si="36"/>
        <v>11.903</v>
      </c>
      <c r="AH58" s="12">
        <f t="shared" si="42"/>
        <v>4.2310925229369183E-2</v>
      </c>
      <c r="AI58" s="5" t="s">
        <v>18</v>
      </c>
      <c r="AK58" s="17">
        <f t="shared" si="37"/>
        <v>12.627000000000001</v>
      </c>
      <c r="AL58" s="7">
        <f t="shared" si="31"/>
        <v>3.9884924606413352E-2</v>
      </c>
      <c r="AM58" s="5" t="s">
        <v>18</v>
      </c>
      <c r="AO58" s="17">
        <f t="shared" si="38"/>
        <v>11.37</v>
      </c>
      <c r="AP58" s="7">
        <f t="shared" si="32"/>
        <v>4.4294366139417896E-2</v>
      </c>
      <c r="AQ58" s="5" t="s">
        <v>18</v>
      </c>
      <c r="AS58" s="17">
        <f t="shared" si="44"/>
        <v>35.643999999999998</v>
      </c>
      <c r="AT58" s="7">
        <f t="shared" si="43"/>
        <v>1.4129360986566643E-2</v>
      </c>
      <c r="AU58" s="5" t="s">
        <v>18</v>
      </c>
      <c r="AW58" s="17">
        <f t="shared" si="39"/>
        <v>14.478999999999999</v>
      </c>
      <c r="AX58" s="44">
        <f t="shared" si="33"/>
        <v>3.4783268389058736E-2</v>
      </c>
      <c r="AY58" s="5" t="s">
        <v>18</v>
      </c>
    </row>
    <row r="59" spans="1:51" x14ac:dyDescent="0.25">
      <c r="A59" s="15"/>
      <c r="B59" s="15"/>
      <c r="C59" s="6"/>
      <c r="D59" s="6"/>
      <c r="E59" s="6"/>
      <c r="F59" s="6"/>
      <c r="G59" s="6"/>
      <c r="H59" s="6"/>
      <c r="I59" s="5"/>
      <c r="U59" s="5">
        <v>2001</v>
      </c>
      <c r="V59" s="13">
        <f>DOE_2007!$C$6</f>
        <v>0.5036269430051814</v>
      </c>
      <c r="W59" s="42" t="s">
        <v>39</v>
      </c>
      <c r="X59" s="10"/>
      <c r="Y59" s="40">
        <f t="shared" si="34"/>
        <v>15.420999999999999</v>
      </c>
      <c r="Z59" s="12">
        <f t="shared" si="40"/>
        <v>3.2658513909939783E-2</v>
      </c>
      <c r="AA59" s="5" t="s">
        <v>18</v>
      </c>
      <c r="AB59" s="12"/>
      <c r="AC59" s="40">
        <f t="shared" si="35"/>
        <v>11.082000000000001</v>
      </c>
      <c r="AD59" s="12">
        <f t="shared" si="41"/>
        <v>4.544549205966264E-2</v>
      </c>
      <c r="AE59" s="5" t="s">
        <v>18</v>
      </c>
      <c r="AF59" s="12"/>
      <c r="AG59" s="40">
        <f t="shared" si="36"/>
        <v>11.807</v>
      </c>
      <c r="AH59" s="12">
        <f t="shared" si="42"/>
        <v>4.265494562591525E-2</v>
      </c>
      <c r="AI59" s="5" t="s">
        <v>18</v>
      </c>
      <c r="AK59" s="17">
        <f t="shared" si="37"/>
        <v>12.933999999999999</v>
      </c>
      <c r="AL59" s="7">
        <f t="shared" si="31"/>
        <v>3.8938220427182729E-2</v>
      </c>
      <c r="AM59" s="5" t="s">
        <v>18</v>
      </c>
      <c r="AO59" s="17">
        <f t="shared" si="38"/>
        <v>11.087</v>
      </c>
      <c r="AP59" s="7">
        <f t="shared" si="32"/>
        <v>4.5424997114204148E-2</v>
      </c>
      <c r="AQ59" s="5" t="s">
        <v>18</v>
      </c>
      <c r="AS59" s="17">
        <f t="shared" si="44"/>
        <v>34.691000000000003</v>
      </c>
      <c r="AT59" s="7">
        <f t="shared" si="43"/>
        <v>1.4517510103634411E-2</v>
      </c>
      <c r="AU59" s="5" t="s">
        <v>18</v>
      </c>
      <c r="AW59" s="17">
        <f t="shared" si="39"/>
        <v>14.366</v>
      </c>
      <c r="AX59" s="44">
        <f t="shared" si="33"/>
        <v>3.5056866421076249E-2</v>
      </c>
      <c r="AY59" s="5" t="s">
        <v>18</v>
      </c>
    </row>
    <row r="60" spans="1:51" x14ac:dyDescent="0.25">
      <c r="A60" s="15"/>
      <c r="B60" s="15"/>
      <c r="C60" s="6"/>
      <c r="D60" s="6"/>
      <c r="E60" s="6"/>
      <c r="F60" s="6"/>
      <c r="G60" s="6"/>
      <c r="H60" s="6"/>
      <c r="I60" s="5"/>
      <c r="U60" s="5">
        <v>2002</v>
      </c>
      <c r="V60" s="13">
        <f>DOE_2007!$C$6</f>
        <v>0.5036269430051814</v>
      </c>
      <c r="W60" s="42" t="s">
        <v>39</v>
      </c>
      <c r="X60" s="10"/>
      <c r="Y60" s="40">
        <f t="shared" si="34"/>
        <v>12.938000000000001</v>
      </c>
      <c r="Z60" s="12">
        <f t="shared" si="40"/>
        <v>3.8926182022351319E-2</v>
      </c>
      <c r="AA60" s="5" t="s">
        <v>18</v>
      </c>
      <c r="AB60" s="12"/>
      <c r="AC60" s="40">
        <f t="shared" si="35"/>
        <v>11.957000000000001</v>
      </c>
      <c r="AD60" s="12">
        <f t="shared" si="41"/>
        <v>4.2119841348597586E-2</v>
      </c>
      <c r="AE60" s="5" t="s">
        <v>18</v>
      </c>
      <c r="AF60" s="12"/>
      <c r="AG60" s="40">
        <f t="shared" si="36"/>
        <v>11.436</v>
      </c>
      <c r="AH60" s="12">
        <f t="shared" si="42"/>
        <v>4.4038732336934366E-2</v>
      </c>
      <c r="AI60" s="5" t="s">
        <v>18</v>
      </c>
      <c r="AK60" s="17">
        <f t="shared" si="37"/>
        <v>13.49</v>
      </c>
      <c r="AL60" s="7">
        <f t="shared" si="31"/>
        <v>3.7333353818026792E-2</v>
      </c>
      <c r="AM60" s="5" t="s">
        <v>18</v>
      </c>
      <c r="AO60" s="17">
        <f t="shared" si="38"/>
        <v>11.375</v>
      </c>
      <c r="AP60" s="7">
        <f t="shared" si="32"/>
        <v>4.4274896088367599E-2</v>
      </c>
      <c r="AQ60" s="5" t="s">
        <v>18</v>
      </c>
      <c r="AS60" s="17">
        <f t="shared" si="44"/>
        <v>33.948</v>
      </c>
      <c r="AT60" s="7">
        <f t="shared" si="43"/>
        <v>1.4835246347507405E-2</v>
      </c>
      <c r="AU60" s="5" t="s">
        <v>18</v>
      </c>
      <c r="AW60" s="17">
        <f t="shared" si="39"/>
        <v>14.554</v>
      </c>
      <c r="AX60" s="44">
        <f t="shared" si="33"/>
        <v>3.4604022468406034E-2</v>
      </c>
      <c r="AY60" s="5" t="s">
        <v>18</v>
      </c>
    </row>
    <row r="61" spans="1:51" x14ac:dyDescent="0.25">
      <c r="A61" s="3"/>
      <c r="B61" s="3"/>
      <c r="C61" s="4"/>
      <c r="D61" s="4"/>
      <c r="E61" s="4"/>
      <c r="F61" s="4"/>
      <c r="G61" s="4"/>
      <c r="H61" s="4"/>
      <c r="I61" s="4"/>
      <c r="U61" s="5">
        <v>2003</v>
      </c>
      <c r="V61" s="13">
        <f>DOE_2007!$C$6</f>
        <v>0.5036269430051814</v>
      </c>
      <c r="W61" s="42" t="s">
        <v>39</v>
      </c>
      <c r="X61" s="10"/>
      <c r="Y61" s="40">
        <f t="shared" si="34"/>
        <v>14.536</v>
      </c>
      <c r="Z61" s="12">
        <f t="shared" si="40"/>
        <v>3.4646872798925525E-2</v>
      </c>
      <c r="AA61" s="5" t="s">
        <v>18</v>
      </c>
      <c r="AB61" s="12"/>
      <c r="AC61" s="40">
        <f t="shared" si="35"/>
        <v>10.927</v>
      </c>
      <c r="AD61" s="12">
        <f t="shared" si="41"/>
        <v>4.6090138464828539E-2</v>
      </c>
      <c r="AE61" s="5" t="s">
        <v>18</v>
      </c>
      <c r="AF61" s="12"/>
      <c r="AG61" s="40">
        <f t="shared" si="36"/>
        <v>11.112</v>
      </c>
      <c r="AH61" s="12">
        <f t="shared" si="42"/>
        <v>4.53227990465426E-2</v>
      </c>
      <c r="AI61" s="5" t="s">
        <v>18</v>
      </c>
      <c r="AK61" s="17">
        <f t="shared" si="37"/>
        <v>12.311999999999999</v>
      </c>
      <c r="AL61" s="7">
        <f t="shared" si="31"/>
        <v>4.0905372238887378E-2</v>
      </c>
      <c r="AM61" s="5" t="s">
        <v>18</v>
      </c>
      <c r="AO61" s="17">
        <f t="shared" si="38"/>
        <v>11.744999999999999</v>
      </c>
      <c r="AP61" s="7">
        <f t="shared" si="32"/>
        <v>4.2880114346971601E-2</v>
      </c>
      <c r="AQ61" s="5" t="s">
        <v>18</v>
      </c>
      <c r="AS61" s="17">
        <f t="shared" si="44"/>
        <v>32.612000000000002</v>
      </c>
      <c r="AT61" s="7">
        <f t="shared" si="43"/>
        <v>1.5442994695363099E-2</v>
      </c>
      <c r="AU61" s="5" t="s">
        <v>18</v>
      </c>
      <c r="AW61" s="17">
        <f t="shared" si="39"/>
        <v>14.193</v>
      </c>
      <c r="AX61" s="44">
        <f t="shared" si="33"/>
        <v>3.5484178327709531E-2</v>
      </c>
      <c r="AY61" s="5" t="s">
        <v>18</v>
      </c>
    </row>
    <row r="62" spans="1:51" x14ac:dyDescent="0.25">
      <c r="A62" s="3"/>
      <c r="B62" s="3"/>
      <c r="C62" s="4"/>
      <c r="D62" s="4"/>
      <c r="E62" s="4"/>
      <c r="F62" s="4"/>
      <c r="G62" s="4"/>
      <c r="H62" s="4"/>
      <c r="I62" s="4"/>
      <c r="U62" s="5">
        <v>2004</v>
      </c>
      <c r="V62" s="13">
        <f>DOE_2007!$C$6</f>
        <v>0.5036269430051814</v>
      </c>
      <c r="W62" s="42" t="s">
        <v>39</v>
      </c>
      <c r="X62" s="10"/>
      <c r="Y62" s="40">
        <f t="shared" si="34"/>
        <v>12.581</v>
      </c>
      <c r="Z62" s="12">
        <f t="shared" si="40"/>
        <v>4.0030756140623278E-2</v>
      </c>
      <c r="AA62" s="5" t="s">
        <v>18</v>
      </c>
      <c r="AB62" s="12"/>
      <c r="AC62" s="40">
        <f t="shared" si="35"/>
        <v>10.352</v>
      </c>
      <c r="AD62" s="12">
        <f t="shared" si="41"/>
        <v>4.8650207013638078E-2</v>
      </c>
      <c r="AE62" s="5" t="s">
        <v>18</v>
      </c>
      <c r="AF62" s="12"/>
      <c r="AG62" s="40">
        <f t="shared" si="36"/>
        <v>10.042999999999999</v>
      </c>
      <c r="AH62" s="12">
        <f t="shared" si="42"/>
        <v>5.0147061934201077E-2</v>
      </c>
      <c r="AI62" s="5" t="s">
        <v>18</v>
      </c>
      <c r="AK62" s="17">
        <f t="shared" si="37"/>
        <v>12.403</v>
      </c>
      <c r="AL62" s="7">
        <f t="shared" si="31"/>
        <v>4.0605252197466857E-2</v>
      </c>
      <c r="AM62" s="5" t="s">
        <v>18</v>
      </c>
      <c r="AO62" s="17">
        <f t="shared" si="38"/>
        <v>11.864000000000001</v>
      </c>
      <c r="AP62" s="7">
        <f t="shared" si="32"/>
        <v>4.2450012053707131E-2</v>
      </c>
      <c r="AQ62" s="5" t="s">
        <v>18</v>
      </c>
      <c r="AS62" s="17">
        <f t="shared" si="44"/>
        <v>30.088000000000001</v>
      </c>
      <c r="AT62" s="7">
        <f t="shared" si="43"/>
        <v>1.6738465268717806E-2</v>
      </c>
      <c r="AU62" s="5" t="s">
        <v>18</v>
      </c>
      <c r="AW62" s="17">
        <f t="shared" si="39"/>
        <v>13.756</v>
      </c>
      <c r="AX62" s="44">
        <f t="shared" si="33"/>
        <v>3.6611438136462733E-2</v>
      </c>
      <c r="AY62" s="5" t="s">
        <v>18</v>
      </c>
    </row>
    <row r="63" spans="1:51" x14ac:dyDescent="0.25">
      <c r="A63" s="3"/>
      <c r="B63" s="3"/>
      <c r="C63" s="4"/>
      <c r="D63" s="4"/>
      <c r="E63" s="4"/>
      <c r="F63" s="4"/>
      <c r="G63" s="4"/>
      <c r="H63" s="4"/>
      <c r="I63" s="4"/>
      <c r="U63" s="5">
        <v>2005</v>
      </c>
      <c r="V63" s="13">
        <f>DOE_2007!$C$6</f>
        <v>0.5036269430051814</v>
      </c>
      <c r="W63" s="42" t="s">
        <v>39</v>
      </c>
      <c r="X63" s="10"/>
      <c r="Y63" s="40">
        <f t="shared" si="34"/>
        <v>12.788</v>
      </c>
      <c r="Z63" s="12">
        <f t="shared" si="40"/>
        <v>3.9382776275037647E-2</v>
      </c>
      <c r="AA63" s="5" t="s">
        <v>18</v>
      </c>
      <c r="AB63" s="12"/>
      <c r="AC63" s="40">
        <f t="shared" si="35"/>
        <v>11.385</v>
      </c>
      <c r="AD63" s="12">
        <f t="shared" si="41"/>
        <v>4.4236007290749356E-2</v>
      </c>
      <c r="AE63" s="5" t="s">
        <v>18</v>
      </c>
      <c r="AF63" s="12"/>
      <c r="AG63" s="40">
        <f t="shared" si="36"/>
        <v>11.19</v>
      </c>
      <c r="AH63" s="12">
        <f t="shared" si="42"/>
        <v>4.5006876050507724E-2</v>
      </c>
      <c r="AI63" s="5" t="s">
        <v>18</v>
      </c>
      <c r="AK63" s="17">
        <f t="shared" si="37"/>
        <v>12.51</v>
      </c>
      <c r="AL63" s="7">
        <f t="shared" si="31"/>
        <v>4.0257949081149595E-2</v>
      </c>
      <c r="AM63" s="5" t="s">
        <v>18</v>
      </c>
      <c r="AO63" s="17">
        <f t="shared" si="38"/>
        <v>11.444000000000001</v>
      </c>
      <c r="AP63" s="7">
        <f t="shared" si="32"/>
        <v>4.4007946784793896E-2</v>
      </c>
      <c r="AQ63" s="5" t="s">
        <v>18</v>
      </c>
      <c r="AS63" s="17">
        <f t="shared" si="44"/>
        <v>29.347999999999999</v>
      </c>
      <c r="AT63" s="7">
        <f t="shared" si="43"/>
        <v>1.7160520069687251E-2</v>
      </c>
      <c r="AU63" s="5" t="s">
        <v>18</v>
      </c>
      <c r="AW63" s="17">
        <f t="shared" si="39"/>
        <v>14.132999999999999</v>
      </c>
      <c r="AX63" s="44">
        <f t="shared" si="33"/>
        <v>3.5634822260325584E-2</v>
      </c>
      <c r="AY63" s="5" t="s">
        <v>18</v>
      </c>
    </row>
    <row r="64" spans="1:51" x14ac:dyDescent="0.25">
      <c r="A64" s="3"/>
      <c r="B64" s="3"/>
      <c r="C64" s="4"/>
      <c r="D64" s="4"/>
      <c r="E64" s="4"/>
      <c r="F64" s="4"/>
      <c r="G64" s="4"/>
      <c r="H64" s="4"/>
      <c r="I64" s="4"/>
      <c r="U64" s="5">
        <v>2006</v>
      </c>
      <c r="V64" s="13">
        <f>DOE_2007!$C$6</f>
        <v>0.5036269430051814</v>
      </c>
      <c r="W64" s="42" t="s">
        <v>39</v>
      </c>
      <c r="X64" s="10"/>
      <c r="Y64" s="40">
        <f t="shared" si="34"/>
        <v>19.093</v>
      </c>
      <c r="Z64" s="12">
        <f t="shared" si="40"/>
        <v>2.637756994737241E-2</v>
      </c>
      <c r="AA64" s="5" t="s">
        <v>18</v>
      </c>
      <c r="AB64" s="12"/>
      <c r="AC64" s="40">
        <f t="shared" si="35"/>
        <v>12.076000000000001</v>
      </c>
      <c r="AD64" s="12">
        <f t="shared" si="41"/>
        <v>4.1704781633420118E-2</v>
      </c>
      <c r="AE64" s="5" t="s">
        <v>18</v>
      </c>
      <c r="AF64" s="12"/>
      <c r="AG64" s="40">
        <f t="shared" si="36"/>
        <v>11.065</v>
      </c>
      <c r="AH64" s="12">
        <f t="shared" si="42"/>
        <v>4.5515313421164161E-2</v>
      </c>
      <c r="AI64" s="5" t="s">
        <v>18</v>
      </c>
      <c r="AK64" s="17">
        <f t="shared" si="37"/>
        <v>17.004999999999999</v>
      </c>
      <c r="AL64" s="7">
        <f t="shared" si="31"/>
        <v>2.9616403587484942E-2</v>
      </c>
      <c r="AM64" s="5" t="s">
        <v>18</v>
      </c>
      <c r="AO64" s="17">
        <f t="shared" si="38"/>
        <v>11.457000000000001</v>
      </c>
      <c r="AP64" s="7">
        <f t="shared" si="32"/>
        <v>4.3958011958207331E-2</v>
      </c>
      <c r="AQ64" s="5" t="s">
        <v>18</v>
      </c>
      <c r="AS64" s="17">
        <f t="shared" si="44"/>
        <v>23.597999999999999</v>
      </c>
      <c r="AT64" s="7">
        <f t="shared" si="43"/>
        <v>2.1341933342028198E-2</v>
      </c>
      <c r="AU64" s="5" t="s">
        <v>18</v>
      </c>
      <c r="AW64" s="17">
        <f t="shared" si="39"/>
        <v>15.201000000000001</v>
      </c>
      <c r="AX64" s="44">
        <f t="shared" si="33"/>
        <v>3.3131171831141462E-2</v>
      </c>
      <c r="AY64" s="5" t="s">
        <v>18</v>
      </c>
    </row>
    <row r="65" spans="1:51" x14ac:dyDescent="0.25">
      <c r="A65" s="3"/>
      <c r="B65" s="3"/>
      <c r="C65" s="4"/>
      <c r="D65" s="4"/>
      <c r="E65" s="4"/>
      <c r="F65" s="4"/>
      <c r="G65" s="4"/>
      <c r="H65" s="4"/>
      <c r="I65" s="4"/>
      <c r="U65" s="5">
        <v>2007</v>
      </c>
      <c r="V65" s="13">
        <f>DOE_2007!$C$6</f>
        <v>0.5036269430051814</v>
      </c>
      <c r="W65" s="42" t="s">
        <v>39</v>
      </c>
      <c r="X65" s="10"/>
      <c r="Y65" s="40">
        <f t="shared" si="34"/>
        <v>18.056999999999999</v>
      </c>
      <c r="Z65" s="12">
        <f t="shared" si="40"/>
        <v>2.7890953259410836E-2</v>
      </c>
      <c r="AA65" s="5" t="s">
        <v>18</v>
      </c>
      <c r="AB65" s="12"/>
      <c r="AC65" s="40">
        <f t="shared" si="35"/>
        <v>10.961</v>
      </c>
      <c r="AD65" s="12">
        <f t="shared" si="41"/>
        <v>4.5947171152739844E-2</v>
      </c>
      <c r="AE65" s="5" t="s">
        <v>18</v>
      </c>
      <c r="AF65" s="12"/>
      <c r="AG65" s="40">
        <f t="shared" si="36"/>
        <v>10.741</v>
      </c>
      <c r="AH65" s="12">
        <f t="shared" si="42"/>
        <v>4.688827325250735E-2</v>
      </c>
      <c r="AI65" s="5" t="s">
        <v>18</v>
      </c>
      <c r="AK65" s="17">
        <f t="shared" si="37"/>
        <v>14.628</v>
      </c>
      <c r="AL65" s="7">
        <f t="shared" si="31"/>
        <v>3.4428967938554919E-2</v>
      </c>
      <c r="AM65" s="5" t="s">
        <v>18</v>
      </c>
      <c r="AO65" s="17">
        <f t="shared" si="38"/>
        <v>11.23</v>
      </c>
      <c r="AP65" s="7">
        <f t="shared" si="32"/>
        <v>4.4846566607763261E-2</v>
      </c>
      <c r="AQ65" s="5" t="s">
        <v>18</v>
      </c>
      <c r="AS65" s="17">
        <f t="shared" si="44"/>
        <v>25.521999999999998</v>
      </c>
      <c r="AT65" s="7">
        <f t="shared" si="43"/>
        <v>1.9733051602742004E-2</v>
      </c>
      <c r="AU65" s="5" t="s">
        <v>18</v>
      </c>
      <c r="AW65" s="17">
        <f t="shared" si="39"/>
        <v>15.933999999999999</v>
      </c>
      <c r="AX65" s="44">
        <f t="shared" si="33"/>
        <v>3.1607063072999965E-2</v>
      </c>
      <c r="AY65" s="5" t="s">
        <v>18</v>
      </c>
    </row>
    <row r="66" spans="1:51" x14ac:dyDescent="0.25">
      <c r="A66" s="3"/>
      <c r="B66" s="3"/>
      <c r="C66" s="4"/>
      <c r="D66" s="4"/>
      <c r="E66" s="4"/>
      <c r="F66" s="4"/>
      <c r="G66" s="4"/>
      <c r="H66" s="4"/>
      <c r="I66" s="4"/>
      <c r="U66" s="5">
        <v>2008</v>
      </c>
      <c r="V66" s="13">
        <f>DOE_2007!$C$6</f>
        <v>0.5036269430051814</v>
      </c>
      <c r="W66" s="42" t="s">
        <v>39</v>
      </c>
      <c r="X66" s="10"/>
      <c r="Y66" s="40">
        <f t="shared" si="34"/>
        <v>16.786999999999999</v>
      </c>
      <c r="Z66" s="12">
        <f t="shared" si="40"/>
        <v>3.0001009293213882E-2</v>
      </c>
      <c r="AA66" s="5" t="s">
        <v>18</v>
      </c>
      <c r="AB66" s="12"/>
      <c r="AC66" s="40">
        <f t="shared" si="35"/>
        <v>10.871</v>
      </c>
      <c r="AD66" s="12">
        <f t="shared" si="41"/>
        <v>4.63275635180923E-2</v>
      </c>
      <c r="AE66" s="5" t="s">
        <v>18</v>
      </c>
      <c r="AF66" s="12"/>
      <c r="AG66" s="40">
        <f t="shared" si="36"/>
        <v>10.504</v>
      </c>
      <c r="AH66" s="12">
        <f t="shared" si="42"/>
        <v>4.7946205541239663E-2</v>
      </c>
      <c r="AI66" s="5" t="s">
        <v>18</v>
      </c>
      <c r="AK66" s="17">
        <f t="shared" si="37"/>
        <v>15.84</v>
      </c>
      <c r="AL66" s="7">
        <f t="shared" si="31"/>
        <v>3.17946302402261E-2</v>
      </c>
      <c r="AM66" s="5" t="s">
        <v>18</v>
      </c>
      <c r="AO66" s="17">
        <f t="shared" si="38"/>
        <v>11.295</v>
      </c>
      <c r="AP66" s="7">
        <f t="shared" si="32"/>
        <v>4.4588485436492381E-2</v>
      </c>
      <c r="AQ66" s="5" t="s">
        <v>18</v>
      </c>
      <c r="AS66" s="17">
        <f t="shared" si="44"/>
        <v>23.356000000000002</v>
      </c>
      <c r="AT66" s="7">
        <f t="shared" si="43"/>
        <v>2.1563064865781013E-2</v>
      </c>
      <c r="AU66" s="5" t="s">
        <v>18</v>
      </c>
      <c r="AW66" s="17">
        <f t="shared" si="39"/>
        <v>15.554</v>
      </c>
      <c r="AX66" s="44">
        <f t="shared" si="33"/>
        <v>3.2379255690187826E-2</v>
      </c>
      <c r="AY66" s="5" t="s">
        <v>18</v>
      </c>
    </row>
    <row r="67" spans="1:51" x14ac:dyDescent="0.25">
      <c r="A67" s="3"/>
      <c r="B67" s="3"/>
      <c r="C67" s="4"/>
      <c r="D67" s="4"/>
      <c r="E67" s="4"/>
      <c r="F67" s="4"/>
      <c r="G67" s="4"/>
      <c r="H67" s="4"/>
      <c r="I67" s="4"/>
      <c r="U67" s="5">
        <v>2009</v>
      </c>
      <c r="V67" s="13">
        <f>DOE_2007!$C$6</f>
        <v>0.5036269430051814</v>
      </c>
      <c r="W67" s="42" t="s">
        <v>39</v>
      </c>
      <c r="X67" s="10"/>
      <c r="Y67" s="40">
        <f t="shared" si="34"/>
        <v>16.954999999999998</v>
      </c>
      <c r="Z67" s="12">
        <f t="shared" si="40"/>
        <v>2.970374184636871E-2</v>
      </c>
      <c r="AA67" s="5" t="s">
        <v>18</v>
      </c>
      <c r="AB67" s="12"/>
      <c r="AC67" s="40">
        <f t="shared" si="35"/>
        <v>11.819000000000001</v>
      </c>
      <c r="AD67" s="12">
        <f t="shared" si="41"/>
        <v>4.2611637448615056E-2</v>
      </c>
      <c r="AE67" s="5" t="s">
        <v>18</v>
      </c>
      <c r="AF67" s="12"/>
      <c r="AG67" s="40">
        <f t="shared" si="36"/>
        <v>9.5540000000000003</v>
      </c>
      <c r="AH67" s="12">
        <f t="shared" si="42"/>
        <v>5.2713726502531019E-2</v>
      </c>
      <c r="AI67" s="5" t="s">
        <v>18</v>
      </c>
      <c r="AK67" s="17">
        <f t="shared" si="37"/>
        <v>17.137</v>
      </c>
      <c r="AL67" s="7">
        <f t="shared" si="31"/>
        <v>2.9388279337409198E-2</v>
      </c>
      <c r="AM67" s="5" t="s">
        <v>18</v>
      </c>
      <c r="AO67" s="17">
        <f t="shared" si="38"/>
        <v>11.202999999999999</v>
      </c>
      <c r="AP67" s="7">
        <f t="shared" si="32"/>
        <v>4.4954649915663787E-2</v>
      </c>
      <c r="AQ67" s="5" t="s">
        <v>18</v>
      </c>
      <c r="AS67" s="17">
        <f t="shared" si="44"/>
        <v>19.385000000000002</v>
      </c>
      <c r="AT67" s="7">
        <f t="shared" si="43"/>
        <v>2.5980239515356274E-2</v>
      </c>
      <c r="AU67" s="5" t="s">
        <v>18</v>
      </c>
      <c r="AW67" s="17">
        <f t="shared" si="39"/>
        <v>14.647</v>
      </c>
      <c r="AX67" s="44">
        <f t="shared" si="33"/>
        <v>3.4384306889136435E-2</v>
      </c>
      <c r="AY67" s="5" t="s">
        <v>18</v>
      </c>
    </row>
    <row r="68" spans="1:51" x14ac:dyDescent="0.25">
      <c r="A68" s="3"/>
      <c r="B68" s="3"/>
      <c r="C68" s="4"/>
      <c r="D68" s="4"/>
      <c r="E68" s="4"/>
      <c r="F68" s="4"/>
      <c r="G68" s="4"/>
      <c r="H68" s="4"/>
      <c r="I68" s="4"/>
      <c r="U68" s="5">
        <v>2010</v>
      </c>
      <c r="V68" s="13">
        <f>DOE_2007!$C$6</f>
        <v>0.5036269430051814</v>
      </c>
      <c r="W68" s="42" t="s">
        <v>39</v>
      </c>
      <c r="X68" s="10"/>
      <c r="Y68" s="40">
        <f t="shared" si="34"/>
        <v>16.212</v>
      </c>
      <c r="Z68" s="12">
        <f t="shared" si="40"/>
        <v>3.1065071737304554E-2</v>
      </c>
      <c r="AA68" s="5" t="s">
        <v>18</v>
      </c>
      <c r="AB68" s="12"/>
      <c r="AC68" s="40">
        <f t="shared" si="35"/>
        <v>12.018000000000001</v>
      </c>
      <c r="AD68" s="12">
        <f t="shared" si="41"/>
        <v>4.1906052837841684E-2</v>
      </c>
      <c r="AE68" s="5" t="s">
        <v>18</v>
      </c>
      <c r="AF68" s="12"/>
      <c r="AG68" s="40">
        <f t="shared" si="36"/>
        <v>9.8140000000000001</v>
      </c>
      <c r="AH68" s="12">
        <f t="shared" si="42"/>
        <v>5.1317194110982414E-2</v>
      </c>
      <c r="AI68" s="5" t="s">
        <v>18</v>
      </c>
      <c r="AK68" s="17">
        <f t="shared" si="37"/>
        <v>14.627000000000001</v>
      </c>
      <c r="AL68" s="7">
        <f t="shared" si="31"/>
        <v>3.4431321734134233E-2</v>
      </c>
      <c r="AM68" s="5" t="s">
        <v>18</v>
      </c>
      <c r="AO68" s="17">
        <f t="shared" si="38"/>
        <v>10.721</v>
      </c>
      <c r="AP68" s="7">
        <f t="shared" si="32"/>
        <v>4.6975743214735695E-2</v>
      </c>
      <c r="AQ68" s="5" t="s">
        <v>18</v>
      </c>
      <c r="AS68" s="17">
        <f t="shared" si="44"/>
        <v>18.581</v>
      </c>
      <c r="AT68" s="7">
        <f t="shared" si="43"/>
        <v>2.7104404660953738E-2</v>
      </c>
      <c r="AU68" s="5" t="s">
        <v>18</v>
      </c>
      <c r="AW68" s="17">
        <f t="shared" si="39"/>
        <v>14.346</v>
      </c>
      <c r="AX68" s="44">
        <f t="shared" si="33"/>
        <v>3.5105739788455416E-2</v>
      </c>
      <c r="AY68" s="5" t="s">
        <v>18</v>
      </c>
    </row>
    <row r="69" spans="1:51" x14ac:dyDescent="0.25">
      <c r="A69" s="3"/>
      <c r="B69" s="3"/>
      <c r="C69" s="4"/>
      <c r="D69" s="4"/>
      <c r="E69" s="4"/>
      <c r="F69" s="4"/>
      <c r="G69" s="4"/>
      <c r="H69" s="4"/>
      <c r="I69" s="4"/>
      <c r="U69" s="5">
        <v>2011</v>
      </c>
      <c r="V69" s="13">
        <f>DOE_2007!$C$6</f>
        <v>0.5036269430051814</v>
      </c>
      <c r="W69" s="42" t="s">
        <v>39</v>
      </c>
      <c r="X69" s="10"/>
      <c r="Y69" s="40">
        <f t="shared" si="34"/>
        <v>15.491</v>
      </c>
      <c r="Z69" s="12">
        <f t="shared" si="40"/>
        <v>3.2510938157974401E-2</v>
      </c>
      <c r="AA69" s="5" t="s">
        <v>18</v>
      </c>
      <c r="AB69" s="12"/>
      <c r="AC69" s="40">
        <f t="shared" si="35"/>
        <v>11.262</v>
      </c>
      <c r="AD69" s="12">
        <f t="shared" si="41"/>
        <v>4.4719138963344111E-2</v>
      </c>
      <c r="AE69" s="5" t="s">
        <v>18</v>
      </c>
      <c r="AF69" s="12"/>
      <c r="AG69" s="40">
        <f t="shared" si="36"/>
        <v>9.0429999999999993</v>
      </c>
      <c r="AH69" s="12">
        <f t="shared" si="42"/>
        <v>5.5692463010636011E-2</v>
      </c>
      <c r="AI69" s="5" t="s">
        <v>18</v>
      </c>
      <c r="AK69" s="17">
        <f t="shared" si="37"/>
        <v>14.273999999999999</v>
      </c>
      <c r="AL69" s="7">
        <f t="shared" si="31"/>
        <v>3.5282817921057967E-2</v>
      </c>
      <c r="AM69" s="5" t="s">
        <v>18</v>
      </c>
      <c r="AO69" s="17">
        <f t="shared" si="38"/>
        <v>11.411</v>
      </c>
      <c r="AP69" s="7">
        <f t="shared" si="32"/>
        <v>4.4135215406641087E-2</v>
      </c>
      <c r="AQ69" s="5" t="s">
        <v>18</v>
      </c>
      <c r="AS69" s="17">
        <f t="shared" si="44"/>
        <v>16.64</v>
      </c>
      <c r="AT69" s="7">
        <f t="shared" si="43"/>
        <v>3.0266042247907535E-2</v>
      </c>
      <c r="AU69" s="5" t="s">
        <v>18</v>
      </c>
      <c r="AW69" s="17">
        <f t="shared" si="39"/>
        <v>13.759</v>
      </c>
      <c r="AX69" s="44">
        <f t="shared" si="33"/>
        <v>3.6603455411380291E-2</v>
      </c>
      <c r="AY69" s="5" t="s">
        <v>18</v>
      </c>
    </row>
    <row r="70" spans="1:51" x14ac:dyDescent="0.25">
      <c r="A70" s="3"/>
      <c r="B70" s="3"/>
      <c r="C70" s="4"/>
      <c r="D70" s="4"/>
      <c r="E70" s="4"/>
      <c r="F70" s="4"/>
      <c r="G70" s="4"/>
      <c r="H70" s="4"/>
      <c r="I70" s="4"/>
      <c r="U70" s="5">
        <v>2012</v>
      </c>
      <c r="V70" s="13">
        <f>DOE_2007!$C$6</f>
        <v>0.5036269430051814</v>
      </c>
      <c r="W70" s="42" t="s">
        <v>39</v>
      </c>
      <c r="X70" s="10"/>
      <c r="Y70" s="40">
        <f t="shared" si="34"/>
        <v>15.683</v>
      </c>
      <c r="Z70" s="12">
        <f t="shared" si="40"/>
        <v>3.2112921188878492E-2</v>
      </c>
      <c r="AA70" s="5" t="s">
        <v>18</v>
      </c>
      <c r="AB70" s="12"/>
      <c r="AC70" s="40">
        <f t="shared" si="35"/>
        <v>11.617000000000001</v>
      </c>
      <c r="AD70" s="12">
        <f t="shared" si="41"/>
        <v>4.3352581820192936E-2</v>
      </c>
      <c r="AE70" s="5" t="s">
        <v>18</v>
      </c>
      <c r="AF70" s="12"/>
      <c r="AG70" s="40">
        <f t="shared" si="36"/>
        <v>8.8819999999999997</v>
      </c>
      <c r="AH70" s="12">
        <f t="shared" si="42"/>
        <v>5.6701975118799978E-2</v>
      </c>
      <c r="AI70" s="5" t="s">
        <v>18</v>
      </c>
      <c r="AK70" s="17">
        <f t="shared" si="37"/>
        <v>13.255000000000001</v>
      </c>
      <c r="AL70" s="7">
        <f t="shared" si="31"/>
        <v>3.7995242776701722E-2</v>
      </c>
      <c r="AM70" s="5" t="s">
        <v>18</v>
      </c>
      <c r="AO70" s="17">
        <f t="shared" si="38"/>
        <v>10.128</v>
      </c>
      <c r="AP70" s="7">
        <f t="shared" si="32"/>
        <v>4.9726198953908118E-2</v>
      </c>
      <c r="AQ70" s="5" t="s">
        <v>18</v>
      </c>
      <c r="AS70" s="17">
        <f t="shared" si="44"/>
        <v>17.14</v>
      </c>
      <c r="AT70" s="7">
        <f t="shared" si="43"/>
        <v>2.9383135531224118E-2</v>
      </c>
      <c r="AU70" s="5" t="s">
        <v>18</v>
      </c>
      <c r="AW70" s="17">
        <f t="shared" si="39"/>
        <v>13.675000000000001</v>
      </c>
      <c r="AX70" s="44">
        <f t="shared" si="33"/>
        <v>3.6828295649373413E-2</v>
      </c>
      <c r="AY70" s="5" t="s">
        <v>18</v>
      </c>
    </row>
    <row r="71" spans="1:51" x14ac:dyDescent="0.25">
      <c r="A71" s="3"/>
      <c r="B71" s="3"/>
      <c r="C71" s="4"/>
      <c r="D71" s="4"/>
      <c r="E71" s="4"/>
      <c r="F71" s="4"/>
      <c r="G71" s="4"/>
      <c r="H71" s="4"/>
      <c r="I71" s="4"/>
      <c r="U71" s="5">
        <v>2013</v>
      </c>
      <c r="V71" s="13">
        <f>DOE_2007!$C$6</f>
        <v>0.5036269430051814</v>
      </c>
      <c r="W71" s="42" t="s">
        <v>39</v>
      </c>
      <c r="X71" s="10"/>
      <c r="Y71" s="40">
        <f t="shared" si="34"/>
        <v>16.641999999999999</v>
      </c>
      <c r="Z71" s="12">
        <f t="shared" si="40"/>
        <v>3.0262404939621526E-2</v>
      </c>
      <c r="AA71" s="5" t="s">
        <v>18</v>
      </c>
      <c r="AB71" s="12"/>
      <c r="AC71" s="40">
        <f t="shared" si="35"/>
        <v>11.451000000000001</v>
      </c>
      <c r="AD71" s="12">
        <f t="shared" si="41"/>
        <v>4.3981044712704691E-2</v>
      </c>
      <c r="AE71" s="5" t="s">
        <v>18</v>
      </c>
      <c r="AF71" s="12"/>
      <c r="AG71" s="40">
        <f t="shared" si="36"/>
        <v>8.8469999999999995</v>
      </c>
      <c r="AH71" s="12">
        <f t="shared" si="42"/>
        <v>5.6926296259204409E-2</v>
      </c>
      <c r="AI71" s="5" t="s">
        <v>18</v>
      </c>
      <c r="AK71" s="17">
        <f t="shared" si="37"/>
        <v>13.791</v>
      </c>
      <c r="AL71" s="7">
        <f t="shared" si="31"/>
        <v>3.6518522442548142E-2</v>
      </c>
      <c r="AM71" s="5" t="s">
        <v>18</v>
      </c>
      <c r="AO71" s="17">
        <f t="shared" si="38"/>
        <v>10.507999999999999</v>
      </c>
      <c r="AP71" s="7">
        <f t="shared" si="32"/>
        <v>4.7927954225845205E-2</v>
      </c>
      <c r="AQ71" s="5" t="s">
        <v>18</v>
      </c>
      <c r="AS71" s="17">
        <f t="shared" si="44"/>
        <v>15.523</v>
      </c>
      <c r="AT71" s="7">
        <f t="shared" si="43"/>
        <v>3.2443918250671999E-2</v>
      </c>
      <c r="AU71" s="5" t="s">
        <v>18</v>
      </c>
      <c r="AW71" s="17">
        <f t="shared" si="39"/>
        <v>13.26</v>
      </c>
      <c r="AX71" s="44">
        <f t="shared" si="33"/>
        <v>3.7980915762080049E-2</v>
      </c>
      <c r="AY71" s="5" t="s">
        <v>18</v>
      </c>
    </row>
    <row r="72" spans="1:51" x14ac:dyDescent="0.25">
      <c r="A72" s="3"/>
      <c r="B72" s="3"/>
      <c r="C72" s="4"/>
      <c r="D72" s="4"/>
      <c r="E72" s="4"/>
      <c r="F72" s="4"/>
      <c r="G72" s="4"/>
      <c r="H72" s="4"/>
      <c r="I72" s="4"/>
      <c r="U72" s="5">
        <v>2014</v>
      </c>
      <c r="V72" s="13">
        <f>DOE_2007!$C$6</f>
        <v>0.5036269430051814</v>
      </c>
      <c r="W72" s="42" t="s">
        <v>39</v>
      </c>
      <c r="X72" s="10"/>
      <c r="Y72" s="40">
        <f t="shared" si="34"/>
        <v>15.010999999999999</v>
      </c>
      <c r="Z72" s="12">
        <f t="shared" si="40"/>
        <v>3.3550525814747947E-2</v>
      </c>
      <c r="AA72" s="5" t="s">
        <v>18</v>
      </c>
      <c r="AB72" s="12"/>
      <c r="AC72" s="40">
        <f t="shared" si="35"/>
        <v>11.952999999999999</v>
      </c>
      <c r="AD72" s="12">
        <f t="shared" si="41"/>
        <v>4.2133936501730231E-2</v>
      </c>
      <c r="AE72" s="5" t="s">
        <v>18</v>
      </c>
      <c r="AF72" s="12"/>
      <c r="AG72" s="40">
        <f t="shared" si="36"/>
        <v>8.6240000000000006</v>
      </c>
      <c r="AH72" s="12">
        <f t="shared" si="42"/>
        <v>5.8398300441231607E-2</v>
      </c>
      <c r="AI72" s="5" t="s">
        <v>18</v>
      </c>
      <c r="AK72" s="17">
        <f t="shared" si="37"/>
        <v>13.086</v>
      </c>
      <c r="AL72" s="7">
        <f t="shared" si="31"/>
        <v>3.8485934816229667E-2</v>
      </c>
      <c r="AM72" s="5" t="s">
        <v>18</v>
      </c>
      <c r="AO72" s="17">
        <f t="shared" si="38"/>
        <v>10.673</v>
      </c>
      <c r="AP72" s="7">
        <f t="shared" si="32"/>
        <v>4.7187008620367413E-2</v>
      </c>
      <c r="AQ72" s="5" t="s">
        <v>18</v>
      </c>
      <c r="AS72" s="17">
        <f t="shared" si="44"/>
        <v>13.936</v>
      </c>
      <c r="AT72" s="7">
        <f t="shared" si="43"/>
        <v>3.6138557907949294E-2</v>
      </c>
      <c r="AU72" s="5" t="s">
        <v>18</v>
      </c>
      <c r="AW72" s="17">
        <f t="shared" si="39"/>
        <v>12.579000000000001</v>
      </c>
      <c r="AX72" s="44">
        <f t="shared" si="33"/>
        <v>4.0037120836726399E-2</v>
      </c>
      <c r="AY72" s="5" t="s">
        <v>18</v>
      </c>
    </row>
    <row r="73" spans="1:51" x14ac:dyDescent="0.25">
      <c r="A73" s="3"/>
      <c r="B73" s="3"/>
      <c r="C73" s="4"/>
      <c r="D73" s="4"/>
      <c r="E73" s="4"/>
      <c r="F73" s="4"/>
      <c r="G73" s="4"/>
      <c r="H73" s="4"/>
      <c r="I73" s="4"/>
      <c r="U73" s="5">
        <v>2015</v>
      </c>
      <c r="V73" s="13">
        <f>DOE_2007!$C$6</f>
        <v>0.5036269430051814</v>
      </c>
      <c r="W73" s="42" t="s">
        <v>39</v>
      </c>
      <c r="X73" s="10"/>
      <c r="Y73" s="40">
        <f t="shared" si="34"/>
        <v>14.786</v>
      </c>
      <c r="Z73" s="12">
        <f t="shared" si="40"/>
        <v>3.4061067428999149E-2</v>
      </c>
      <c r="AA73" s="5" t="s">
        <v>18</v>
      </c>
      <c r="AB73" s="12"/>
      <c r="AC73" s="40">
        <f t="shared" si="35"/>
        <v>12.157999999999999</v>
      </c>
      <c r="AD73" s="12">
        <f t="shared" si="41"/>
        <v>4.142350246793728E-2</v>
      </c>
      <c r="AE73" s="5" t="s">
        <v>18</v>
      </c>
      <c r="AF73" s="12"/>
      <c r="AG73" s="40">
        <f t="shared" si="36"/>
        <v>8.9740000000000002</v>
      </c>
      <c r="AH73" s="12">
        <f t="shared" si="42"/>
        <v>5.612067561903069E-2</v>
      </c>
      <c r="AI73" s="5" t="s">
        <v>18</v>
      </c>
      <c r="AK73" s="17">
        <f t="shared" si="37"/>
        <v>12.978999999999999</v>
      </c>
      <c r="AL73" s="7">
        <f t="shared" si="31"/>
        <v>3.8803216195791773E-2</v>
      </c>
      <c r="AM73" s="5" t="s">
        <v>18</v>
      </c>
      <c r="AO73" s="17">
        <f t="shared" si="38"/>
        <v>10.45</v>
      </c>
      <c r="AP73" s="7">
        <f t="shared" si="32"/>
        <v>4.8193965837816405E-2</v>
      </c>
      <c r="AQ73" s="5" t="s">
        <v>18</v>
      </c>
      <c r="AS73" s="17">
        <f t="shared" si="44"/>
        <v>12.523999999999999</v>
      </c>
      <c r="AT73" s="7">
        <f t="shared" si="43"/>
        <v>4.0212946582975202E-2</v>
      </c>
      <c r="AU73" s="5" t="s">
        <v>18</v>
      </c>
      <c r="AW73" s="17">
        <f t="shared" si="39"/>
        <v>11.933</v>
      </c>
      <c r="AX73" s="44">
        <f t="shared" si="33"/>
        <v>4.2204554010322755E-2</v>
      </c>
      <c r="AY73" s="5" t="s">
        <v>18</v>
      </c>
    </row>
    <row r="74" spans="1:51" x14ac:dyDescent="0.25">
      <c r="A74" s="3"/>
      <c r="B74" s="3"/>
      <c r="C74" s="4"/>
      <c r="D74" s="4"/>
      <c r="E74" s="4"/>
      <c r="F74" s="4"/>
      <c r="G74" s="4"/>
      <c r="H74" s="4"/>
      <c r="I74" s="4"/>
      <c r="U74" s="5">
        <v>2016</v>
      </c>
      <c r="V74" s="13">
        <f>DOE_2007!$C$6</f>
        <v>0.5036269430051814</v>
      </c>
      <c r="W74" s="42" t="s">
        <v>39</v>
      </c>
      <c r="X74" s="10"/>
      <c r="Y74" s="40">
        <f t="shared" si="34"/>
        <v>15.037000000000001</v>
      </c>
      <c r="Z74" s="12">
        <f t="shared" si="40"/>
        <v>3.3492514664173793E-2</v>
      </c>
      <c r="AA74" s="5" t="s">
        <v>18</v>
      </c>
      <c r="AB74" s="12"/>
      <c r="AC74" s="40">
        <f t="shared" si="35"/>
        <v>11.590999999999999</v>
      </c>
      <c r="AD74" s="12">
        <f t="shared" si="41"/>
        <v>4.34498268488639E-2</v>
      </c>
      <c r="AE74" s="5" t="s">
        <v>18</v>
      </c>
      <c r="AF74" s="12"/>
      <c r="AG74" s="40">
        <f t="shared" si="36"/>
        <v>8.64</v>
      </c>
      <c r="AH74" s="12">
        <f t="shared" si="42"/>
        <v>5.8290155440414514E-2</v>
      </c>
      <c r="AI74" s="5" t="s">
        <v>18</v>
      </c>
      <c r="AK74" s="17">
        <f t="shared" si="37"/>
        <v>12.907999999999999</v>
      </c>
      <c r="AL74" s="7">
        <f t="shared" si="31"/>
        <v>3.9016651921690536E-2</v>
      </c>
      <c r="AM74" s="5" t="s">
        <v>18</v>
      </c>
      <c r="AO74" s="17">
        <f t="shared" si="38"/>
        <v>10.746</v>
      </c>
      <c r="AP74" s="7">
        <f t="shared" si="32"/>
        <v>4.6866456635509153E-2</v>
      </c>
      <c r="AQ74" s="5" t="s">
        <v>18</v>
      </c>
      <c r="AS74" s="17">
        <f t="shared" si="44"/>
        <v>11.954000000000001</v>
      </c>
      <c r="AT74" s="7">
        <f t="shared" si="43"/>
        <v>4.2130411829110037E-2</v>
      </c>
      <c r="AU74" s="5" t="s">
        <v>18</v>
      </c>
      <c r="AW74" s="17">
        <f t="shared" si="39"/>
        <v>11.388</v>
      </c>
      <c r="AX74" s="44">
        <f t="shared" si="33"/>
        <v>4.4224353969545258E-2</v>
      </c>
      <c r="AY74" s="5" t="s">
        <v>18</v>
      </c>
    </row>
    <row r="75" spans="1:51" x14ac:dyDescent="0.25">
      <c r="A75" s="3"/>
      <c r="B75" s="3"/>
      <c r="C75" s="4"/>
      <c r="D75" s="4"/>
      <c r="E75" s="4"/>
      <c r="F75" s="4"/>
      <c r="G75" s="4"/>
      <c r="H75" s="4"/>
      <c r="I75" s="4"/>
      <c r="U75" s="5">
        <v>2017</v>
      </c>
      <c r="V75" s="13">
        <f>DOE_2007!$C$6</f>
        <v>0.5036269430051814</v>
      </c>
      <c r="W75" s="42" t="s">
        <v>39</v>
      </c>
      <c r="X75" s="10"/>
      <c r="Y75" s="40">
        <f t="shared" si="34"/>
        <v>13.099</v>
      </c>
      <c r="Z75" s="12">
        <f t="shared" si="40"/>
        <v>3.8447739751521597E-2</v>
      </c>
      <c r="AA75" s="5" t="s">
        <v>18</v>
      </c>
      <c r="AB75" s="12"/>
      <c r="AC75" s="40">
        <f t="shared" si="35"/>
        <v>9.8789999999999996</v>
      </c>
      <c r="AD75" s="12">
        <f t="shared" si="41"/>
        <v>5.0979546817003889E-2</v>
      </c>
      <c r="AE75" s="5" t="s">
        <v>18</v>
      </c>
      <c r="AF75" s="12"/>
      <c r="AG75" s="40">
        <f t="shared" si="36"/>
        <v>8.5909999999999993</v>
      </c>
      <c r="AH75" s="12">
        <f t="shared" si="42"/>
        <v>5.8622621697728021E-2</v>
      </c>
      <c r="AI75" s="5" t="s">
        <v>18</v>
      </c>
      <c r="AK75" s="17">
        <f t="shared" si="37"/>
        <v>12.807</v>
      </c>
      <c r="AL75" s="7">
        <f t="shared" si="31"/>
        <v>3.9324349418691451E-2</v>
      </c>
      <c r="AM75" s="5" t="s">
        <v>18</v>
      </c>
      <c r="AO75" s="17">
        <f t="shared" si="38"/>
        <v>10.6</v>
      </c>
      <c r="AP75" s="7">
        <f t="shared" si="32"/>
        <v>4.7511975755205792E-2</v>
      </c>
      <c r="AQ75" s="5" t="s">
        <v>18</v>
      </c>
      <c r="AS75" s="17">
        <f t="shared" si="44"/>
        <v>12.054</v>
      </c>
      <c r="AT75" s="7">
        <f t="shared" si="43"/>
        <v>4.1780897876653511E-2</v>
      </c>
      <c r="AU75" s="5" t="s">
        <v>18</v>
      </c>
      <c r="AW75" s="17">
        <f t="shared" si="39"/>
        <v>11.564</v>
      </c>
      <c r="AX75" s="44">
        <f t="shared" si="33"/>
        <v>4.3551274905325267E-2</v>
      </c>
      <c r="AY75" s="5" t="s">
        <v>18</v>
      </c>
    </row>
    <row r="76" spans="1:51" x14ac:dyDescent="0.25">
      <c r="A76" s="3"/>
      <c r="B76" s="3"/>
      <c r="C76" s="4"/>
      <c r="D76" s="4"/>
      <c r="E76" s="4"/>
      <c r="F76" s="4"/>
      <c r="G76" s="4"/>
      <c r="H76" s="4"/>
      <c r="I76" s="4"/>
      <c r="U76" s="5">
        <v>2018</v>
      </c>
      <c r="V76" s="13">
        <f>DOE_2007!$C$6</f>
        <v>0.5036269430051814</v>
      </c>
      <c r="W76" s="42" t="s">
        <v>39</v>
      </c>
      <c r="X76" s="10"/>
      <c r="Y76" s="40">
        <f t="shared" si="34"/>
        <v>12.324</v>
      </c>
      <c r="Z76" s="12">
        <f t="shared" si="40"/>
        <v>4.0865542275655746E-2</v>
      </c>
      <c r="AA76" s="5" t="s">
        <v>18</v>
      </c>
      <c r="AB76" s="12"/>
      <c r="AC76" s="40">
        <f t="shared" si="35"/>
        <v>9.8879999999999999</v>
      </c>
      <c r="AD76" s="12">
        <f t="shared" si="41"/>
        <v>5.0933145530459287E-2</v>
      </c>
      <c r="AE76" s="5" t="s">
        <v>18</v>
      </c>
      <c r="AF76" s="12"/>
      <c r="AG76" s="40">
        <f t="shared" si="36"/>
        <v>9.33</v>
      </c>
      <c r="AH76" s="12">
        <f t="shared" si="42"/>
        <v>5.3979307931959424E-2</v>
      </c>
      <c r="AI76" s="5" t="s">
        <v>18</v>
      </c>
      <c r="AK76" s="17">
        <f t="shared" si="37"/>
        <v>13.076000000000001</v>
      </c>
      <c r="AL76" s="7">
        <f t="shared" si="31"/>
        <v>3.8515367314559602E-2</v>
      </c>
      <c r="AM76" s="5" t="s">
        <v>18</v>
      </c>
      <c r="AO76" s="17">
        <f t="shared" si="38"/>
        <v>10.712999999999999</v>
      </c>
      <c r="AP76" s="7">
        <f t="shared" si="32"/>
        <v>4.701082264586777E-2</v>
      </c>
      <c r="AQ76" s="5" t="s">
        <v>18</v>
      </c>
      <c r="AS76" s="17">
        <f t="shared" si="44"/>
        <v>11.525</v>
      </c>
      <c r="AT76" s="7">
        <f t="shared" si="43"/>
        <v>4.3698650152293399E-2</v>
      </c>
      <c r="AU76" s="5" t="s">
        <v>18</v>
      </c>
      <c r="AW76" s="17">
        <f t="shared" si="39"/>
        <v>11.359</v>
      </c>
      <c r="AX76" s="44">
        <f t="shared" si="33"/>
        <v>4.4337260586775368E-2</v>
      </c>
      <c r="AY76" s="5" t="s">
        <v>18</v>
      </c>
    </row>
    <row r="77" spans="1:51" x14ac:dyDescent="0.25">
      <c r="A77" s="3"/>
      <c r="B77" s="3"/>
      <c r="C77" s="4"/>
      <c r="D77" s="4"/>
      <c r="E77" s="4"/>
      <c r="F77" s="4"/>
      <c r="G77" s="4"/>
      <c r="H77" s="4"/>
      <c r="I77" s="4"/>
      <c r="U77" s="5">
        <v>2019</v>
      </c>
      <c r="V77" s="13">
        <f>DOE_2007!$C$6</f>
        <v>0.5036269430051814</v>
      </c>
      <c r="W77" s="42" t="s">
        <v>39</v>
      </c>
      <c r="X77" s="10"/>
      <c r="Y77" s="40">
        <f t="shared" si="34"/>
        <v>12.852</v>
      </c>
      <c r="Z77" s="12">
        <f t="shared" si="40"/>
        <v>3.9186659119606393E-2</v>
      </c>
      <c r="AA77" s="5" t="s">
        <v>18</v>
      </c>
      <c r="AB77" s="12"/>
      <c r="AC77" s="40">
        <f t="shared" si="35"/>
        <v>8.9380000000000006</v>
      </c>
      <c r="AD77" s="12">
        <f t="shared" si="41"/>
        <v>5.634671548502812E-2</v>
      </c>
      <c r="AE77" s="5" t="s">
        <v>18</v>
      </c>
      <c r="AF77" s="12"/>
      <c r="AG77" s="40">
        <f t="shared" si="36"/>
        <v>8.9510000000000005</v>
      </c>
      <c r="AH77" s="12">
        <f t="shared" si="42"/>
        <v>5.6264880237423903E-2</v>
      </c>
      <c r="AI77" s="5" t="s">
        <v>18</v>
      </c>
      <c r="AK77" s="17">
        <f t="shared" si="37"/>
        <v>13.456</v>
      </c>
      <c r="AL77" s="7">
        <f t="shared" si="31"/>
        <v>3.7427686014059262E-2</v>
      </c>
      <c r="AM77" s="5" t="s">
        <v>18</v>
      </c>
      <c r="AO77" s="17">
        <f t="shared" si="38"/>
        <v>10.417</v>
      </c>
      <c r="AP77" s="7">
        <f t="shared" si="32"/>
        <v>4.8346639436035461E-2</v>
      </c>
      <c r="AQ77" s="5" t="s">
        <v>18</v>
      </c>
      <c r="AS77" s="17">
        <f t="shared" si="44"/>
        <v>10.378</v>
      </c>
      <c r="AT77" s="7">
        <f t="shared" si="43"/>
        <v>4.8528323665945401E-2</v>
      </c>
      <c r="AU77" s="5" t="s">
        <v>18</v>
      </c>
      <c r="AW77" s="17">
        <f t="shared" si="39"/>
        <v>10.736000000000001</v>
      </c>
      <c r="AX77" s="44">
        <f t="shared" si="33"/>
        <v>4.6910110190497518E-2</v>
      </c>
      <c r="AY77" s="5" t="s">
        <v>18</v>
      </c>
    </row>
    <row r="78" spans="1:51" x14ac:dyDescent="0.25">
      <c r="A78" s="3"/>
      <c r="B78" s="3"/>
      <c r="C78" s="4"/>
      <c r="D78" s="4"/>
      <c r="E78" s="4"/>
      <c r="F78" s="4"/>
      <c r="G78" s="4"/>
      <c r="H78" s="4"/>
      <c r="I78" s="4"/>
      <c r="U78" s="5">
        <v>2020</v>
      </c>
      <c r="V78" s="13">
        <f>DOE_2007!$C$6</f>
        <v>0.5036269430051814</v>
      </c>
      <c r="W78" s="42" t="s">
        <v>39</v>
      </c>
      <c r="X78" s="10"/>
      <c r="Y78" s="40">
        <f t="shared" ref="Y78:Y79" si="45">M38</f>
        <v>12.156000000000001</v>
      </c>
      <c r="Z78" s="12">
        <f t="shared" ref="Z78:Z79" si="46">V78/Y78</f>
        <v>4.1430317785881986E-2</v>
      </c>
      <c r="AA78" s="81" t="s">
        <v>186</v>
      </c>
      <c r="AB78" s="12"/>
      <c r="AC78" s="40">
        <f t="shared" ref="AC78:AC79" si="47">N38</f>
        <v>10.363</v>
      </c>
      <c r="AD78" s="12">
        <f t="shared" ref="AD78:AD79" si="48">V78/AC78</f>
        <v>4.8598566342292912E-2</v>
      </c>
      <c r="AE78" s="81" t="s">
        <v>186</v>
      </c>
      <c r="AF78" s="12"/>
      <c r="AG78" s="40">
        <f t="shared" ref="AG78:AG79" si="49">O38</f>
        <v>8.2769999999999992</v>
      </c>
      <c r="AH78" s="12">
        <f t="shared" ref="AH78:AH79" si="50">V78/AG78</f>
        <v>6.0846555878359486E-2</v>
      </c>
      <c r="AI78" s="81" t="s">
        <v>186</v>
      </c>
      <c r="AK78" s="17">
        <f t="shared" ref="AK78:AK79" si="51">P38</f>
        <v>13.707000000000001</v>
      </c>
      <c r="AL78" s="7">
        <f t="shared" ref="AL78:AL79" si="52">V78/AK78</f>
        <v>3.6742317283518011E-2</v>
      </c>
      <c r="AM78" s="81" t="s">
        <v>186</v>
      </c>
      <c r="AO78" s="17">
        <f t="shared" ref="AO78:AO79" si="53">Q38</f>
        <v>10.455</v>
      </c>
      <c r="AP78" s="7">
        <f t="shared" ref="AP78:AP79" si="54">V78/AO78</f>
        <v>4.8170917551906396E-2</v>
      </c>
      <c r="AQ78" s="81" t="s">
        <v>186</v>
      </c>
      <c r="AS78" s="17">
        <f t="shared" ref="AS78:AS79" si="55">R38</f>
        <v>10.878</v>
      </c>
      <c r="AT78" s="7">
        <f t="shared" ref="AT78:AT79" si="56">V78/AS78</f>
        <v>4.6297751701156589E-2</v>
      </c>
      <c r="AU78" s="81" t="s">
        <v>186</v>
      </c>
      <c r="AW78" s="17">
        <f t="shared" ref="AW78:AW79" si="57">S38</f>
        <v>10.914999999999999</v>
      </c>
      <c r="AX78" s="44">
        <f t="shared" ref="AX78:AX79" si="58">V78/AW78</f>
        <v>4.6140810169966233E-2</v>
      </c>
      <c r="AY78" s="81" t="s">
        <v>186</v>
      </c>
    </row>
    <row r="79" spans="1:51" x14ac:dyDescent="0.25">
      <c r="A79" s="3"/>
      <c r="B79" s="3"/>
      <c r="C79" s="4"/>
      <c r="D79" s="4"/>
      <c r="E79" s="4"/>
      <c r="F79" s="4"/>
      <c r="G79" s="4"/>
      <c r="H79" s="4"/>
      <c r="I79" s="4"/>
      <c r="U79" s="5">
        <v>2021</v>
      </c>
      <c r="V79" s="13">
        <f>DOE_2007!$C$6</f>
        <v>0.5036269430051814</v>
      </c>
      <c r="W79" s="42" t="s">
        <v>39</v>
      </c>
      <c r="X79" s="10"/>
      <c r="Y79" s="40">
        <f t="shared" si="45"/>
        <v>12.659000000000001</v>
      </c>
      <c r="Z79" s="12">
        <f t="shared" si="46"/>
        <v>3.9784101667207632E-2</v>
      </c>
      <c r="AA79" s="81" t="s">
        <v>186</v>
      </c>
      <c r="AB79" s="12"/>
      <c r="AC79" s="40">
        <f t="shared" si="47"/>
        <v>9.3659999999999997</v>
      </c>
      <c r="AD79" s="12">
        <f t="shared" si="48"/>
        <v>5.3771828208966629E-2</v>
      </c>
      <c r="AE79" s="81" t="s">
        <v>186</v>
      </c>
      <c r="AF79" s="12"/>
      <c r="AG79" s="40">
        <f t="shared" si="49"/>
        <v>8.1080000000000005</v>
      </c>
      <c r="AH79" s="12">
        <f t="shared" si="50"/>
        <v>6.2114817834876837E-2</v>
      </c>
      <c r="AI79" s="81" t="s">
        <v>186</v>
      </c>
      <c r="AK79" s="17">
        <f t="shared" si="51"/>
        <v>13.132</v>
      </c>
      <c r="AL79" s="7">
        <f t="shared" si="52"/>
        <v>3.8351122677823743E-2</v>
      </c>
      <c r="AM79" s="81" t="s">
        <v>186</v>
      </c>
      <c r="AO79" s="17">
        <f t="shared" si="53"/>
        <v>11.04</v>
      </c>
      <c r="AP79" s="7">
        <f t="shared" si="54"/>
        <v>4.5618382518585278E-2</v>
      </c>
      <c r="AQ79" s="81" t="s">
        <v>186</v>
      </c>
      <c r="AS79" s="17">
        <f t="shared" si="55"/>
        <v>10.055</v>
      </c>
      <c r="AT79" s="7">
        <f t="shared" si="56"/>
        <v>5.0087214620107554E-2</v>
      </c>
      <c r="AU79" s="81" t="s">
        <v>186</v>
      </c>
      <c r="AW79" s="17">
        <f t="shared" si="57"/>
        <v>10.545</v>
      </c>
      <c r="AX79" s="44">
        <f t="shared" si="58"/>
        <v>4.7759785965403645E-2</v>
      </c>
      <c r="AY79" s="81" t="s">
        <v>186</v>
      </c>
    </row>
    <row r="80" spans="1:51" x14ac:dyDescent="0.25">
      <c r="A80" s="3"/>
      <c r="B80" s="3"/>
      <c r="C80" s="4"/>
      <c r="D80" s="4"/>
      <c r="E80" s="4"/>
      <c r="F80" s="4"/>
      <c r="G80" s="4"/>
      <c r="H80" s="4"/>
      <c r="I80" s="4"/>
    </row>
    <row r="81" spans="1:9" x14ac:dyDescent="0.25">
      <c r="A81" s="3"/>
      <c r="B81" s="3"/>
      <c r="C81" s="4"/>
      <c r="D81" s="4"/>
      <c r="E81" s="4"/>
      <c r="F81" s="4"/>
      <c r="G81" s="4"/>
      <c r="H81" s="4"/>
      <c r="I81" s="4"/>
    </row>
    <row r="82" spans="1:9" x14ac:dyDescent="0.25">
      <c r="A82" s="3"/>
      <c r="B82" s="3"/>
      <c r="C82" s="4"/>
      <c r="D82" s="4"/>
      <c r="E82" s="4"/>
      <c r="F82" s="4"/>
      <c r="G82" s="4"/>
      <c r="H82" s="4"/>
      <c r="I82" s="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R13"/>
  <sheetViews>
    <sheetView zoomScale="80" zoomScaleNormal="80" workbookViewId="0"/>
  </sheetViews>
  <sheetFormatPr defaultColWidth="8.85546875" defaultRowHeight="15" x14ac:dyDescent="0.25"/>
  <cols>
    <col min="2" max="2" width="9.140625" customWidth="1"/>
    <col min="3" max="3" width="15.140625" customWidth="1"/>
    <col min="4" max="4" width="14.85546875" customWidth="1"/>
    <col min="5" max="5" width="20.42578125" customWidth="1"/>
    <col min="6" max="6" width="20" bestFit="1" customWidth="1"/>
    <col min="7" max="7" width="15.42578125" bestFit="1" customWidth="1"/>
    <col min="17" max="17" width="11" customWidth="1"/>
    <col min="18" max="18" width="10.42578125" customWidth="1"/>
  </cols>
  <sheetData>
    <row r="1" spans="1:18" x14ac:dyDescent="0.25">
      <c r="A1" t="s">
        <v>64</v>
      </c>
    </row>
    <row r="2" spans="1:18" x14ac:dyDescent="0.25">
      <c r="A2" s="1" t="s">
        <v>65</v>
      </c>
    </row>
    <row r="3" spans="1:18" x14ac:dyDescent="0.25">
      <c r="Q3" s="56"/>
      <c r="R3" s="56"/>
    </row>
    <row r="4" spans="1:18" x14ac:dyDescent="0.25">
      <c r="A4" s="8" t="s">
        <v>34</v>
      </c>
      <c r="B4" s="8" t="s">
        <v>13</v>
      </c>
      <c r="C4" s="8" t="s">
        <v>0</v>
      </c>
      <c r="D4" s="8" t="s">
        <v>1</v>
      </c>
      <c r="E4" s="8" t="s">
        <v>54</v>
      </c>
      <c r="F4" s="8" t="s">
        <v>53</v>
      </c>
    </row>
    <row r="5" spans="1:18" x14ac:dyDescent="0.25">
      <c r="A5" s="9" t="s">
        <v>55</v>
      </c>
      <c r="B5" s="9">
        <v>1945</v>
      </c>
      <c r="C5" s="9" t="s">
        <v>66</v>
      </c>
      <c r="D5" s="9" t="s">
        <v>58</v>
      </c>
      <c r="E5" s="9" t="s">
        <v>133</v>
      </c>
      <c r="F5" s="43">
        <v>8.6999999999999993</v>
      </c>
    </row>
    <row r="6" spans="1:18" x14ac:dyDescent="0.25">
      <c r="A6" s="9" t="s">
        <v>55</v>
      </c>
      <c r="B6" s="9">
        <v>1945</v>
      </c>
      <c r="C6" s="9" t="s">
        <v>66</v>
      </c>
      <c r="D6" s="9" t="s">
        <v>58</v>
      </c>
      <c r="E6" s="9" t="s">
        <v>134</v>
      </c>
      <c r="F6" s="43">
        <f>F5*kWh_to_GJ*lb_to_metrictonne</f>
        <v>69.048780458399989</v>
      </c>
    </row>
    <row r="7" spans="1:18" x14ac:dyDescent="0.25">
      <c r="A7" s="9" t="s">
        <v>55</v>
      </c>
      <c r="B7" s="9">
        <v>1945</v>
      </c>
      <c r="C7" s="9" t="s">
        <v>66</v>
      </c>
      <c r="D7" s="9" t="s">
        <v>58</v>
      </c>
      <c r="E7" s="9" t="s">
        <v>135</v>
      </c>
      <c r="F7" s="9">
        <f>F6/(189/100)</f>
        <v>36.533746274285711</v>
      </c>
    </row>
    <row r="11" spans="1:18" x14ac:dyDescent="0.25">
      <c r="E11" t="s">
        <v>166</v>
      </c>
      <c r="F11">
        <v>8.6999999999999993</v>
      </c>
    </row>
    <row r="12" spans="1:18" x14ac:dyDescent="0.25">
      <c r="F12">
        <f>F11/277.8</f>
        <v>3.1317494600431962E-2</v>
      </c>
    </row>
    <row r="13" spans="1:18" x14ac:dyDescent="0.25">
      <c r="E13" t="s">
        <v>167</v>
      </c>
      <c r="F13">
        <f>F12*2240</f>
        <v>70.1511879049676</v>
      </c>
    </row>
  </sheetData>
  <hyperlinks>
    <hyperlink ref="A2" r:id="rId1" xr:uid="{00000000-0004-0000-04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P47"/>
  <sheetViews>
    <sheetView zoomScale="80" zoomScaleNormal="80" workbookViewId="0">
      <selection activeCell="H20" sqref="H20"/>
    </sheetView>
  </sheetViews>
  <sheetFormatPr defaultColWidth="8.85546875" defaultRowHeight="15" x14ac:dyDescent="0.25"/>
  <cols>
    <col min="1" max="1" width="39.42578125" customWidth="1"/>
    <col min="2" max="2" width="42.140625" customWidth="1"/>
    <col min="3" max="3" width="38.85546875" bestFit="1" customWidth="1"/>
    <col min="8" max="8" width="8" customWidth="1"/>
    <col min="12" max="12" width="9.140625" style="9"/>
    <col min="13" max="13" width="27.85546875" style="9" bestFit="1" customWidth="1"/>
    <col min="14" max="14" width="5.42578125" style="9" bestFit="1" customWidth="1"/>
    <col min="15" max="15" width="27.85546875" bestFit="1" customWidth="1"/>
    <col min="16" max="16" width="28.42578125" bestFit="1" customWidth="1"/>
  </cols>
  <sheetData>
    <row r="1" spans="1:16" x14ac:dyDescent="0.25">
      <c r="A1" t="s">
        <v>30</v>
      </c>
    </row>
    <row r="2" spans="1:16" x14ac:dyDescent="0.25">
      <c r="A2" s="1" t="s">
        <v>17</v>
      </c>
      <c r="C2" t="s">
        <v>165</v>
      </c>
      <c r="N2" s="8" t="s">
        <v>13</v>
      </c>
      <c r="O2" s="8" t="s">
        <v>20</v>
      </c>
      <c r="P2" s="8" t="s">
        <v>19</v>
      </c>
    </row>
    <row r="3" spans="1:16" x14ac:dyDescent="0.25">
      <c r="N3" s="9">
        <v>1960</v>
      </c>
      <c r="O3" s="9"/>
      <c r="P3" s="9"/>
    </row>
    <row r="4" spans="1:16" x14ac:dyDescent="0.25">
      <c r="N4" s="9">
        <v>1961</v>
      </c>
      <c r="O4" s="9"/>
      <c r="P4" s="9"/>
    </row>
    <row r="5" spans="1:16" x14ac:dyDescent="0.25">
      <c r="A5" s="8" t="s">
        <v>73</v>
      </c>
      <c r="B5" s="8" t="s">
        <v>75</v>
      </c>
      <c r="C5" s="8" t="s">
        <v>76</v>
      </c>
      <c r="N5" s="9">
        <v>1962</v>
      </c>
      <c r="O5" s="9"/>
      <c r="P5" s="9"/>
    </row>
    <row r="6" spans="1:16" x14ac:dyDescent="0.25">
      <c r="A6" s="9">
        <f>0.27*1000</f>
        <v>270</v>
      </c>
      <c r="B6" s="9">
        <f>A6/A9</f>
        <v>139.89637305699483</v>
      </c>
      <c r="C6" s="9">
        <f>B6*kWh_to_GJ</f>
        <v>0.5036269430051814</v>
      </c>
      <c r="N6" s="9">
        <v>1963</v>
      </c>
      <c r="O6" s="9"/>
      <c r="P6" s="9"/>
    </row>
    <row r="7" spans="1:16" x14ac:dyDescent="0.25">
      <c r="A7" s="9"/>
      <c r="B7" s="9"/>
      <c r="O7" s="9"/>
      <c r="P7" s="9"/>
    </row>
    <row r="8" spans="1:16" x14ac:dyDescent="0.25">
      <c r="A8" s="8" t="s">
        <v>74</v>
      </c>
      <c r="N8" s="9">
        <v>1964</v>
      </c>
      <c r="O8" s="9"/>
      <c r="P8" s="9"/>
    </row>
    <row r="9" spans="1:16" x14ac:dyDescent="0.25">
      <c r="A9" s="9">
        <v>1.93</v>
      </c>
      <c r="N9" s="9">
        <v>1965</v>
      </c>
      <c r="O9" s="9"/>
      <c r="P9" s="9"/>
    </row>
    <row r="10" spans="1:16" x14ac:dyDescent="0.25">
      <c r="N10" s="9">
        <v>1966</v>
      </c>
      <c r="O10" s="9"/>
      <c r="P10" s="9"/>
    </row>
    <row r="11" spans="1:16" x14ac:dyDescent="0.25">
      <c r="N11" s="9">
        <v>1967</v>
      </c>
      <c r="O11" s="9"/>
      <c r="P11" s="9"/>
    </row>
    <row r="12" spans="1:16" x14ac:dyDescent="0.25">
      <c r="N12" s="9">
        <v>1968</v>
      </c>
      <c r="O12" s="9"/>
      <c r="P12" s="9"/>
    </row>
    <row r="13" spans="1:16" x14ac:dyDescent="0.25">
      <c r="N13" s="9">
        <v>1969</v>
      </c>
      <c r="O13" s="9"/>
      <c r="P13" s="9"/>
    </row>
    <row r="14" spans="1:16" x14ac:dyDescent="0.25">
      <c r="N14" s="9">
        <v>1970</v>
      </c>
      <c r="O14" s="9"/>
      <c r="P14" s="9"/>
    </row>
    <row r="15" spans="1:16" x14ac:dyDescent="0.25">
      <c r="H15" s="70"/>
      <c r="N15" s="9">
        <v>1971</v>
      </c>
      <c r="O15" s="9"/>
      <c r="P15" s="9"/>
    </row>
    <row r="16" spans="1:16" x14ac:dyDescent="0.25">
      <c r="H16" s="70"/>
      <c r="N16" s="9">
        <v>1972</v>
      </c>
      <c r="O16" s="9"/>
      <c r="P16" s="9"/>
    </row>
    <row r="17" spans="8:16" x14ac:dyDescent="0.25">
      <c r="H17" s="70"/>
      <c r="N17" s="9">
        <v>1973</v>
      </c>
      <c r="O17" s="9"/>
      <c r="P17" s="9"/>
    </row>
    <row r="18" spans="8:16" x14ac:dyDescent="0.25">
      <c r="H18" s="70"/>
      <c r="N18" s="9">
        <v>1974</v>
      </c>
      <c r="O18" s="9"/>
      <c r="P18" s="9"/>
    </row>
    <row r="19" spans="8:16" x14ac:dyDescent="0.25">
      <c r="H19" s="70"/>
      <c r="N19" s="9">
        <v>1975</v>
      </c>
      <c r="O19" s="9"/>
      <c r="P19" s="9"/>
    </row>
    <row r="20" spans="8:16" x14ac:dyDescent="0.25">
      <c r="H20" s="70"/>
      <c r="N20" s="9">
        <v>1976</v>
      </c>
      <c r="O20" s="9"/>
      <c r="P20" s="9"/>
    </row>
    <row r="21" spans="8:16" x14ac:dyDescent="0.25">
      <c r="H21" s="70"/>
      <c r="N21" s="9">
        <v>1977</v>
      </c>
      <c r="O21" s="9"/>
      <c r="P21" s="9"/>
    </row>
    <row r="22" spans="8:16" x14ac:dyDescent="0.25">
      <c r="H22" s="70"/>
      <c r="N22" s="9">
        <v>1978</v>
      </c>
      <c r="O22" s="9"/>
      <c r="P22" s="9"/>
    </row>
    <row r="23" spans="8:16" x14ac:dyDescent="0.25">
      <c r="H23" s="70"/>
      <c r="N23" s="9">
        <v>1979</v>
      </c>
      <c r="O23" s="9"/>
      <c r="P23" s="9"/>
    </row>
    <row r="24" spans="8:16" x14ac:dyDescent="0.25">
      <c r="H24" s="71"/>
      <c r="N24" s="9">
        <v>1980</v>
      </c>
      <c r="O24" s="9"/>
      <c r="P24" s="9"/>
    </row>
    <row r="25" spans="8:16" x14ac:dyDescent="0.25">
      <c r="N25" s="9">
        <v>1981</v>
      </c>
      <c r="O25" s="9"/>
      <c r="P25" s="9"/>
    </row>
    <row r="26" spans="8:16" x14ac:dyDescent="0.25">
      <c r="N26" s="9">
        <v>1982</v>
      </c>
      <c r="O26" s="9"/>
      <c r="P26" s="9"/>
    </row>
    <row r="27" spans="8:16" x14ac:dyDescent="0.25">
      <c r="N27" s="9">
        <v>1983</v>
      </c>
      <c r="O27" s="9"/>
      <c r="P27" s="9"/>
    </row>
    <row r="28" spans="8:16" x14ac:dyDescent="0.25">
      <c r="N28" s="9">
        <v>1984</v>
      </c>
      <c r="O28" s="9"/>
      <c r="P28" s="9"/>
    </row>
    <row r="29" spans="8:16" x14ac:dyDescent="0.25">
      <c r="N29" s="9">
        <v>1985</v>
      </c>
      <c r="O29" s="9"/>
      <c r="P29" s="9"/>
    </row>
    <row r="30" spans="8:16" x14ac:dyDescent="0.25">
      <c r="N30" s="9">
        <v>1986</v>
      </c>
      <c r="O30" s="9"/>
      <c r="P30" s="9"/>
    </row>
    <row r="31" spans="8:16" x14ac:dyDescent="0.25">
      <c r="N31" s="9">
        <v>1987</v>
      </c>
      <c r="O31" s="9"/>
      <c r="P31" s="9"/>
    </row>
    <row r="32" spans="8:16" x14ac:dyDescent="0.25">
      <c r="N32" s="9">
        <v>1988</v>
      </c>
      <c r="O32" s="9"/>
      <c r="P32" s="9"/>
    </row>
    <row r="33" spans="14:16" x14ac:dyDescent="0.25">
      <c r="N33" s="9">
        <v>1989</v>
      </c>
      <c r="O33" s="9"/>
      <c r="P33" s="9"/>
    </row>
    <row r="34" spans="14:16" x14ac:dyDescent="0.25">
      <c r="N34" s="9">
        <v>1990</v>
      </c>
      <c r="O34" s="9"/>
      <c r="P34" s="9"/>
    </row>
    <row r="35" spans="14:16" x14ac:dyDescent="0.25">
      <c r="N35" s="9">
        <v>1991</v>
      </c>
      <c r="O35" s="9"/>
      <c r="P35" s="9"/>
    </row>
    <row r="36" spans="14:16" x14ac:dyDescent="0.25">
      <c r="N36" s="9">
        <v>1992</v>
      </c>
      <c r="O36" s="9"/>
      <c r="P36" s="9"/>
    </row>
    <row r="37" spans="14:16" x14ac:dyDescent="0.25">
      <c r="N37" s="9">
        <v>1993</v>
      </c>
      <c r="O37" s="9"/>
      <c r="P37" s="9"/>
    </row>
    <row r="38" spans="14:16" x14ac:dyDescent="0.25">
      <c r="N38" s="9">
        <v>1994</v>
      </c>
      <c r="O38" s="9"/>
      <c r="P38" s="9"/>
    </row>
    <row r="39" spans="14:16" x14ac:dyDescent="0.25">
      <c r="N39" s="9">
        <v>1995</v>
      </c>
      <c r="O39" s="9"/>
      <c r="P39" s="9"/>
    </row>
    <row r="40" spans="14:16" x14ac:dyDescent="0.25">
      <c r="N40" s="9">
        <v>1996</v>
      </c>
      <c r="O40" s="9"/>
      <c r="P40" s="9"/>
    </row>
    <row r="41" spans="14:16" x14ac:dyDescent="0.25">
      <c r="N41" s="9">
        <v>1997</v>
      </c>
      <c r="O41" s="9"/>
      <c r="P41" s="9"/>
    </row>
    <row r="42" spans="14:16" x14ac:dyDescent="0.25">
      <c r="N42" s="9">
        <v>1998</v>
      </c>
      <c r="O42" s="9"/>
      <c r="P42" s="9"/>
    </row>
    <row r="43" spans="14:16" x14ac:dyDescent="0.25">
      <c r="N43" s="9">
        <v>1999</v>
      </c>
      <c r="O43" s="9"/>
      <c r="P43" s="9"/>
    </row>
    <row r="44" spans="14:16" x14ac:dyDescent="0.25">
      <c r="N44" s="9">
        <v>2000</v>
      </c>
      <c r="O44" s="9"/>
      <c r="P44" s="9"/>
    </row>
    <row r="45" spans="14:16" x14ac:dyDescent="0.25">
      <c r="N45" s="9">
        <v>2001</v>
      </c>
      <c r="O45" s="9"/>
      <c r="P45" s="9"/>
    </row>
    <row r="46" spans="14:16" x14ac:dyDescent="0.25">
      <c r="N46" s="9">
        <v>2002</v>
      </c>
      <c r="O46" s="9"/>
      <c r="P46" s="9"/>
    </row>
    <row r="47" spans="14:16" x14ac:dyDescent="0.25">
      <c r="N47" s="9">
        <v>2003</v>
      </c>
      <c r="O47" s="9"/>
      <c r="P47" s="9"/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E6"/>
  <sheetViews>
    <sheetView zoomScale="80" zoomScaleNormal="80" workbookViewId="0">
      <selection activeCell="A2" sqref="A2"/>
    </sheetView>
  </sheetViews>
  <sheetFormatPr defaultColWidth="8.85546875" defaultRowHeight="15" x14ac:dyDescent="0.25"/>
  <cols>
    <col min="2" max="2" width="16.7109375" customWidth="1"/>
    <col min="3" max="3" width="42.140625" bestFit="1" customWidth="1"/>
    <col min="4" max="5" width="34.28515625" bestFit="1" customWidth="1"/>
  </cols>
  <sheetData>
    <row r="1" spans="1:5" x14ac:dyDescent="0.25">
      <c r="A1" t="s">
        <v>128</v>
      </c>
    </row>
    <row r="2" spans="1:5" x14ac:dyDescent="0.25">
      <c r="A2" s="1" t="s">
        <v>127</v>
      </c>
    </row>
    <row r="5" spans="1:5" x14ac:dyDescent="0.25">
      <c r="A5" s="8" t="s">
        <v>13</v>
      </c>
      <c r="B5" s="8" t="s">
        <v>0</v>
      </c>
      <c r="C5" s="8" t="s">
        <v>129</v>
      </c>
      <c r="D5" s="8" t="s">
        <v>130</v>
      </c>
      <c r="E5" s="8" t="s">
        <v>131</v>
      </c>
    </row>
    <row r="6" spans="1:5" x14ac:dyDescent="0.25">
      <c r="A6" s="9">
        <v>1980</v>
      </c>
      <c r="B6" s="9" t="s">
        <v>66</v>
      </c>
      <c r="C6" s="9">
        <v>35.5</v>
      </c>
      <c r="D6" s="9">
        <f>C6*1000000*Btu_to_GJ</f>
        <v>37.630000000000003</v>
      </c>
      <c r="E6" s="9">
        <f>D6/2</f>
        <v>18.815000000000001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K38"/>
  <sheetViews>
    <sheetView workbookViewId="0">
      <selection activeCell="C42" sqref="C42"/>
    </sheetView>
  </sheetViews>
  <sheetFormatPr defaultColWidth="9.140625" defaultRowHeight="12.75" x14ac:dyDescent="0.2"/>
  <cols>
    <col min="1" max="1" width="9.42578125" style="2" bestFit="1" customWidth="1"/>
    <col min="2" max="2" width="9" style="2" bestFit="1" customWidth="1"/>
    <col min="3" max="3" width="21.140625" style="2" bestFit="1" customWidth="1"/>
    <col min="4" max="4" width="12.85546875" style="2" bestFit="1" customWidth="1"/>
    <col min="5" max="5" width="13.42578125" style="2" bestFit="1" customWidth="1"/>
    <col min="6" max="6" width="6.85546875" style="2" bestFit="1" customWidth="1"/>
    <col min="7" max="7" width="7.85546875" style="2" bestFit="1" customWidth="1"/>
    <col min="8" max="9" width="6.42578125" style="2" bestFit="1" customWidth="1"/>
    <col min="10" max="10" width="39.42578125" style="2" customWidth="1"/>
    <col min="11" max="16384" width="9.140625" style="2"/>
  </cols>
  <sheetData>
    <row r="1" spans="1:11" x14ac:dyDescent="0.2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80" t="s">
        <v>185</v>
      </c>
      <c r="K1" s="2" t="s">
        <v>29</v>
      </c>
    </row>
    <row r="2" spans="1:11" x14ac:dyDescent="0.2">
      <c r="A2" s="3">
        <v>31048</v>
      </c>
      <c r="B2" s="3">
        <v>31413</v>
      </c>
      <c r="C2" s="4">
        <v>16239</v>
      </c>
      <c r="D2" s="4">
        <v>12048</v>
      </c>
      <c r="E2" s="4">
        <v>12452</v>
      </c>
      <c r="F2" s="4">
        <v>12267</v>
      </c>
      <c r="G2" s="4">
        <v>13417</v>
      </c>
      <c r="H2" s="2" t="s">
        <v>12</v>
      </c>
      <c r="I2" s="4">
        <v>12977</v>
      </c>
      <c r="J2" s="80" t="s">
        <v>18</v>
      </c>
    </row>
    <row r="3" spans="1:11" x14ac:dyDescent="0.2">
      <c r="A3" s="3">
        <v>31413</v>
      </c>
      <c r="B3" s="3">
        <v>31778</v>
      </c>
      <c r="C3" s="4">
        <v>15536</v>
      </c>
      <c r="D3" s="4">
        <v>11512</v>
      </c>
      <c r="E3" s="4">
        <v>10286</v>
      </c>
      <c r="F3" s="4">
        <v>12126</v>
      </c>
      <c r="G3" s="4">
        <v>13031</v>
      </c>
      <c r="H3" s="2" t="s">
        <v>12</v>
      </c>
      <c r="I3" s="4">
        <v>12156</v>
      </c>
      <c r="J3" s="80" t="s">
        <v>186</v>
      </c>
    </row>
    <row r="4" spans="1:11" x14ac:dyDescent="0.2">
      <c r="A4" s="3">
        <v>31778</v>
      </c>
      <c r="B4" s="3">
        <v>32143</v>
      </c>
      <c r="C4" s="4">
        <v>18016</v>
      </c>
      <c r="D4" s="4">
        <v>12728</v>
      </c>
      <c r="E4" s="4">
        <v>9965</v>
      </c>
      <c r="F4" s="4">
        <v>12269</v>
      </c>
      <c r="G4" s="4">
        <v>12592</v>
      </c>
      <c r="H4" s="2" t="s">
        <v>12</v>
      </c>
      <c r="I4" s="4">
        <v>12229</v>
      </c>
      <c r="K4" s="51" t="s">
        <v>54</v>
      </c>
    </row>
    <row r="5" spans="1:11" x14ac:dyDescent="0.2">
      <c r="A5" s="3">
        <v>32143</v>
      </c>
      <c r="B5" s="3">
        <v>32509</v>
      </c>
      <c r="C5" s="4">
        <v>15463</v>
      </c>
      <c r="D5" s="4">
        <v>13365</v>
      </c>
      <c r="E5" s="4">
        <v>9981</v>
      </c>
      <c r="F5" s="4">
        <v>12230</v>
      </c>
      <c r="G5" s="4">
        <v>12402</v>
      </c>
      <c r="H5" s="2" t="s">
        <v>12</v>
      </c>
      <c r="I5" s="4">
        <v>12234</v>
      </c>
      <c r="K5" s="50" t="s">
        <v>60</v>
      </c>
    </row>
    <row r="6" spans="1:11" x14ac:dyDescent="0.2">
      <c r="A6" s="3">
        <v>32509</v>
      </c>
      <c r="B6" s="3">
        <v>32874</v>
      </c>
      <c r="C6" s="4">
        <v>14456</v>
      </c>
      <c r="D6" s="4">
        <v>13653</v>
      </c>
      <c r="E6" s="4">
        <v>11462</v>
      </c>
      <c r="F6" s="4">
        <v>11893</v>
      </c>
      <c r="G6" s="4">
        <v>12339</v>
      </c>
      <c r="H6" s="2" t="s">
        <v>12</v>
      </c>
      <c r="I6" s="4">
        <v>12476</v>
      </c>
    </row>
    <row r="7" spans="1:11" x14ac:dyDescent="0.2">
      <c r="A7" s="3">
        <v>32874</v>
      </c>
      <c r="B7" s="3">
        <v>33239</v>
      </c>
      <c r="C7" s="4">
        <v>15488</v>
      </c>
      <c r="D7" s="4">
        <v>13289</v>
      </c>
      <c r="E7" s="4">
        <v>11985</v>
      </c>
      <c r="F7" s="4">
        <v>12001</v>
      </c>
      <c r="G7" s="4">
        <v>12706</v>
      </c>
      <c r="H7" s="2" t="s">
        <v>12</v>
      </c>
      <c r="I7" s="4">
        <v>12737</v>
      </c>
    </row>
    <row r="8" spans="1:11" x14ac:dyDescent="0.2">
      <c r="A8" s="3">
        <v>33239</v>
      </c>
      <c r="B8" s="3">
        <v>33604</v>
      </c>
      <c r="C8" s="4">
        <v>15379</v>
      </c>
      <c r="D8" s="4">
        <v>13286</v>
      </c>
      <c r="E8" s="4">
        <v>12278</v>
      </c>
      <c r="F8" s="4">
        <v>12084</v>
      </c>
      <c r="G8" s="4">
        <v>12435</v>
      </c>
      <c r="H8" s="2" t="s">
        <v>12</v>
      </c>
      <c r="I8" s="4">
        <v>12696</v>
      </c>
    </row>
    <row r="9" spans="1:11" x14ac:dyDescent="0.2">
      <c r="A9" s="3">
        <v>33604</v>
      </c>
      <c r="B9" s="3">
        <v>33970</v>
      </c>
      <c r="C9" s="4">
        <v>15004</v>
      </c>
      <c r="D9" s="4">
        <v>13020</v>
      </c>
      <c r="E9" s="4">
        <v>12372</v>
      </c>
      <c r="F9" s="4">
        <v>12453</v>
      </c>
      <c r="G9" s="4">
        <v>12447</v>
      </c>
      <c r="H9" s="2" t="s">
        <v>12</v>
      </c>
      <c r="I9" s="4">
        <v>12705</v>
      </c>
    </row>
    <row r="10" spans="1:11" x14ac:dyDescent="0.2">
      <c r="A10" s="3">
        <v>33970</v>
      </c>
      <c r="B10" s="3">
        <v>34335</v>
      </c>
      <c r="C10" s="4">
        <v>15698</v>
      </c>
      <c r="D10" s="4">
        <v>12872</v>
      </c>
      <c r="E10" s="4">
        <v>12613</v>
      </c>
      <c r="F10" s="4">
        <v>12264</v>
      </c>
      <c r="G10" s="4">
        <v>11398</v>
      </c>
      <c r="H10" s="2" t="s">
        <v>12</v>
      </c>
      <c r="I10" s="4">
        <v>12353</v>
      </c>
    </row>
    <row r="11" spans="1:11" x14ac:dyDescent="0.2">
      <c r="A11" s="3">
        <v>34335</v>
      </c>
      <c r="B11" s="3">
        <v>34700</v>
      </c>
      <c r="C11" s="4">
        <v>15169</v>
      </c>
      <c r="D11" s="4">
        <v>12327</v>
      </c>
      <c r="E11" s="4">
        <v>12644</v>
      </c>
      <c r="F11" s="4">
        <v>11723</v>
      </c>
      <c r="G11" s="4">
        <v>11500</v>
      </c>
      <c r="H11" s="2" t="s">
        <v>12</v>
      </c>
      <c r="I11" s="4">
        <v>12194</v>
      </c>
    </row>
    <row r="12" spans="1:11" x14ac:dyDescent="0.2">
      <c r="A12" s="3">
        <v>34700</v>
      </c>
      <c r="B12" s="3">
        <v>35065</v>
      </c>
      <c r="C12" s="4">
        <v>15065</v>
      </c>
      <c r="D12" s="4">
        <v>12528</v>
      </c>
      <c r="E12" s="4">
        <v>12794</v>
      </c>
      <c r="F12" s="4">
        <v>12094</v>
      </c>
      <c r="G12" s="4">
        <v>12301</v>
      </c>
      <c r="H12" s="2" t="s">
        <v>12</v>
      </c>
      <c r="I12" s="4">
        <v>12621</v>
      </c>
    </row>
    <row r="13" spans="1:11" x14ac:dyDescent="0.2">
      <c r="A13" s="3">
        <v>35065</v>
      </c>
      <c r="B13" s="3">
        <v>35431</v>
      </c>
      <c r="C13" s="4">
        <v>16455</v>
      </c>
      <c r="D13" s="4">
        <v>12668</v>
      </c>
      <c r="E13" s="4">
        <v>12580</v>
      </c>
      <c r="F13" s="4">
        <v>11987</v>
      </c>
      <c r="G13" s="4">
        <v>12213</v>
      </c>
      <c r="H13" s="2" t="s">
        <v>12</v>
      </c>
      <c r="I13" s="4">
        <v>12637</v>
      </c>
    </row>
    <row r="14" spans="1:11" x14ac:dyDescent="0.2">
      <c r="A14" s="3">
        <v>35431</v>
      </c>
      <c r="B14" s="3">
        <v>35796</v>
      </c>
      <c r="C14" s="4">
        <v>16356</v>
      </c>
      <c r="D14" s="4">
        <v>11356</v>
      </c>
      <c r="E14" s="4">
        <v>12052</v>
      </c>
      <c r="F14" s="4">
        <v>12191</v>
      </c>
      <c r="G14" s="4">
        <v>12269</v>
      </c>
      <c r="H14" s="2" t="s">
        <v>12</v>
      </c>
      <c r="I14" s="4">
        <v>12339</v>
      </c>
    </row>
    <row r="15" spans="1:11" x14ac:dyDescent="0.2">
      <c r="A15" s="3">
        <v>35796</v>
      </c>
      <c r="B15" s="3">
        <v>36161</v>
      </c>
      <c r="C15" s="4">
        <v>17468</v>
      </c>
      <c r="D15" s="4">
        <v>11025</v>
      </c>
      <c r="E15" s="4">
        <v>12144</v>
      </c>
      <c r="F15" s="4">
        <v>13031</v>
      </c>
      <c r="G15" s="4">
        <v>12126</v>
      </c>
      <c r="H15" s="4">
        <v>40632</v>
      </c>
      <c r="I15" s="4">
        <v>14919</v>
      </c>
    </row>
    <row r="16" spans="1:11" x14ac:dyDescent="0.2">
      <c r="A16" s="3">
        <v>36161</v>
      </c>
      <c r="B16" s="3">
        <v>36526</v>
      </c>
      <c r="C16" s="4">
        <v>17106</v>
      </c>
      <c r="D16" s="4">
        <v>11273</v>
      </c>
      <c r="E16" s="4">
        <v>11709</v>
      </c>
      <c r="F16" s="4">
        <v>12883</v>
      </c>
      <c r="G16" s="4">
        <v>11964</v>
      </c>
      <c r="H16" s="4">
        <v>38278</v>
      </c>
      <c r="I16" s="4">
        <v>14774</v>
      </c>
    </row>
    <row r="17" spans="1:9" x14ac:dyDescent="0.2">
      <c r="A17" s="3">
        <v>36526</v>
      </c>
      <c r="B17" s="3">
        <v>36892</v>
      </c>
      <c r="C17" s="4">
        <v>16687</v>
      </c>
      <c r="D17" s="4">
        <v>11654</v>
      </c>
      <c r="E17" s="4">
        <v>11903</v>
      </c>
      <c r="F17" s="4">
        <v>12627</v>
      </c>
      <c r="G17" s="4">
        <v>11370</v>
      </c>
      <c r="H17" s="4">
        <v>35644</v>
      </c>
      <c r="I17" s="4">
        <v>14479</v>
      </c>
    </row>
    <row r="18" spans="1:9" x14ac:dyDescent="0.2">
      <c r="A18" s="3">
        <v>36892</v>
      </c>
      <c r="B18" s="3">
        <v>37257</v>
      </c>
      <c r="C18" s="4">
        <v>15421</v>
      </c>
      <c r="D18" s="4">
        <v>11082</v>
      </c>
      <c r="E18" s="4">
        <v>11807</v>
      </c>
      <c r="F18" s="4">
        <v>12934</v>
      </c>
      <c r="G18" s="4">
        <v>11087</v>
      </c>
      <c r="H18" s="4">
        <v>34691</v>
      </c>
      <c r="I18" s="4">
        <v>14366</v>
      </c>
    </row>
    <row r="19" spans="1:9" x14ac:dyDescent="0.2">
      <c r="A19" s="3">
        <v>37257</v>
      </c>
      <c r="B19" s="3">
        <v>37622</v>
      </c>
      <c r="C19" s="4">
        <v>12938</v>
      </c>
      <c r="D19" s="4">
        <v>11957</v>
      </c>
      <c r="E19" s="4">
        <v>11436</v>
      </c>
      <c r="F19" s="4">
        <v>13490</v>
      </c>
      <c r="G19" s="4">
        <v>11375</v>
      </c>
      <c r="H19" s="4">
        <v>33948</v>
      </c>
      <c r="I19" s="4">
        <v>14554</v>
      </c>
    </row>
    <row r="20" spans="1:9" x14ac:dyDescent="0.2">
      <c r="A20" s="3">
        <v>37622</v>
      </c>
      <c r="B20" s="3">
        <v>37987</v>
      </c>
      <c r="C20" s="4">
        <v>14536</v>
      </c>
      <c r="D20" s="4">
        <v>10927</v>
      </c>
      <c r="E20" s="4">
        <v>11112</v>
      </c>
      <c r="F20" s="4">
        <v>12312</v>
      </c>
      <c r="G20" s="4">
        <v>11745</v>
      </c>
      <c r="H20" s="4">
        <v>32612</v>
      </c>
      <c r="I20" s="4">
        <v>14193</v>
      </c>
    </row>
    <row r="21" spans="1:9" x14ac:dyDescent="0.2">
      <c r="A21" s="3">
        <v>37987</v>
      </c>
      <c r="B21" s="3">
        <v>38353</v>
      </c>
      <c r="C21" s="4">
        <v>12581</v>
      </c>
      <c r="D21" s="4">
        <v>10352</v>
      </c>
      <c r="E21" s="4">
        <v>10043</v>
      </c>
      <c r="F21" s="4">
        <v>12403</v>
      </c>
      <c r="G21" s="4">
        <v>11864</v>
      </c>
      <c r="H21" s="4">
        <v>30088</v>
      </c>
      <c r="I21" s="4">
        <v>13756</v>
      </c>
    </row>
    <row r="22" spans="1:9" x14ac:dyDescent="0.2">
      <c r="A22" s="3">
        <v>38353</v>
      </c>
      <c r="B22" s="3">
        <v>38718</v>
      </c>
      <c r="C22" s="4">
        <v>12788</v>
      </c>
      <c r="D22" s="4">
        <v>11385</v>
      </c>
      <c r="E22" s="4">
        <v>11190</v>
      </c>
      <c r="F22" s="4">
        <v>12510</v>
      </c>
      <c r="G22" s="4">
        <v>11444</v>
      </c>
      <c r="H22" s="4">
        <v>29348</v>
      </c>
      <c r="I22" s="4">
        <v>14133</v>
      </c>
    </row>
    <row r="23" spans="1:9" x14ac:dyDescent="0.2">
      <c r="A23" s="3">
        <v>38718</v>
      </c>
      <c r="B23" s="3">
        <v>39083</v>
      </c>
      <c r="C23" s="4">
        <v>19093</v>
      </c>
      <c r="D23" s="4">
        <v>12076</v>
      </c>
      <c r="E23" s="4">
        <v>11065</v>
      </c>
      <c r="F23" s="4">
        <v>17005</v>
      </c>
      <c r="G23" s="4">
        <v>11457</v>
      </c>
      <c r="H23" s="4">
        <v>23598</v>
      </c>
      <c r="I23" s="4">
        <v>15201</v>
      </c>
    </row>
    <row r="24" spans="1:9" x14ac:dyDescent="0.2">
      <c r="A24" s="3">
        <v>39083</v>
      </c>
      <c r="B24" s="3">
        <v>39448</v>
      </c>
      <c r="C24" s="4">
        <v>18057</v>
      </c>
      <c r="D24" s="4">
        <v>10961</v>
      </c>
      <c r="E24" s="4">
        <v>10741</v>
      </c>
      <c r="F24" s="4">
        <v>14628</v>
      </c>
      <c r="G24" s="4">
        <v>11230</v>
      </c>
      <c r="H24" s="4">
        <v>25522</v>
      </c>
      <c r="I24" s="4">
        <v>15934</v>
      </c>
    </row>
    <row r="25" spans="1:9" x14ac:dyDescent="0.2">
      <c r="A25" s="3">
        <v>39448</v>
      </c>
      <c r="B25" s="3">
        <v>39814</v>
      </c>
      <c r="C25" s="4">
        <v>16787</v>
      </c>
      <c r="D25" s="4">
        <v>10871</v>
      </c>
      <c r="E25" s="4">
        <v>10504</v>
      </c>
      <c r="F25" s="4">
        <v>15840</v>
      </c>
      <c r="G25" s="4">
        <v>11295</v>
      </c>
      <c r="H25" s="4">
        <v>23356</v>
      </c>
      <c r="I25" s="4">
        <v>15554</v>
      </c>
    </row>
    <row r="26" spans="1:9" x14ac:dyDescent="0.2">
      <c r="A26" s="3">
        <v>39814</v>
      </c>
      <c r="B26" s="3">
        <v>40179</v>
      </c>
      <c r="C26" s="4">
        <v>16955</v>
      </c>
      <c r="D26" s="4">
        <v>11819</v>
      </c>
      <c r="E26" s="4">
        <v>9554</v>
      </c>
      <c r="F26" s="4">
        <v>17137</v>
      </c>
      <c r="G26" s="4">
        <v>11203</v>
      </c>
      <c r="H26" s="4">
        <v>19385</v>
      </c>
      <c r="I26" s="4">
        <v>14647</v>
      </c>
    </row>
    <row r="27" spans="1:9" x14ac:dyDescent="0.2">
      <c r="A27" s="3">
        <v>40179</v>
      </c>
      <c r="B27" s="3">
        <v>40544</v>
      </c>
      <c r="C27" s="4">
        <v>16212</v>
      </c>
      <c r="D27" s="4">
        <v>12018</v>
      </c>
      <c r="E27" s="4">
        <v>9814</v>
      </c>
      <c r="F27" s="4">
        <v>14627</v>
      </c>
      <c r="G27" s="4">
        <v>10721</v>
      </c>
      <c r="H27" s="4">
        <v>18581</v>
      </c>
      <c r="I27" s="4">
        <v>14346</v>
      </c>
    </row>
    <row r="28" spans="1:9" x14ac:dyDescent="0.2">
      <c r="A28" s="3">
        <v>40544</v>
      </c>
      <c r="B28" s="3">
        <v>40909</v>
      </c>
      <c r="C28" s="4">
        <v>15491</v>
      </c>
      <c r="D28" s="4">
        <v>11262</v>
      </c>
      <c r="E28" s="4">
        <v>9043</v>
      </c>
      <c r="F28" s="4">
        <v>14274</v>
      </c>
      <c r="G28" s="4">
        <v>11411</v>
      </c>
      <c r="H28" s="4">
        <v>16640</v>
      </c>
      <c r="I28" s="4">
        <v>13759</v>
      </c>
    </row>
    <row r="29" spans="1:9" x14ac:dyDescent="0.2">
      <c r="A29" s="3">
        <v>40909</v>
      </c>
      <c r="B29" s="3">
        <v>41275</v>
      </c>
      <c r="C29" s="4">
        <v>15683</v>
      </c>
      <c r="D29" s="4">
        <v>11617</v>
      </c>
      <c r="E29" s="4">
        <v>8882</v>
      </c>
      <c r="F29" s="4">
        <v>13255</v>
      </c>
      <c r="G29" s="4">
        <v>10128</v>
      </c>
      <c r="H29" s="4">
        <v>17140</v>
      </c>
      <c r="I29" s="4">
        <v>13675</v>
      </c>
    </row>
    <row r="30" spans="1:9" x14ac:dyDescent="0.2">
      <c r="A30" s="3">
        <v>41275</v>
      </c>
      <c r="B30" s="3">
        <v>41640</v>
      </c>
      <c r="C30" s="4">
        <v>16642</v>
      </c>
      <c r="D30" s="4">
        <v>11451</v>
      </c>
      <c r="E30" s="4">
        <v>8847</v>
      </c>
      <c r="F30" s="4">
        <v>13791</v>
      </c>
      <c r="G30" s="4">
        <v>10508</v>
      </c>
      <c r="H30" s="4">
        <v>15523</v>
      </c>
      <c r="I30" s="4">
        <v>13260</v>
      </c>
    </row>
    <row r="31" spans="1:9" x14ac:dyDescent="0.2">
      <c r="A31" s="3">
        <v>41640</v>
      </c>
      <c r="B31" s="3">
        <v>42005</v>
      </c>
      <c r="C31" s="4">
        <v>15011</v>
      </c>
      <c r="D31" s="4">
        <v>11953</v>
      </c>
      <c r="E31" s="4">
        <v>8624</v>
      </c>
      <c r="F31" s="4">
        <v>13086</v>
      </c>
      <c r="G31" s="4">
        <v>10673</v>
      </c>
      <c r="H31" s="4">
        <v>13936</v>
      </c>
      <c r="I31" s="4">
        <v>12579</v>
      </c>
    </row>
    <row r="32" spans="1:9" x14ac:dyDescent="0.2">
      <c r="A32" s="3">
        <v>42005</v>
      </c>
      <c r="B32" s="3">
        <v>42370</v>
      </c>
      <c r="C32" s="4">
        <v>14786</v>
      </c>
      <c r="D32" s="4">
        <v>12158</v>
      </c>
      <c r="E32" s="4">
        <v>8974</v>
      </c>
      <c r="F32" s="4">
        <v>12979</v>
      </c>
      <c r="G32" s="4">
        <v>10450</v>
      </c>
      <c r="H32" s="4">
        <v>12524</v>
      </c>
      <c r="I32" s="4">
        <v>11933</v>
      </c>
    </row>
    <row r="33" spans="1:10" x14ac:dyDescent="0.2">
      <c r="A33" s="3">
        <v>42370</v>
      </c>
      <c r="B33" s="3">
        <v>42736</v>
      </c>
      <c r="C33" s="4">
        <v>15037</v>
      </c>
      <c r="D33" s="4">
        <v>11591</v>
      </c>
      <c r="E33" s="4">
        <v>8640</v>
      </c>
      <c r="F33" s="4">
        <v>12908</v>
      </c>
      <c r="G33" s="4">
        <v>10746</v>
      </c>
      <c r="H33" s="4">
        <v>11954</v>
      </c>
      <c r="I33" s="4">
        <v>11388</v>
      </c>
    </row>
    <row r="34" spans="1:10" x14ac:dyDescent="0.2">
      <c r="A34" s="3">
        <v>42736</v>
      </c>
      <c r="B34" s="3">
        <v>43101</v>
      </c>
      <c r="C34" s="4">
        <v>13099</v>
      </c>
      <c r="D34" s="4">
        <v>9879</v>
      </c>
      <c r="E34" s="4">
        <v>8591</v>
      </c>
      <c r="F34" s="4">
        <v>12807</v>
      </c>
      <c r="G34" s="4">
        <v>10600</v>
      </c>
      <c r="H34" s="4">
        <v>12054</v>
      </c>
      <c r="I34" s="4">
        <v>11564</v>
      </c>
    </row>
    <row r="35" spans="1:10" x14ac:dyDescent="0.2">
      <c r="A35" s="3">
        <v>43101</v>
      </c>
      <c r="B35" s="3">
        <v>43466</v>
      </c>
      <c r="C35" s="4">
        <v>12324</v>
      </c>
      <c r="D35" s="4">
        <v>9888</v>
      </c>
      <c r="E35" s="4">
        <v>9330</v>
      </c>
      <c r="F35" s="4">
        <v>13076</v>
      </c>
      <c r="G35" s="4">
        <v>10713</v>
      </c>
      <c r="H35" s="4">
        <v>11525</v>
      </c>
      <c r="I35" s="4">
        <v>11359</v>
      </c>
    </row>
    <row r="36" spans="1:10" x14ac:dyDescent="0.2">
      <c r="A36" s="3">
        <v>43466</v>
      </c>
      <c r="B36" s="3">
        <v>43831</v>
      </c>
      <c r="C36" s="4">
        <v>12852</v>
      </c>
      <c r="D36" s="4">
        <v>8938</v>
      </c>
      <c r="E36" s="4">
        <v>8951</v>
      </c>
      <c r="F36" s="4">
        <v>13456</v>
      </c>
      <c r="G36" s="4">
        <v>10417</v>
      </c>
      <c r="H36" s="4">
        <v>10378</v>
      </c>
      <c r="I36" s="4">
        <v>10736</v>
      </c>
    </row>
    <row r="37" spans="1:10" x14ac:dyDescent="0.2">
      <c r="A37" s="3">
        <v>43831</v>
      </c>
      <c r="B37" s="3">
        <v>44197</v>
      </c>
      <c r="C37" s="4">
        <v>12156</v>
      </c>
      <c r="D37" s="4">
        <v>10363</v>
      </c>
      <c r="E37" s="4">
        <v>8277</v>
      </c>
      <c r="F37" s="4">
        <v>13707</v>
      </c>
      <c r="G37" s="4">
        <v>10455</v>
      </c>
      <c r="H37" s="4">
        <v>10878</v>
      </c>
      <c r="I37" s="4">
        <v>10915</v>
      </c>
      <c r="J37" s="4"/>
    </row>
    <row r="38" spans="1:10" x14ac:dyDescent="0.2">
      <c r="A38" s="3">
        <v>44197</v>
      </c>
      <c r="B38" s="3">
        <v>44562</v>
      </c>
      <c r="C38" s="4">
        <v>12659</v>
      </c>
      <c r="D38" s="4">
        <v>9366</v>
      </c>
      <c r="E38" s="4">
        <v>8108</v>
      </c>
      <c r="F38" s="4">
        <v>13132</v>
      </c>
      <c r="G38" s="4">
        <v>11040</v>
      </c>
      <c r="H38" s="4">
        <v>10055</v>
      </c>
      <c r="I38" s="4">
        <v>10545</v>
      </c>
      <c r="J38" s="4"/>
    </row>
  </sheetData>
  <hyperlinks>
    <hyperlink ref="K1" r:id="rId1" display="http://www.world-aluminium.org/statistics/" xr:uid="{00000000-0004-0000-0C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8"/>
  <sheetViews>
    <sheetView zoomScale="80" zoomScaleNormal="80" workbookViewId="0">
      <selection activeCell="G26" sqref="G26"/>
    </sheetView>
  </sheetViews>
  <sheetFormatPr defaultColWidth="8.85546875" defaultRowHeight="15" x14ac:dyDescent="0.25"/>
  <cols>
    <col min="2" max="2" width="10.28515625" customWidth="1"/>
    <col min="3" max="3" width="23.85546875" bestFit="1" customWidth="1"/>
    <col min="4" max="4" width="38.42578125" customWidth="1"/>
    <col min="5" max="5" width="12.140625" customWidth="1"/>
    <col min="6" max="6" width="21.28515625" bestFit="1" customWidth="1"/>
    <col min="7" max="7" width="21.42578125" bestFit="1" customWidth="1"/>
  </cols>
  <sheetData>
    <row r="1" spans="1:7" x14ac:dyDescent="0.25">
      <c r="A1" t="s">
        <v>51</v>
      </c>
    </row>
    <row r="2" spans="1:7" x14ac:dyDescent="0.25">
      <c r="A2" s="1" t="s">
        <v>52</v>
      </c>
    </row>
    <row r="5" spans="1:7" x14ac:dyDescent="0.25">
      <c r="A5" s="8" t="s">
        <v>34</v>
      </c>
      <c r="B5" s="8" t="s">
        <v>13</v>
      </c>
      <c r="C5" s="8" t="s">
        <v>56</v>
      </c>
      <c r="D5" s="8" t="s">
        <v>0</v>
      </c>
      <c r="E5" s="8" t="s">
        <v>1</v>
      </c>
      <c r="F5" s="8" t="s">
        <v>54</v>
      </c>
      <c r="G5" s="8" t="s">
        <v>53</v>
      </c>
    </row>
    <row r="6" spans="1:7" x14ac:dyDescent="0.25">
      <c r="A6" s="9" t="s">
        <v>55</v>
      </c>
      <c r="B6" s="9">
        <v>1971</v>
      </c>
      <c r="C6" s="9" t="s">
        <v>57</v>
      </c>
      <c r="D6" s="9" t="s">
        <v>68</v>
      </c>
      <c r="E6" s="9" t="s">
        <v>58</v>
      </c>
      <c r="F6" s="9" t="s">
        <v>59</v>
      </c>
      <c r="G6" s="9">
        <f>1940</f>
        <v>1940</v>
      </c>
    </row>
    <row r="7" spans="1:7" x14ac:dyDescent="0.25">
      <c r="A7" s="9" t="s">
        <v>55</v>
      </c>
      <c r="B7" s="9">
        <v>1971</v>
      </c>
      <c r="C7" s="9" t="s">
        <v>57</v>
      </c>
      <c r="D7" s="9" t="s">
        <v>68</v>
      </c>
      <c r="E7" s="9" t="s">
        <v>58</v>
      </c>
      <c r="F7" s="9" t="s">
        <v>61</v>
      </c>
      <c r="G7" s="9">
        <f>G6*Btu_to_GJ*lb_to_metrictonne</f>
        <v>4.5335859557680003</v>
      </c>
    </row>
    <row r="9" spans="1:7" x14ac:dyDescent="0.25">
      <c r="A9" s="9"/>
      <c r="B9" s="9"/>
      <c r="C9" s="9"/>
      <c r="D9" s="9"/>
      <c r="E9" s="9"/>
      <c r="F9" s="9"/>
      <c r="G9" s="9"/>
    </row>
    <row r="10" spans="1:7" x14ac:dyDescent="0.25">
      <c r="A10" s="9" t="s">
        <v>55</v>
      </c>
      <c r="B10" s="9">
        <v>1971</v>
      </c>
      <c r="C10" s="9" t="s">
        <v>69</v>
      </c>
      <c r="D10" s="9" t="s">
        <v>71</v>
      </c>
      <c r="E10" s="9" t="s">
        <v>86</v>
      </c>
      <c r="F10" s="9" t="s">
        <v>59</v>
      </c>
      <c r="G10" s="9">
        <f>800*(1/0.8)</f>
        <v>1000</v>
      </c>
    </row>
    <row r="11" spans="1:7" x14ac:dyDescent="0.25">
      <c r="A11" s="9" t="s">
        <v>55</v>
      </c>
      <c r="B11" s="9">
        <v>1971</v>
      </c>
      <c r="C11" s="9" t="s">
        <v>69</v>
      </c>
      <c r="D11" s="9" t="s">
        <v>71</v>
      </c>
      <c r="E11" s="9" t="s">
        <v>86</v>
      </c>
      <c r="F11" s="9" t="s">
        <v>61</v>
      </c>
      <c r="G11" s="9">
        <f>G10*Btu_to_GJ*lb_to_metrictonne</f>
        <v>2.3368999771999999</v>
      </c>
    </row>
    <row r="13" spans="1:7" x14ac:dyDescent="0.25">
      <c r="A13" s="9"/>
      <c r="B13" s="9"/>
      <c r="C13" s="9"/>
      <c r="D13" s="9"/>
      <c r="E13" s="9"/>
      <c r="F13" s="9"/>
      <c r="G13" s="9"/>
    </row>
    <row r="14" spans="1:7" x14ac:dyDescent="0.25">
      <c r="A14" s="9" t="s">
        <v>55</v>
      </c>
      <c r="B14" s="9">
        <v>1971</v>
      </c>
      <c r="C14" s="9" t="s">
        <v>70</v>
      </c>
      <c r="D14" s="9" t="s">
        <v>71</v>
      </c>
      <c r="E14" s="9" t="s">
        <v>86</v>
      </c>
      <c r="F14" s="9" t="s">
        <v>59</v>
      </c>
      <c r="G14" s="9">
        <f>800</f>
        <v>800</v>
      </c>
    </row>
    <row r="15" spans="1:7" x14ac:dyDescent="0.25">
      <c r="A15" s="9" t="s">
        <v>55</v>
      </c>
      <c r="B15" s="9">
        <v>1971</v>
      </c>
      <c r="C15" s="9" t="s">
        <v>70</v>
      </c>
      <c r="D15" s="9" t="s">
        <v>71</v>
      </c>
      <c r="E15" s="9" t="s">
        <v>86</v>
      </c>
      <c r="F15" s="9" t="s">
        <v>61</v>
      </c>
      <c r="G15" s="9">
        <f>G14*Btu_to_GJ*lb_to_metrictonne</f>
        <v>1.8695199817600001</v>
      </c>
    </row>
    <row r="17" spans="1:7" x14ac:dyDescent="0.25">
      <c r="A17" s="9"/>
      <c r="B17" s="9"/>
      <c r="C17" s="9"/>
      <c r="D17" s="9"/>
      <c r="E17" s="9"/>
      <c r="F17" s="9"/>
      <c r="G17" s="9"/>
    </row>
    <row r="18" spans="1:7" x14ac:dyDescent="0.25">
      <c r="A18" s="9"/>
      <c r="B18" s="9"/>
      <c r="D18" s="9"/>
    </row>
    <row r="19" spans="1:7" x14ac:dyDescent="0.25">
      <c r="A19" s="9"/>
      <c r="B19" s="9"/>
      <c r="D19" s="9"/>
    </row>
    <row r="20" spans="1:7" x14ac:dyDescent="0.25">
      <c r="A20" s="9"/>
      <c r="B20" s="9"/>
      <c r="D20" s="9"/>
    </row>
    <row r="21" spans="1:7" x14ac:dyDescent="0.25">
      <c r="A21" s="9"/>
      <c r="B21" s="9"/>
      <c r="D21" s="9"/>
    </row>
    <row r="39" spans="1:7" x14ac:dyDescent="0.25">
      <c r="A39" s="8" t="s">
        <v>34</v>
      </c>
      <c r="B39" s="8" t="s">
        <v>13</v>
      </c>
      <c r="C39" s="8" t="s">
        <v>56</v>
      </c>
      <c r="D39" s="8" t="s">
        <v>0</v>
      </c>
      <c r="E39" s="8" t="s">
        <v>1</v>
      </c>
      <c r="F39" s="8" t="s">
        <v>54</v>
      </c>
      <c r="G39" s="8" t="s">
        <v>85</v>
      </c>
    </row>
    <row r="40" spans="1:7" x14ac:dyDescent="0.25">
      <c r="A40" s="9" t="s">
        <v>55</v>
      </c>
      <c r="B40" s="9">
        <v>1971</v>
      </c>
      <c r="C40" s="9" t="s">
        <v>78</v>
      </c>
      <c r="D40" s="9" t="s">
        <v>66</v>
      </c>
      <c r="E40" s="9" t="s">
        <v>87</v>
      </c>
      <c r="F40" s="9" t="s">
        <v>84</v>
      </c>
      <c r="G40" s="9">
        <v>1540</v>
      </c>
    </row>
    <row r="41" spans="1:7" x14ac:dyDescent="0.25">
      <c r="A41" s="9" t="s">
        <v>55</v>
      </c>
      <c r="B41" s="9">
        <v>1971</v>
      </c>
      <c r="C41" s="9" t="s">
        <v>79</v>
      </c>
      <c r="D41" s="9" t="s">
        <v>66</v>
      </c>
      <c r="E41" s="9" t="s">
        <v>86</v>
      </c>
      <c r="F41" s="9" t="s">
        <v>84</v>
      </c>
      <c r="G41" s="9">
        <v>7825</v>
      </c>
    </row>
    <row r="42" spans="1:7" x14ac:dyDescent="0.25">
      <c r="A42" s="9" t="s">
        <v>55</v>
      </c>
      <c r="B42" s="9">
        <v>1971</v>
      </c>
      <c r="C42" s="9" t="s">
        <v>80</v>
      </c>
      <c r="D42" s="9" t="s">
        <v>66</v>
      </c>
      <c r="E42" s="9" t="s">
        <v>58</v>
      </c>
      <c r="F42" s="9" t="s">
        <v>84</v>
      </c>
      <c r="G42" s="9">
        <v>15300</v>
      </c>
    </row>
    <row r="43" spans="1:7" x14ac:dyDescent="0.25">
      <c r="A43" s="9" t="s">
        <v>55</v>
      </c>
      <c r="B43" s="9">
        <v>1971</v>
      </c>
      <c r="C43" s="54" t="s">
        <v>82</v>
      </c>
      <c r="D43" s="9" t="s">
        <v>66</v>
      </c>
      <c r="F43" s="9" t="s">
        <v>84</v>
      </c>
      <c r="G43" s="9">
        <v>697</v>
      </c>
    </row>
    <row r="44" spans="1:7" x14ac:dyDescent="0.25">
      <c r="A44" s="9" t="s">
        <v>55</v>
      </c>
      <c r="B44" s="9">
        <v>1971</v>
      </c>
      <c r="C44" s="54" t="s">
        <v>81</v>
      </c>
      <c r="D44" s="9" t="s">
        <v>66</v>
      </c>
      <c r="E44" s="9"/>
      <c r="F44" s="9" t="s">
        <v>84</v>
      </c>
      <c r="G44" s="9">
        <v>695</v>
      </c>
    </row>
    <row r="45" spans="1:7" x14ac:dyDescent="0.25">
      <c r="C45" s="9"/>
    </row>
    <row r="46" spans="1:7" x14ac:dyDescent="0.25">
      <c r="A46" s="9" t="s">
        <v>55</v>
      </c>
      <c r="B46" s="9">
        <v>1971</v>
      </c>
      <c r="C46" s="9" t="s">
        <v>78</v>
      </c>
      <c r="D46" s="9" t="s">
        <v>66</v>
      </c>
      <c r="E46" s="9" t="s">
        <v>87</v>
      </c>
      <c r="F46" s="9" t="s">
        <v>83</v>
      </c>
      <c r="G46" s="9">
        <f>G40/2</f>
        <v>770</v>
      </c>
    </row>
    <row r="47" spans="1:7" x14ac:dyDescent="0.25">
      <c r="A47" s="9" t="s">
        <v>55</v>
      </c>
      <c r="B47" s="9">
        <v>1971</v>
      </c>
      <c r="C47" s="9" t="s">
        <v>79</v>
      </c>
      <c r="D47" s="9" t="s">
        <v>66</v>
      </c>
      <c r="E47" s="9" t="s">
        <v>86</v>
      </c>
      <c r="F47" s="9" t="s">
        <v>83</v>
      </c>
      <c r="G47" s="9">
        <f t="shared" ref="G47:G50" si="0">G41/2</f>
        <v>3912.5</v>
      </c>
    </row>
    <row r="48" spans="1:7" x14ac:dyDescent="0.25">
      <c r="A48" s="9" t="s">
        <v>55</v>
      </c>
      <c r="B48" s="9">
        <v>1971</v>
      </c>
      <c r="C48" s="9" t="s">
        <v>80</v>
      </c>
      <c r="D48" s="9" t="s">
        <v>66</v>
      </c>
      <c r="E48" s="9" t="s">
        <v>58</v>
      </c>
      <c r="F48" s="9" t="s">
        <v>83</v>
      </c>
      <c r="G48" s="9">
        <f t="shared" si="0"/>
        <v>7650</v>
      </c>
    </row>
    <row r="49" spans="1:7" x14ac:dyDescent="0.25">
      <c r="A49" s="9" t="s">
        <v>55</v>
      </c>
      <c r="B49" s="9">
        <v>1971</v>
      </c>
      <c r="C49" s="54" t="s">
        <v>82</v>
      </c>
      <c r="D49" s="9" t="s">
        <v>66</v>
      </c>
      <c r="F49" s="9" t="s">
        <v>83</v>
      </c>
      <c r="G49" s="9">
        <f t="shared" si="0"/>
        <v>348.5</v>
      </c>
    </row>
    <row r="50" spans="1:7" x14ac:dyDescent="0.25">
      <c r="A50" s="9" t="s">
        <v>55</v>
      </c>
      <c r="B50" s="9">
        <v>1971</v>
      </c>
      <c r="C50" s="54" t="s">
        <v>81</v>
      </c>
      <c r="D50" s="9" t="s">
        <v>66</v>
      </c>
      <c r="F50" s="9" t="s">
        <v>83</v>
      </c>
      <c r="G50" s="9">
        <f t="shared" si="0"/>
        <v>347.5</v>
      </c>
    </row>
    <row r="52" spans="1:7" x14ac:dyDescent="0.25">
      <c r="A52" s="9" t="s">
        <v>55</v>
      </c>
      <c r="B52" s="9">
        <v>1971</v>
      </c>
      <c r="C52" s="9" t="s">
        <v>78</v>
      </c>
      <c r="D52" s="9" t="s">
        <v>66</v>
      </c>
      <c r="E52" s="9" t="s">
        <v>87</v>
      </c>
      <c r="F52" s="9" t="s">
        <v>35</v>
      </c>
      <c r="G52" s="9">
        <f>G46*kWh_to_GJ</f>
        <v>2.7719999999999998</v>
      </c>
    </row>
    <row r="53" spans="1:7" x14ac:dyDescent="0.25">
      <c r="A53" s="9" t="s">
        <v>55</v>
      </c>
      <c r="B53" s="9">
        <v>1971</v>
      </c>
      <c r="C53" s="9" t="s">
        <v>79</v>
      </c>
      <c r="D53" s="9" t="s">
        <v>66</v>
      </c>
      <c r="E53" s="9" t="s">
        <v>86</v>
      </c>
      <c r="F53" s="9" t="s">
        <v>35</v>
      </c>
      <c r="G53" s="9">
        <f>G47*kWh_to_GJ</f>
        <v>14.084999999999999</v>
      </c>
    </row>
    <row r="54" spans="1:7" x14ac:dyDescent="0.25">
      <c r="A54" s="9" t="s">
        <v>55</v>
      </c>
      <c r="B54" s="9">
        <v>1971</v>
      </c>
      <c r="C54" s="9" t="s">
        <v>80</v>
      </c>
      <c r="D54" s="9" t="s">
        <v>66</v>
      </c>
      <c r="E54" s="9" t="s">
        <v>58</v>
      </c>
      <c r="F54" s="9" t="s">
        <v>35</v>
      </c>
      <c r="G54" s="9">
        <f>G48*kWh_to_GJ</f>
        <v>27.54</v>
      </c>
    </row>
    <row r="55" spans="1:7" x14ac:dyDescent="0.25">
      <c r="A55" s="9" t="s">
        <v>55</v>
      </c>
      <c r="B55" s="9">
        <v>1971</v>
      </c>
      <c r="C55" s="54" t="s">
        <v>82</v>
      </c>
      <c r="D55" s="9" t="s">
        <v>66</v>
      </c>
      <c r="F55" s="9" t="s">
        <v>35</v>
      </c>
      <c r="G55" s="9">
        <f>G49*kWh_to_GJ</f>
        <v>1.2545999999999999</v>
      </c>
    </row>
    <row r="56" spans="1:7" x14ac:dyDescent="0.25">
      <c r="A56" s="9" t="s">
        <v>55</v>
      </c>
      <c r="B56" s="9">
        <v>1971</v>
      </c>
      <c r="C56" s="54" t="s">
        <v>81</v>
      </c>
      <c r="D56" s="9" t="s">
        <v>66</v>
      </c>
      <c r="E56" s="9"/>
      <c r="F56" s="9" t="s">
        <v>35</v>
      </c>
      <c r="G56" s="9">
        <f>G50*kWh_to_GJ</f>
        <v>1.2509999999999999</v>
      </c>
    </row>
    <row r="58" spans="1:7" x14ac:dyDescent="0.25">
      <c r="A58" s="9" t="s">
        <v>55</v>
      </c>
      <c r="B58" s="9">
        <v>1971</v>
      </c>
      <c r="C58" s="54" t="s">
        <v>88</v>
      </c>
      <c r="D58" s="9" t="s">
        <v>66</v>
      </c>
      <c r="F58" s="9" t="s">
        <v>35</v>
      </c>
      <c r="G58" s="9">
        <f>SUM(G52:G56)</f>
        <v>46.9026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40"/>
  <sheetViews>
    <sheetView zoomScale="80" zoomScaleNormal="80" workbookViewId="0">
      <selection activeCell="D38" sqref="D38"/>
    </sheetView>
  </sheetViews>
  <sheetFormatPr defaultColWidth="8.85546875" defaultRowHeight="15" x14ac:dyDescent="0.25"/>
  <cols>
    <col min="1" max="1" width="9.140625" style="9"/>
    <col min="2" max="2" width="21.42578125" customWidth="1"/>
    <col min="3" max="3" width="19.85546875" bestFit="1" customWidth="1"/>
    <col min="4" max="4" width="13.28515625" customWidth="1"/>
    <col min="5" max="5" width="25.28515625" bestFit="1" customWidth="1"/>
    <col min="6" max="7" width="17" bestFit="1" customWidth="1"/>
  </cols>
  <sheetData>
    <row r="1" spans="1:7" x14ac:dyDescent="0.25">
      <c r="A1" t="s">
        <v>89</v>
      </c>
    </row>
    <row r="2" spans="1:7" x14ac:dyDescent="0.25">
      <c r="A2" s="1" t="s">
        <v>90</v>
      </c>
    </row>
    <row r="5" spans="1:7" x14ac:dyDescent="0.25">
      <c r="A5" s="8" t="s">
        <v>120</v>
      </c>
      <c r="B5" s="8" t="s">
        <v>91</v>
      </c>
      <c r="C5" s="8" t="s">
        <v>92</v>
      </c>
      <c r="D5" s="8" t="s">
        <v>93</v>
      </c>
      <c r="E5" s="8" t="s">
        <v>94</v>
      </c>
      <c r="F5" s="8" t="s">
        <v>95</v>
      </c>
      <c r="G5" s="8"/>
    </row>
    <row r="6" spans="1:7" x14ac:dyDescent="0.25">
      <c r="A6" s="9" t="s">
        <v>121</v>
      </c>
      <c r="B6" s="9" t="s">
        <v>97</v>
      </c>
      <c r="C6" s="9" t="s">
        <v>98</v>
      </c>
      <c r="D6" s="9">
        <v>11.2</v>
      </c>
      <c r="E6" s="9" t="s">
        <v>96</v>
      </c>
      <c r="F6" s="9">
        <v>75</v>
      </c>
      <c r="G6" s="9"/>
    </row>
    <row r="7" spans="1:7" x14ac:dyDescent="0.25">
      <c r="A7" s="9" t="s">
        <v>121</v>
      </c>
      <c r="B7" s="9" t="s">
        <v>97</v>
      </c>
      <c r="C7" s="9" t="s">
        <v>99</v>
      </c>
      <c r="D7" s="9">
        <v>2.2000000000000002</v>
      </c>
      <c r="E7" s="9" t="s">
        <v>96</v>
      </c>
      <c r="F7" s="9">
        <v>75</v>
      </c>
      <c r="G7" s="9"/>
    </row>
    <row r="8" spans="1:7" x14ac:dyDescent="0.25">
      <c r="A8" s="9" t="s">
        <v>121</v>
      </c>
      <c r="B8" s="9" t="s">
        <v>97</v>
      </c>
      <c r="C8" s="9" t="s">
        <v>100</v>
      </c>
      <c r="D8" s="9">
        <v>4.2</v>
      </c>
      <c r="E8" s="9" t="s">
        <v>96</v>
      </c>
      <c r="F8" s="9" t="s">
        <v>110</v>
      </c>
      <c r="G8" s="9"/>
    </row>
    <row r="9" spans="1:7" x14ac:dyDescent="0.25">
      <c r="A9" s="9" t="s">
        <v>121</v>
      </c>
      <c r="B9" s="9" t="s">
        <v>101</v>
      </c>
      <c r="C9" s="9" t="s">
        <v>98</v>
      </c>
      <c r="D9" s="9">
        <v>11.2</v>
      </c>
      <c r="E9" s="9" t="s">
        <v>96</v>
      </c>
      <c r="F9" s="9">
        <v>75</v>
      </c>
      <c r="G9" s="9"/>
    </row>
    <row r="10" spans="1:7" x14ac:dyDescent="0.25">
      <c r="A10" s="9" t="s">
        <v>121</v>
      </c>
      <c r="B10" s="9" t="s">
        <v>101</v>
      </c>
      <c r="C10" s="9" t="s">
        <v>99</v>
      </c>
      <c r="D10" s="9">
        <v>2.2000000000000002</v>
      </c>
      <c r="E10" s="9" t="s">
        <v>96</v>
      </c>
      <c r="F10" s="9">
        <v>75</v>
      </c>
      <c r="G10" s="9"/>
    </row>
    <row r="11" spans="1:7" x14ac:dyDescent="0.25">
      <c r="A11" s="9" t="s">
        <v>121</v>
      </c>
      <c r="B11" s="9" t="s">
        <v>101</v>
      </c>
      <c r="C11" s="9" t="s">
        <v>100</v>
      </c>
      <c r="D11" s="9">
        <v>0.3</v>
      </c>
      <c r="E11" s="9" t="s">
        <v>96</v>
      </c>
      <c r="F11" s="9" t="s">
        <v>110</v>
      </c>
      <c r="G11" s="9"/>
    </row>
    <row r="12" spans="1:7" x14ac:dyDescent="0.25">
      <c r="A12" s="9" t="s">
        <v>121</v>
      </c>
      <c r="B12" s="9" t="s">
        <v>102</v>
      </c>
      <c r="C12" s="9" t="s">
        <v>103</v>
      </c>
      <c r="D12" s="9">
        <v>8.44</v>
      </c>
      <c r="E12" s="9" t="s">
        <v>96</v>
      </c>
      <c r="F12" s="9">
        <v>75</v>
      </c>
      <c r="G12" s="9"/>
    </row>
    <row r="13" spans="1:7" x14ac:dyDescent="0.25">
      <c r="A13" s="9" t="s">
        <v>121</v>
      </c>
      <c r="B13" s="9" t="s">
        <v>102</v>
      </c>
      <c r="C13" s="9" t="s">
        <v>100</v>
      </c>
      <c r="D13" s="9">
        <v>1</v>
      </c>
      <c r="E13" s="9" t="s">
        <v>96</v>
      </c>
      <c r="F13" s="9" t="s">
        <v>110</v>
      </c>
      <c r="G13" s="9"/>
    </row>
    <row r="14" spans="1:7" x14ac:dyDescent="0.25">
      <c r="A14" s="9" t="s">
        <v>121</v>
      </c>
      <c r="B14" s="9" t="s">
        <v>104</v>
      </c>
      <c r="C14" s="9" t="s">
        <v>105</v>
      </c>
      <c r="D14" s="9">
        <v>8.44</v>
      </c>
      <c r="E14" s="9" t="s">
        <v>96</v>
      </c>
      <c r="F14" s="9">
        <v>75</v>
      </c>
      <c r="G14" s="9"/>
    </row>
    <row r="15" spans="1:7" x14ac:dyDescent="0.25">
      <c r="A15" s="55" t="s">
        <v>121</v>
      </c>
      <c r="B15" s="55" t="s">
        <v>104</v>
      </c>
      <c r="C15" s="55" t="s">
        <v>106</v>
      </c>
      <c r="D15" s="55">
        <v>2.6</v>
      </c>
      <c r="E15" s="55" t="s">
        <v>96</v>
      </c>
      <c r="F15" s="55" t="s">
        <v>110</v>
      </c>
      <c r="G15" s="55"/>
    </row>
    <row r="16" spans="1:7" x14ac:dyDescent="0.25">
      <c r="A16" s="9" t="s">
        <v>121</v>
      </c>
      <c r="B16" s="9" t="s">
        <v>107</v>
      </c>
      <c r="C16" s="9" t="s">
        <v>108</v>
      </c>
      <c r="D16" s="9" t="s">
        <v>110</v>
      </c>
      <c r="E16" s="9" t="s">
        <v>96</v>
      </c>
      <c r="F16" s="9">
        <v>75</v>
      </c>
      <c r="G16" s="9"/>
    </row>
    <row r="17" spans="1:7" x14ac:dyDescent="0.25">
      <c r="A17" s="9" t="s">
        <v>121</v>
      </c>
      <c r="B17" s="9" t="s">
        <v>107</v>
      </c>
      <c r="C17" s="9" t="s">
        <v>109</v>
      </c>
      <c r="D17" s="9" t="s">
        <v>110</v>
      </c>
      <c r="E17" s="9" t="s">
        <v>96</v>
      </c>
      <c r="F17" s="9">
        <v>75</v>
      </c>
      <c r="G17" s="9"/>
    </row>
    <row r="18" spans="1:7" x14ac:dyDescent="0.25">
      <c r="A18" s="9" t="s">
        <v>121</v>
      </c>
      <c r="B18" s="9" t="s">
        <v>107</v>
      </c>
      <c r="C18" s="9" t="s">
        <v>105</v>
      </c>
      <c r="D18" s="9">
        <v>12.47</v>
      </c>
      <c r="E18" s="9" t="s">
        <v>96</v>
      </c>
      <c r="F18" s="9">
        <v>75</v>
      </c>
      <c r="G18" s="9"/>
    </row>
    <row r="19" spans="1:7" x14ac:dyDescent="0.25">
      <c r="A19" s="9" t="s">
        <v>121</v>
      </c>
      <c r="B19" s="9" t="s">
        <v>107</v>
      </c>
      <c r="C19" s="9" t="s">
        <v>100</v>
      </c>
      <c r="D19" s="9">
        <v>54.6</v>
      </c>
      <c r="E19" s="9" t="s">
        <v>96</v>
      </c>
      <c r="F19" s="9" t="s">
        <v>110</v>
      </c>
      <c r="G19" s="9"/>
    </row>
    <row r="20" spans="1:7" x14ac:dyDescent="0.25">
      <c r="A20" s="9" t="s">
        <v>121</v>
      </c>
      <c r="B20" s="9" t="s">
        <v>111</v>
      </c>
      <c r="C20" s="9" t="s">
        <v>113</v>
      </c>
      <c r="D20" s="9">
        <v>1.23</v>
      </c>
      <c r="E20" s="9" t="s">
        <v>96</v>
      </c>
      <c r="F20" s="9">
        <v>1800</v>
      </c>
      <c r="G20" s="9"/>
    </row>
    <row r="21" spans="1:7" x14ac:dyDescent="0.25">
      <c r="A21" s="9" t="s">
        <v>121</v>
      </c>
      <c r="B21" s="9" t="s">
        <v>111</v>
      </c>
      <c r="C21" s="9" t="s">
        <v>100</v>
      </c>
      <c r="D21" s="9">
        <v>0.2</v>
      </c>
      <c r="E21" s="9" t="s">
        <v>96</v>
      </c>
      <c r="F21" s="9" t="s">
        <v>110</v>
      </c>
      <c r="G21" s="9"/>
    </row>
    <row r="22" spans="1:7" x14ac:dyDescent="0.25">
      <c r="A22" s="9" t="s">
        <v>121</v>
      </c>
      <c r="B22" s="9" t="s">
        <v>111</v>
      </c>
      <c r="C22" s="9" t="s">
        <v>114</v>
      </c>
      <c r="D22" s="9" t="s">
        <v>110</v>
      </c>
      <c r="E22" s="9" t="s">
        <v>96</v>
      </c>
      <c r="F22" s="9">
        <v>75</v>
      </c>
      <c r="G22" s="9"/>
    </row>
    <row r="23" spans="1:7" x14ac:dyDescent="0.25">
      <c r="A23" s="9" t="s">
        <v>121</v>
      </c>
      <c r="B23" s="9" t="s">
        <v>112</v>
      </c>
      <c r="C23" s="9" t="s">
        <v>115</v>
      </c>
      <c r="D23" s="9">
        <v>0.33</v>
      </c>
      <c r="E23" s="9" t="s">
        <v>96</v>
      </c>
      <c r="F23" s="9">
        <v>700</v>
      </c>
      <c r="G23" s="9"/>
    </row>
    <row r="24" spans="1:7" x14ac:dyDescent="0.25">
      <c r="A24" s="9" t="s">
        <v>121</v>
      </c>
      <c r="B24" s="9" t="s">
        <v>112</v>
      </c>
      <c r="C24" s="9" t="s">
        <v>100</v>
      </c>
      <c r="D24" s="9">
        <v>0.1</v>
      </c>
      <c r="E24" s="9" t="s">
        <v>96</v>
      </c>
      <c r="F24" s="9" t="s">
        <v>110</v>
      </c>
      <c r="G24" s="9"/>
    </row>
    <row r="25" spans="1:7" x14ac:dyDescent="0.25">
      <c r="A25" s="9" t="s">
        <v>121</v>
      </c>
      <c r="B25" s="9" t="s">
        <v>112</v>
      </c>
      <c r="C25" s="9" t="s">
        <v>116</v>
      </c>
      <c r="D25" s="9" t="s">
        <v>110</v>
      </c>
      <c r="E25" s="9" t="s">
        <v>96</v>
      </c>
      <c r="F25" s="9">
        <v>75</v>
      </c>
      <c r="G25" s="9"/>
    </row>
    <row r="26" spans="1:7" x14ac:dyDescent="0.25">
      <c r="A26" s="9" t="s">
        <v>121</v>
      </c>
      <c r="B26" s="9" t="s">
        <v>117</v>
      </c>
      <c r="C26" s="9" t="s">
        <v>106</v>
      </c>
      <c r="D26" s="9">
        <v>1.44</v>
      </c>
      <c r="E26" s="9" t="s">
        <v>96</v>
      </c>
      <c r="F26" s="9">
        <v>75</v>
      </c>
      <c r="G26" s="9"/>
    </row>
    <row r="27" spans="1:7" x14ac:dyDescent="0.25">
      <c r="A27" s="9" t="s">
        <v>121</v>
      </c>
      <c r="B27" s="9" t="s">
        <v>117</v>
      </c>
      <c r="C27" s="9" t="s">
        <v>114</v>
      </c>
      <c r="D27" s="9" t="s">
        <v>110</v>
      </c>
      <c r="E27" s="9" t="s">
        <v>96</v>
      </c>
      <c r="F27" s="9" t="s">
        <v>110</v>
      </c>
      <c r="G27" s="9"/>
    </row>
    <row r="28" spans="1:7" x14ac:dyDescent="0.25">
      <c r="A28" s="9" t="s">
        <v>121</v>
      </c>
      <c r="B28" s="9" t="s">
        <v>100</v>
      </c>
      <c r="C28" s="9" t="s">
        <v>118</v>
      </c>
      <c r="D28" s="9">
        <v>47.85</v>
      </c>
      <c r="E28" s="9" t="s">
        <v>96</v>
      </c>
      <c r="F28" s="9" t="s">
        <v>110</v>
      </c>
      <c r="G28" s="9"/>
    </row>
    <row r="29" spans="1:7" x14ac:dyDescent="0.25">
      <c r="A29" s="9" t="s">
        <v>121</v>
      </c>
      <c r="B29" s="9" t="s">
        <v>100</v>
      </c>
      <c r="C29" s="9" t="s">
        <v>119</v>
      </c>
      <c r="D29" s="9">
        <v>14.54</v>
      </c>
      <c r="E29" s="9" t="s">
        <v>96</v>
      </c>
      <c r="F29" s="9" t="s">
        <v>110</v>
      </c>
      <c r="G29" s="9"/>
    </row>
    <row r="30" spans="1:7" x14ac:dyDescent="0.25">
      <c r="A30" s="9" t="s">
        <v>121</v>
      </c>
      <c r="B30" s="9" t="s">
        <v>100</v>
      </c>
      <c r="C30" s="9" t="s">
        <v>106</v>
      </c>
      <c r="D30" s="9">
        <v>43.61</v>
      </c>
      <c r="E30" s="9" t="s">
        <v>96</v>
      </c>
      <c r="F30" s="9" t="s">
        <v>110</v>
      </c>
      <c r="G30" s="9"/>
    </row>
    <row r="31" spans="1:7" x14ac:dyDescent="0.25">
      <c r="A31" s="9" t="s">
        <v>121</v>
      </c>
      <c r="B31" s="9" t="s">
        <v>100</v>
      </c>
      <c r="C31" s="9" t="s">
        <v>122</v>
      </c>
      <c r="D31" s="9" t="s">
        <v>110</v>
      </c>
      <c r="E31" s="9" t="s">
        <v>96</v>
      </c>
      <c r="F31" s="9">
        <v>75</v>
      </c>
      <c r="G31" s="9"/>
    </row>
    <row r="32" spans="1:7" x14ac:dyDescent="0.25">
      <c r="B32" s="9"/>
      <c r="C32" s="9"/>
      <c r="D32" s="9"/>
      <c r="E32" s="9"/>
      <c r="F32" s="9"/>
      <c r="G32" s="9"/>
    </row>
    <row r="33" spans="1:7" x14ac:dyDescent="0.25">
      <c r="B33" s="9"/>
      <c r="C33" s="9"/>
      <c r="D33" s="9"/>
      <c r="E33" s="9"/>
      <c r="F33" s="9"/>
      <c r="G33" s="9"/>
    </row>
    <row r="34" spans="1:7" x14ac:dyDescent="0.25">
      <c r="B34" s="9"/>
      <c r="C34" s="9"/>
      <c r="D34" s="9"/>
      <c r="E34" s="9"/>
      <c r="F34" s="9"/>
      <c r="G34" s="9"/>
    </row>
    <row r="35" spans="1:7" x14ac:dyDescent="0.25">
      <c r="A35" s="8" t="s">
        <v>120</v>
      </c>
      <c r="B35" s="8" t="s">
        <v>91</v>
      </c>
      <c r="C35" s="8" t="s">
        <v>92</v>
      </c>
      <c r="D35" s="8" t="s">
        <v>93</v>
      </c>
      <c r="E35" s="8" t="s">
        <v>94</v>
      </c>
      <c r="F35" s="8"/>
      <c r="G35" s="8"/>
    </row>
    <row r="36" spans="1:7" x14ac:dyDescent="0.25">
      <c r="A36" s="9" t="s">
        <v>121</v>
      </c>
      <c r="B36" s="9" t="s">
        <v>124</v>
      </c>
      <c r="C36" s="9" t="s">
        <v>125</v>
      </c>
      <c r="D36" s="9">
        <f>SUM(D15,D13,D11,D9,D8,D6)</f>
        <v>30.5</v>
      </c>
      <c r="E36" s="9" t="s">
        <v>96</v>
      </c>
      <c r="F36" s="9"/>
      <c r="G36" s="9"/>
    </row>
    <row r="37" spans="1:7" x14ac:dyDescent="0.25">
      <c r="A37" s="9" t="s">
        <v>121</v>
      </c>
      <c r="B37" s="9" t="s">
        <v>124</v>
      </c>
      <c r="C37" s="9" t="s">
        <v>125</v>
      </c>
      <c r="D37" s="9">
        <f>D36*10000000</f>
        <v>305000000</v>
      </c>
      <c r="E37" s="9" t="s">
        <v>126</v>
      </c>
      <c r="F37" s="9"/>
      <c r="G37" s="9"/>
    </row>
    <row r="38" spans="1:7" x14ac:dyDescent="0.25">
      <c r="A38" s="9" t="s">
        <v>121</v>
      </c>
      <c r="B38" s="9" t="s">
        <v>124</v>
      </c>
      <c r="C38" s="9" t="s">
        <v>125</v>
      </c>
      <c r="D38" s="9">
        <f>D37*Btu_to_GJ</f>
        <v>323.3</v>
      </c>
      <c r="E38" s="9"/>
      <c r="F38" s="9"/>
      <c r="G38" s="9"/>
    </row>
    <row r="39" spans="1:7" x14ac:dyDescent="0.25">
      <c r="B39" s="9"/>
      <c r="C39" s="9"/>
      <c r="D39" s="9"/>
      <c r="E39" s="9"/>
      <c r="F39" s="9"/>
      <c r="G39" s="9"/>
    </row>
    <row r="40" spans="1:7" x14ac:dyDescent="0.25">
      <c r="B40" s="9"/>
      <c r="C40" s="9"/>
      <c r="D40" s="9"/>
      <c r="E40" s="9"/>
      <c r="F40" s="9"/>
      <c r="G40" s="9"/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34" zoomScale="80" zoomScaleNormal="80" workbookViewId="0">
      <selection activeCell="I1" sqref="I1"/>
    </sheetView>
  </sheetViews>
  <sheetFormatPr defaultColWidth="8.85546875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6"/>
  <sheetViews>
    <sheetView zoomScale="80" zoomScaleNormal="80" workbookViewId="0">
      <selection activeCell="B38" sqref="B38"/>
    </sheetView>
  </sheetViews>
  <sheetFormatPr defaultColWidth="8.85546875" defaultRowHeight="15" x14ac:dyDescent="0.25"/>
  <cols>
    <col min="1" max="1" width="37.28515625" customWidth="1"/>
    <col min="2" max="2" width="38.42578125" bestFit="1" customWidth="1"/>
  </cols>
  <sheetData>
    <row r="1" spans="1:2" x14ac:dyDescent="0.25">
      <c r="A1" t="s">
        <v>32</v>
      </c>
    </row>
    <row r="2" spans="1:2" x14ac:dyDescent="0.25">
      <c r="A2" s="1" t="s">
        <v>33</v>
      </c>
    </row>
    <row r="3" spans="1:2" x14ac:dyDescent="0.25">
      <c r="A3" s="1"/>
    </row>
    <row r="4" spans="1:2" x14ac:dyDescent="0.25">
      <c r="A4" s="53" t="s">
        <v>72</v>
      </c>
    </row>
    <row r="5" spans="1:2" x14ac:dyDescent="0.25">
      <c r="A5" s="8" t="s">
        <v>40</v>
      </c>
      <c r="B5" s="8" t="s">
        <v>41</v>
      </c>
    </row>
    <row r="6" spans="1:2" x14ac:dyDescent="0.25">
      <c r="A6" s="9">
        <v>2334</v>
      </c>
      <c r="B6" s="43">
        <f>(A6*0.0000010550559)/0.000453592</f>
        <v>5.4288886721988039</v>
      </c>
    </row>
  </sheetData>
  <hyperlinks>
    <hyperlink ref="A2" r:id="rId1" xr:uid="{00000000-0004-0000-0A00-000000000000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workbookViewId="0">
      <selection activeCell="K15" sqref="K15"/>
    </sheetView>
  </sheetViews>
  <sheetFormatPr defaultColWidth="8.85546875" defaultRowHeight="15" x14ac:dyDescent="0.25"/>
  <sheetData>
    <row r="1" spans="1:1" x14ac:dyDescent="0.25">
      <c r="A1" t="s">
        <v>31</v>
      </c>
    </row>
    <row r="2" spans="1:1" x14ac:dyDescent="0.25">
      <c r="A2" s="1" t="s">
        <v>16</v>
      </c>
    </row>
  </sheetData>
  <hyperlinks>
    <hyperlink ref="A2" r:id="rId1" xr:uid="{00000000-0004-0000-0B00-000000000000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16"/>
  <sheetViews>
    <sheetView zoomScale="80" zoomScaleNormal="80" workbookViewId="0">
      <pane xSplit="7" topLeftCell="H1" activePane="topRight" state="frozen"/>
      <selection pane="topRight" activeCell="A12" sqref="A12"/>
    </sheetView>
  </sheetViews>
  <sheetFormatPr defaultColWidth="9.140625" defaultRowHeight="15" x14ac:dyDescent="0.25"/>
  <cols>
    <col min="1" max="1" width="19.42578125" style="9" bestFit="1" customWidth="1"/>
    <col min="2" max="2" width="11.7109375" style="9" bestFit="1" customWidth="1"/>
    <col min="3" max="3" width="10.140625" style="9" bestFit="1" customWidth="1"/>
    <col min="4" max="4" width="8.140625" style="9" bestFit="1" customWidth="1"/>
    <col min="5" max="5" width="35" style="9" bestFit="1" customWidth="1"/>
    <col min="6" max="6" width="20.42578125" style="9" bestFit="1" customWidth="1"/>
    <col min="7" max="7" width="11.42578125" style="9" customWidth="1"/>
    <col min="8" max="16384" width="9.140625" style="9"/>
  </cols>
  <sheetData>
    <row r="1" spans="1:67" s="46" customFormat="1" ht="15.75" x14ac:dyDescent="0.25">
      <c r="A1" s="49" t="s">
        <v>139</v>
      </c>
      <c r="B1" s="45"/>
      <c r="C1" s="45"/>
      <c r="D1" s="45"/>
      <c r="F1" s="45"/>
    </row>
    <row r="2" spans="1:67" s="47" customFormat="1" x14ac:dyDescent="0.25">
      <c r="A2" s="47" t="s">
        <v>34</v>
      </c>
      <c r="B2" s="47" t="s">
        <v>44</v>
      </c>
      <c r="C2" s="47" t="s">
        <v>45</v>
      </c>
      <c r="D2" s="47" t="s">
        <v>46</v>
      </c>
      <c r="E2" s="47" t="s">
        <v>0</v>
      </c>
      <c r="F2" s="47" t="s">
        <v>1</v>
      </c>
      <c r="G2" s="47" t="s">
        <v>50</v>
      </c>
      <c r="H2" s="47">
        <v>1960</v>
      </c>
      <c r="I2" s="47">
        <v>1961</v>
      </c>
      <c r="J2" s="47">
        <v>1962</v>
      </c>
      <c r="K2" s="47">
        <v>1963</v>
      </c>
      <c r="L2" s="47">
        <v>1964</v>
      </c>
      <c r="M2" s="47">
        <v>1965</v>
      </c>
      <c r="N2" s="47">
        <v>1966</v>
      </c>
      <c r="O2" s="47">
        <v>1967</v>
      </c>
      <c r="P2" s="47">
        <v>1968</v>
      </c>
      <c r="Q2" s="47">
        <v>1969</v>
      </c>
      <c r="R2" s="47">
        <v>1970</v>
      </c>
      <c r="S2" s="47">
        <v>1971</v>
      </c>
      <c r="T2" s="47">
        <v>1972</v>
      </c>
      <c r="U2" s="47">
        <v>1973</v>
      </c>
      <c r="V2" s="47">
        <v>1974</v>
      </c>
      <c r="W2" s="47">
        <v>1975</v>
      </c>
      <c r="X2" s="47">
        <v>1976</v>
      </c>
      <c r="Y2" s="47">
        <v>1977</v>
      </c>
      <c r="Z2" s="47">
        <v>1978</v>
      </c>
      <c r="AA2" s="47">
        <v>1979</v>
      </c>
      <c r="AB2" s="47">
        <v>1980</v>
      </c>
      <c r="AC2" s="47">
        <v>1981</v>
      </c>
      <c r="AD2" s="47">
        <v>1982</v>
      </c>
      <c r="AE2" s="47">
        <v>1983</v>
      </c>
      <c r="AF2" s="47">
        <v>1984</v>
      </c>
      <c r="AG2" s="47">
        <v>1985</v>
      </c>
      <c r="AH2" s="47">
        <v>1986</v>
      </c>
      <c r="AI2" s="47">
        <v>1987</v>
      </c>
      <c r="AJ2" s="47">
        <v>1988</v>
      </c>
      <c r="AK2" s="47">
        <v>1989</v>
      </c>
      <c r="AL2" s="47">
        <v>1990</v>
      </c>
      <c r="AM2" s="47">
        <v>1991</v>
      </c>
      <c r="AN2" s="47">
        <v>1992</v>
      </c>
      <c r="AO2" s="47">
        <v>1993</v>
      </c>
      <c r="AP2" s="47">
        <v>1994</v>
      </c>
      <c r="AQ2" s="47">
        <v>1995</v>
      </c>
      <c r="AR2" s="47">
        <v>1996</v>
      </c>
      <c r="AS2" s="47">
        <v>1997</v>
      </c>
      <c r="AT2" s="47">
        <v>1998</v>
      </c>
      <c r="AU2" s="47">
        <v>1999</v>
      </c>
      <c r="AV2" s="47">
        <v>2000</v>
      </c>
      <c r="AW2" s="47">
        <v>2001</v>
      </c>
      <c r="AX2" s="47">
        <v>2002</v>
      </c>
      <c r="AY2" s="47">
        <v>2003</v>
      </c>
      <c r="AZ2" s="47">
        <v>2004</v>
      </c>
      <c r="BA2" s="47">
        <v>2005</v>
      </c>
      <c r="BB2" s="47">
        <v>2006</v>
      </c>
      <c r="BC2" s="47">
        <v>2007</v>
      </c>
      <c r="BD2" s="47">
        <v>2008</v>
      </c>
      <c r="BE2" s="47">
        <v>2009</v>
      </c>
      <c r="BF2" s="47">
        <v>2010</v>
      </c>
      <c r="BG2" s="47">
        <v>2011</v>
      </c>
      <c r="BH2" s="47">
        <v>2012</v>
      </c>
      <c r="BI2" s="47">
        <v>2013</v>
      </c>
      <c r="BJ2" s="47">
        <v>2014</v>
      </c>
      <c r="BK2" s="47">
        <v>2015</v>
      </c>
      <c r="BL2" s="47">
        <v>2016</v>
      </c>
      <c r="BM2" s="47">
        <v>2017</v>
      </c>
      <c r="BN2" s="47">
        <v>2018</v>
      </c>
      <c r="BO2" s="47">
        <v>2019</v>
      </c>
    </row>
    <row r="3" spans="1:67" x14ac:dyDescent="0.25">
      <c r="A3" s="9" t="s">
        <v>21</v>
      </c>
      <c r="B3" s="9" t="s">
        <v>47</v>
      </c>
      <c r="C3" s="9" t="s">
        <v>48</v>
      </c>
      <c r="D3" s="9" t="s">
        <v>49</v>
      </c>
      <c r="E3" s="9" t="s">
        <v>42</v>
      </c>
      <c r="F3" s="9" t="s">
        <v>43</v>
      </c>
      <c r="G3" s="9" t="s">
        <v>123</v>
      </c>
      <c r="H3" s="48">
        <f t="array" ref="H3:BO3">TRANSPOSE(Calcs!Z18:Z77)</f>
        <v>1.2911186013830305E-2</v>
      </c>
      <c r="I3" s="48">
        <v>1.3141063782680838E-2</v>
      </c>
      <c r="J3" s="48">
        <v>1.3379275674098358E-2</v>
      </c>
      <c r="K3" s="48">
        <v>1.3626283280709844E-2</v>
      </c>
      <c r="L3" s="48">
        <v>1.388258292391552E-2</v>
      </c>
      <c r="M3" s="48">
        <v>1.4148708982603576E-2</v>
      </c>
      <c r="N3" s="48">
        <v>1.4425237612212073E-2</v>
      </c>
      <c r="O3" s="48">
        <v>1.4712790908606516E-2</v>
      </c>
      <c r="P3" s="48">
        <v>1.5012041580104291E-2</v>
      </c>
      <c r="Q3" s="48">
        <v>1.5323718201496228E-2</v>
      </c>
      <c r="R3" s="48">
        <v>1.5648611136441618E-2</v>
      </c>
      <c r="S3" s="48">
        <v>1.5987579229581272E-2</v>
      </c>
      <c r="T3" s="48">
        <v>1.6341557387663887E-2</v>
      </c>
      <c r="U3" s="48">
        <v>1.6711565190589875E-2</v>
      </c>
      <c r="V3" s="48">
        <v>1.7098716699391083E-2</v>
      </c>
      <c r="W3" s="48">
        <v>1.7504231659852949E-2</v>
      </c>
      <c r="X3" s="48">
        <v>1.7929448339101921E-2</v>
      </c>
      <c r="Y3" s="48">
        <v>1.8375838279749965E-2</v>
      </c>
      <c r="Z3" s="48">
        <v>1.8845023314319264E-2</v>
      </c>
      <c r="AA3" s="48">
        <v>1.9338795254509582E-2</v>
      </c>
      <c r="AB3" s="48">
        <v>1.9859138759106942E-2</v>
      </c>
      <c r="AC3" s="48">
        <v>2.1398365313178468E-2</v>
      </c>
      <c r="AD3" s="48">
        <v>2.3196241402055919E-2</v>
      </c>
      <c r="AE3" s="48">
        <v>2.5323941751334966E-2</v>
      </c>
      <c r="AF3" s="48">
        <v>2.7881392671854969E-2</v>
      </c>
      <c r="AG3" s="48">
        <v>3.1013420962200961E-2</v>
      </c>
      <c r="AH3" s="48">
        <v>3.2416770275822696E-2</v>
      </c>
      <c r="AI3" s="48">
        <v>2.7954426232525614E-2</v>
      </c>
      <c r="AJ3" s="48">
        <v>3.2569808122950364E-2</v>
      </c>
      <c r="AK3" s="48">
        <v>3.483860978176407E-2</v>
      </c>
      <c r="AL3" s="48">
        <v>3.2517235472958511E-2</v>
      </c>
      <c r="AM3" s="48">
        <v>3.2747704207372483E-2</v>
      </c>
      <c r="AN3" s="48">
        <v>3.356617855273137E-2</v>
      </c>
      <c r="AO3" s="48">
        <v>3.2082236145061879E-2</v>
      </c>
      <c r="AP3" s="48">
        <v>3.3201064210243353E-2</v>
      </c>
      <c r="AQ3" s="48">
        <v>3.3430265051787679E-2</v>
      </c>
      <c r="AR3" s="48">
        <v>3.0606316803718107E-2</v>
      </c>
      <c r="AS3" s="48">
        <v>3.0791571472559388E-2</v>
      </c>
      <c r="AT3" s="48">
        <v>2.8831402736728955E-2</v>
      </c>
      <c r="AU3" s="48">
        <v>2.9441537647911922E-2</v>
      </c>
      <c r="AV3" s="48">
        <v>3.0180796009179684E-2</v>
      </c>
      <c r="AW3" s="48">
        <v>3.2658513909939783E-2</v>
      </c>
      <c r="AX3" s="48">
        <v>3.8926182022351319E-2</v>
      </c>
      <c r="AY3" s="48">
        <v>3.4646872798925525E-2</v>
      </c>
      <c r="AZ3" s="48">
        <v>4.0030756140623278E-2</v>
      </c>
      <c r="BA3" s="48">
        <v>3.9382776275037647E-2</v>
      </c>
      <c r="BB3" s="48">
        <v>2.637756994737241E-2</v>
      </c>
      <c r="BC3" s="48">
        <v>2.7890953259410836E-2</v>
      </c>
      <c r="BD3" s="48">
        <v>3.0001009293213882E-2</v>
      </c>
      <c r="BE3" s="48">
        <v>2.970374184636871E-2</v>
      </c>
      <c r="BF3" s="48">
        <v>3.1065071737304554E-2</v>
      </c>
      <c r="BG3" s="48">
        <v>3.2510938157974401E-2</v>
      </c>
      <c r="BH3" s="48">
        <v>3.2112921188878492E-2</v>
      </c>
      <c r="BI3" s="48">
        <v>3.0262404939621526E-2</v>
      </c>
      <c r="BJ3" s="48">
        <v>3.3550525814747947E-2</v>
      </c>
      <c r="BK3" s="48">
        <v>3.4061067428999149E-2</v>
      </c>
      <c r="BL3" s="48">
        <v>3.3492514664173793E-2</v>
      </c>
      <c r="BM3" s="48">
        <v>3.8447739751521597E-2</v>
      </c>
      <c r="BN3" s="48">
        <v>4.0865542275655746E-2</v>
      </c>
      <c r="BO3" s="48">
        <v>3.9186659119606393E-2</v>
      </c>
    </row>
    <row r="4" spans="1:67" x14ac:dyDescent="0.25">
      <c r="A4" s="9" t="s">
        <v>23</v>
      </c>
      <c r="B4" s="9" t="s">
        <v>47</v>
      </c>
      <c r="C4" s="9" t="s">
        <v>48</v>
      </c>
      <c r="D4" s="9" t="s">
        <v>49</v>
      </c>
      <c r="E4" s="9" t="s">
        <v>42</v>
      </c>
      <c r="F4" s="9" t="s">
        <v>43</v>
      </c>
      <c r="G4" s="9" t="s">
        <v>123</v>
      </c>
      <c r="H4" s="48">
        <f t="array" ref="H4:BO4">TRANSPOSE(Calcs!Z18:Z77)</f>
        <v>1.2911186013830305E-2</v>
      </c>
      <c r="I4" s="48">
        <v>1.3141063782680838E-2</v>
      </c>
      <c r="J4" s="48">
        <v>1.3379275674098358E-2</v>
      </c>
      <c r="K4" s="48">
        <v>1.3626283280709844E-2</v>
      </c>
      <c r="L4" s="48">
        <v>1.388258292391552E-2</v>
      </c>
      <c r="M4" s="48">
        <v>1.4148708982603576E-2</v>
      </c>
      <c r="N4" s="48">
        <v>1.4425237612212073E-2</v>
      </c>
      <c r="O4" s="48">
        <v>1.4712790908606516E-2</v>
      </c>
      <c r="P4" s="48">
        <v>1.5012041580104291E-2</v>
      </c>
      <c r="Q4" s="48">
        <v>1.5323718201496228E-2</v>
      </c>
      <c r="R4" s="48">
        <v>1.5648611136441618E-2</v>
      </c>
      <c r="S4" s="48">
        <v>1.5987579229581272E-2</v>
      </c>
      <c r="T4" s="48">
        <v>1.6341557387663887E-2</v>
      </c>
      <c r="U4" s="48">
        <v>1.6711565190589875E-2</v>
      </c>
      <c r="V4" s="48">
        <v>1.7098716699391083E-2</v>
      </c>
      <c r="W4" s="48">
        <v>1.7504231659852949E-2</v>
      </c>
      <c r="X4" s="48">
        <v>1.7929448339101921E-2</v>
      </c>
      <c r="Y4" s="48">
        <v>1.8375838279749965E-2</v>
      </c>
      <c r="Z4" s="48">
        <v>1.8845023314319264E-2</v>
      </c>
      <c r="AA4" s="48">
        <v>1.9338795254509582E-2</v>
      </c>
      <c r="AB4" s="48">
        <v>1.9859138759106942E-2</v>
      </c>
      <c r="AC4" s="48">
        <v>2.1398365313178468E-2</v>
      </c>
      <c r="AD4" s="48">
        <v>2.3196241402055919E-2</v>
      </c>
      <c r="AE4" s="48">
        <v>2.5323941751334966E-2</v>
      </c>
      <c r="AF4" s="48">
        <v>2.7881392671854969E-2</v>
      </c>
      <c r="AG4" s="48">
        <v>3.1013420962200961E-2</v>
      </c>
      <c r="AH4" s="48">
        <v>3.2416770275822696E-2</v>
      </c>
      <c r="AI4" s="48">
        <v>2.7954426232525614E-2</v>
      </c>
      <c r="AJ4" s="48">
        <v>3.2569808122950364E-2</v>
      </c>
      <c r="AK4" s="48">
        <v>3.483860978176407E-2</v>
      </c>
      <c r="AL4" s="48">
        <v>3.2517235472958511E-2</v>
      </c>
      <c r="AM4" s="48">
        <v>3.2747704207372483E-2</v>
      </c>
      <c r="AN4" s="48">
        <v>3.356617855273137E-2</v>
      </c>
      <c r="AO4" s="48">
        <v>3.2082236145061879E-2</v>
      </c>
      <c r="AP4" s="48">
        <v>3.3201064210243353E-2</v>
      </c>
      <c r="AQ4" s="48">
        <v>3.3430265051787679E-2</v>
      </c>
      <c r="AR4" s="48">
        <v>3.0606316803718107E-2</v>
      </c>
      <c r="AS4" s="48">
        <v>3.0791571472559388E-2</v>
      </c>
      <c r="AT4" s="48">
        <v>2.8831402736728955E-2</v>
      </c>
      <c r="AU4" s="48">
        <v>2.9441537647911922E-2</v>
      </c>
      <c r="AV4" s="48">
        <v>3.0180796009179684E-2</v>
      </c>
      <c r="AW4" s="48">
        <v>3.2658513909939783E-2</v>
      </c>
      <c r="AX4" s="48">
        <v>3.8926182022351319E-2</v>
      </c>
      <c r="AY4" s="48">
        <v>3.4646872798925525E-2</v>
      </c>
      <c r="AZ4" s="48">
        <v>4.0030756140623278E-2</v>
      </c>
      <c r="BA4" s="48">
        <v>3.9382776275037647E-2</v>
      </c>
      <c r="BB4" s="48">
        <v>2.637756994737241E-2</v>
      </c>
      <c r="BC4" s="48">
        <v>2.7890953259410836E-2</v>
      </c>
      <c r="BD4" s="48">
        <v>3.0001009293213882E-2</v>
      </c>
      <c r="BE4" s="48">
        <v>2.970374184636871E-2</v>
      </c>
      <c r="BF4" s="48">
        <v>3.1065071737304554E-2</v>
      </c>
      <c r="BG4" s="48">
        <v>3.2510938157974401E-2</v>
      </c>
      <c r="BH4" s="48">
        <v>3.2112921188878492E-2</v>
      </c>
      <c r="BI4" s="48">
        <v>3.0262404939621526E-2</v>
      </c>
      <c r="BJ4" s="48">
        <v>3.3550525814747947E-2</v>
      </c>
      <c r="BK4" s="48">
        <v>3.4061067428999149E-2</v>
      </c>
      <c r="BL4" s="48">
        <v>3.3492514664173793E-2</v>
      </c>
      <c r="BM4" s="48">
        <v>3.8447739751521597E-2</v>
      </c>
      <c r="BN4" s="48">
        <v>4.0865542275655746E-2</v>
      </c>
      <c r="BO4" s="48">
        <v>3.9186659119606393E-2</v>
      </c>
    </row>
    <row r="5" spans="1:67" x14ac:dyDescent="0.25">
      <c r="A5" s="9" t="s">
        <v>22</v>
      </c>
      <c r="B5" s="9" t="s">
        <v>47</v>
      </c>
      <c r="C5" s="9" t="s">
        <v>48</v>
      </c>
      <c r="D5" s="9" t="s">
        <v>49</v>
      </c>
      <c r="E5" s="9" t="s">
        <v>42</v>
      </c>
      <c r="F5" s="9" t="s">
        <v>43</v>
      </c>
      <c r="G5" s="9" t="s">
        <v>123</v>
      </c>
      <c r="H5" s="48">
        <f t="array" ref="H5:BO5">TRANSPOSE(Calcs!AD18:AD77)</f>
        <v>1.7402452662565598E-2</v>
      </c>
      <c r="I5" s="48">
        <v>1.7712295382383312E-2</v>
      </c>
      <c r="J5" s="48">
        <v>1.8033371320690841E-2</v>
      </c>
      <c r="K5" s="48">
        <v>1.8366302639064337E-2</v>
      </c>
      <c r="L5" s="48">
        <v>1.8711758308554458E-2</v>
      </c>
      <c r="M5" s="48">
        <v>1.9070458596322996E-2</v>
      </c>
      <c r="N5" s="48">
        <v>1.944318007841234E-2</v>
      </c>
      <c r="O5" s="48">
        <v>1.9830761252063515E-2</v>
      </c>
      <c r="P5" s="48">
        <v>2.0234108832944356E-2</v>
      </c>
      <c r="Q5" s="48">
        <v>2.065420483682746E-2</v>
      </c>
      <c r="R5" s="48">
        <v>2.1092114562141055E-2</v>
      </c>
      <c r="S5" s="48">
        <v>2.1548995609990896E-2</v>
      </c>
      <c r="T5" s="48">
        <v>2.202610810244637E-2</v>
      </c>
      <c r="U5" s="48">
        <v>2.2524826289009713E-2</v>
      </c>
      <c r="V5" s="48">
        <v>2.3046651766385446E-2</v>
      </c>
      <c r="W5" s="48">
        <v>2.3593228579378494E-2</v>
      </c>
      <c r="X5" s="48">
        <v>2.4166360522798483E-2</v>
      </c>
      <c r="Y5" s="48">
        <v>2.4768031027959804E-2</v>
      </c>
      <c r="Z5" s="48">
        <v>2.5400426095719669E-2</v>
      </c>
      <c r="AA5" s="48">
        <v>2.6065960834825791E-2</v>
      </c>
      <c r="AB5" s="48">
        <v>2.676731028462298E-2</v>
      </c>
      <c r="AC5" s="48">
        <v>2.8841969980138212E-2</v>
      </c>
      <c r="AD5" s="48">
        <v>3.1265252666665515E-2</v>
      </c>
      <c r="AE5" s="48">
        <v>3.4133091807762993E-2</v>
      </c>
      <c r="AF5" s="48">
        <v>3.758017393743799E-2</v>
      </c>
      <c r="AG5" s="48">
        <v>4.1801705096711606E-2</v>
      </c>
      <c r="AH5" s="48">
        <v>4.3747997133876074E-2</v>
      </c>
      <c r="AI5" s="48">
        <v>3.9568427325988483E-2</v>
      </c>
      <c r="AJ5" s="48">
        <v>3.7682524729156855E-2</v>
      </c>
      <c r="AK5" s="48">
        <v>3.6887639566775168E-2</v>
      </c>
      <c r="AL5" s="48">
        <v>3.7898031680727022E-2</v>
      </c>
      <c r="AM5" s="48">
        <v>3.7906589116753077E-2</v>
      </c>
      <c r="AN5" s="48">
        <v>3.8681024808385672E-2</v>
      </c>
      <c r="AO5" s="48">
        <v>3.9125772452235967E-2</v>
      </c>
      <c r="AP5" s="48">
        <v>4.0855596901531711E-2</v>
      </c>
      <c r="AQ5" s="48">
        <v>4.020010720028587E-2</v>
      </c>
      <c r="AR5" s="48">
        <v>3.975583699125209E-2</v>
      </c>
      <c r="AS5" s="48">
        <v>4.4348973494644367E-2</v>
      </c>
      <c r="AT5" s="48">
        <v>4.5680448345141171E-2</v>
      </c>
      <c r="AU5" s="48">
        <v>4.4675502794746864E-2</v>
      </c>
      <c r="AV5" s="48">
        <v>4.3214942766876728E-2</v>
      </c>
      <c r="AW5" s="48">
        <v>4.544549205966264E-2</v>
      </c>
      <c r="AX5" s="48">
        <v>4.2119841348597586E-2</v>
      </c>
      <c r="AY5" s="48">
        <v>4.6090138464828539E-2</v>
      </c>
      <c r="AZ5" s="48">
        <v>4.8650207013638078E-2</v>
      </c>
      <c r="BA5" s="48">
        <v>4.4236007290749356E-2</v>
      </c>
      <c r="BB5" s="48">
        <v>4.1704781633420118E-2</v>
      </c>
      <c r="BC5" s="48">
        <v>4.5947171152739844E-2</v>
      </c>
      <c r="BD5" s="48">
        <v>4.63275635180923E-2</v>
      </c>
      <c r="BE5" s="48">
        <v>4.2611637448615056E-2</v>
      </c>
      <c r="BF5" s="48">
        <v>4.1906052837841684E-2</v>
      </c>
      <c r="BG5" s="48">
        <v>4.4719138963344111E-2</v>
      </c>
      <c r="BH5" s="48">
        <v>4.3352581820192936E-2</v>
      </c>
      <c r="BI5" s="48">
        <v>4.3981044712704691E-2</v>
      </c>
      <c r="BJ5" s="48">
        <v>4.2133936501730231E-2</v>
      </c>
      <c r="BK5" s="48">
        <v>4.142350246793728E-2</v>
      </c>
      <c r="BL5" s="48">
        <v>4.34498268488639E-2</v>
      </c>
      <c r="BM5" s="48">
        <v>5.0979546817003889E-2</v>
      </c>
      <c r="BN5" s="48">
        <v>5.0933145530459287E-2</v>
      </c>
      <c r="BO5" s="48">
        <v>5.634671548502812E-2</v>
      </c>
    </row>
    <row r="6" spans="1:67" x14ac:dyDescent="0.25">
      <c r="A6" s="9" t="s">
        <v>24</v>
      </c>
      <c r="B6" s="9" t="s">
        <v>47</v>
      </c>
      <c r="C6" s="9" t="s">
        <v>48</v>
      </c>
      <c r="D6" s="9" t="s">
        <v>49</v>
      </c>
      <c r="E6" s="9" t="s">
        <v>42</v>
      </c>
      <c r="F6" s="9" t="s">
        <v>43</v>
      </c>
      <c r="G6" s="9" t="s">
        <v>123</v>
      </c>
      <c r="H6" s="48">
        <f t="array" ref="H6:BO6">TRANSPOSE(Calcs!AH18:AH77)</f>
        <v>1.6837837269401731E-2</v>
      </c>
      <c r="I6" s="48">
        <v>1.7137627270073414E-2</v>
      </c>
      <c r="J6" s="48">
        <v>1.7448286032097918E-2</v>
      </c>
      <c r="K6" s="48">
        <v>1.7770415531275872E-2</v>
      </c>
      <c r="L6" s="48">
        <v>1.8104663034168338E-2</v>
      </c>
      <c r="M6" s="48">
        <v>1.8451725439166358E-2</v>
      </c>
      <c r="N6" s="48">
        <v>1.8812354126623184E-2</v>
      </c>
      <c r="O6" s="48">
        <v>1.9187360389082978E-2</v>
      </c>
      <c r="P6" s="48">
        <v>1.9577621524198011E-2</v>
      </c>
      <c r="Q6" s="48">
        <v>1.9984087686644496E-2</v>
      </c>
      <c r="R6" s="48">
        <v>2.0407789611682894E-2</v>
      </c>
      <c r="S6" s="48">
        <v>2.0849847342528937E-2</v>
      </c>
      <c r="T6" s="48">
        <v>2.131148011711162E-2</v>
      </c>
      <c r="U6" s="48">
        <v>2.1794017597975345E-2</v>
      </c>
      <c r="V6" s="48">
        <v>2.2298912663139405E-2</v>
      </c>
      <c r="W6" s="48">
        <v>2.2827756017053651E-2</v>
      </c>
      <c r="X6" s="48">
        <v>2.3382292931149705E-2</v>
      </c>
      <c r="Y6" s="48">
        <v>2.3964442485131684E-2</v>
      </c>
      <c r="Z6" s="48">
        <v>2.4576319755961334E-2</v>
      </c>
      <c r="AA6" s="48">
        <v>2.5220261495179985E-2</v>
      </c>
      <c r="AB6" s="48">
        <v>2.5898855951585097E-2</v>
      </c>
      <c r="AC6" s="48">
        <v>2.7906204169667936E-2</v>
      </c>
      <c r="AD6" s="48">
        <v>3.0250864449725835E-2</v>
      </c>
      <c r="AE6" s="48">
        <v>3.3025657733691663E-2</v>
      </c>
      <c r="AF6" s="48">
        <v>3.6360900706573475E-2</v>
      </c>
      <c r="AG6" s="48">
        <v>4.0445466029969596E-2</v>
      </c>
      <c r="AH6" s="48">
        <v>4.8962370504100856E-2</v>
      </c>
      <c r="AI6" s="48">
        <v>5.053958284045975E-2</v>
      </c>
      <c r="AJ6" s="48">
        <v>5.0458565575110852E-2</v>
      </c>
      <c r="AK6" s="48">
        <v>4.3938836416435298E-2</v>
      </c>
      <c r="AL6" s="48">
        <v>4.2021438715492819E-2</v>
      </c>
      <c r="AM6" s="48">
        <v>4.1018646604103384E-2</v>
      </c>
      <c r="AN6" s="48">
        <v>4.0706995069930599E-2</v>
      </c>
      <c r="AO6" s="48">
        <v>3.9929195512977203E-2</v>
      </c>
      <c r="AP6" s="48">
        <v>3.9831298877347467E-2</v>
      </c>
      <c r="AQ6" s="48">
        <v>3.9364306941158465E-2</v>
      </c>
      <c r="AR6" s="48">
        <v>4.0033938235705994E-2</v>
      </c>
      <c r="AS6" s="48">
        <v>4.1787831314734604E-2</v>
      </c>
      <c r="AT6" s="48">
        <v>4.1471256835077519E-2</v>
      </c>
      <c r="AU6" s="48">
        <v>4.301195174696229E-2</v>
      </c>
      <c r="AV6" s="48">
        <v>4.2310925229369183E-2</v>
      </c>
      <c r="AW6" s="48">
        <v>4.265494562591525E-2</v>
      </c>
      <c r="AX6" s="48">
        <v>4.4038732336934366E-2</v>
      </c>
      <c r="AY6" s="48">
        <v>4.53227990465426E-2</v>
      </c>
      <c r="AZ6" s="48">
        <v>5.0147061934201077E-2</v>
      </c>
      <c r="BA6" s="48">
        <v>4.5006876050507724E-2</v>
      </c>
      <c r="BB6" s="48">
        <v>4.5515313421164161E-2</v>
      </c>
      <c r="BC6" s="48">
        <v>4.688827325250735E-2</v>
      </c>
      <c r="BD6" s="48">
        <v>4.7946205541239663E-2</v>
      </c>
      <c r="BE6" s="48">
        <v>5.2713726502531019E-2</v>
      </c>
      <c r="BF6" s="48">
        <v>5.1317194110982414E-2</v>
      </c>
      <c r="BG6" s="48">
        <v>5.5692463010636011E-2</v>
      </c>
      <c r="BH6" s="48">
        <v>5.6701975118799978E-2</v>
      </c>
      <c r="BI6" s="48">
        <v>5.6926296259204409E-2</v>
      </c>
      <c r="BJ6" s="48">
        <v>5.8398300441231607E-2</v>
      </c>
      <c r="BK6" s="48">
        <v>5.612067561903069E-2</v>
      </c>
      <c r="BL6" s="48">
        <v>5.8290155440414514E-2</v>
      </c>
      <c r="BM6" s="48">
        <v>5.8622621697728021E-2</v>
      </c>
      <c r="BN6" s="48">
        <v>5.3979307931959424E-2</v>
      </c>
      <c r="BO6" s="48">
        <v>5.6264880237423903E-2</v>
      </c>
    </row>
    <row r="7" spans="1:67" x14ac:dyDescent="0.25">
      <c r="A7" s="9" t="s">
        <v>25</v>
      </c>
      <c r="B7" s="9" t="s">
        <v>47</v>
      </c>
      <c r="C7" s="9" t="s">
        <v>48</v>
      </c>
      <c r="D7" s="9" t="s">
        <v>49</v>
      </c>
      <c r="E7" s="9" t="s">
        <v>42</v>
      </c>
      <c r="F7" s="9" t="s">
        <v>43</v>
      </c>
      <c r="G7" s="9" t="s">
        <v>123</v>
      </c>
      <c r="H7" s="48">
        <f t="array" ref="H7:BO7">TRANSPOSE(Calcs!AL18:AL77)</f>
        <v>1.709177057785851E-2</v>
      </c>
      <c r="I7" s="48">
        <v>1.7396081745084713E-2</v>
      </c>
      <c r="J7" s="48">
        <v>1.7711425586670194E-2</v>
      </c>
      <c r="K7" s="48">
        <v>1.8038413156880016E-2</v>
      </c>
      <c r="L7" s="48">
        <v>1.8377701483774694E-2</v>
      </c>
      <c r="M7" s="48">
        <v>1.8729997975747901E-2</v>
      </c>
      <c r="N7" s="48">
        <v>1.9096065344804101E-2</v>
      </c>
      <c r="O7" s="48">
        <v>1.9476727118681116E-2</v>
      </c>
      <c r="P7" s="48">
        <v>1.9872873825655307E-2</v>
      </c>
      <c r="Q7" s="48">
        <v>2.0285469949791902E-2</v>
      </c>
      <c r="R7" s="48">
        <v>2.07155617709852E-2</v>
      </c>
      <c r="S7" s="48">
        <v>2.1164286223948017E-2</v>
      </c>
      <c r="T7" s="48">
        <v>2.1632880934073034E-2</v>
      </c>
      <c r="U7" s="48">
        <v>2.2122695616694305E-2</v>
      </c>
      <c r="V7" s="48">
        <v>2.2635205060847138E-2</v>
      </c>
      <c r="W7" s="48">
        <v>2.3172023960573253E-2</v>
      </c>
      <c r="X7" s="48">
        <v>2.3734923907938053E-2</v>
      </c>
      <c r="Y7" s="48">
        <v>2.4325852924501484E-2</v>
      </c>
      <c r="Z7" s="48">
        <v>2.4946957984937682E-2</v>
      </c>
      <c r="AA7" s="48">
        <v>2.5600611081599507E-2</v>
      </c>
      <c r="AB7" s="48">
        <v>2.6289439496954243E-2</v>
      </c>
      <c r="AC7" s="48">
        <v>2.8327060758189061E-2</v>
      </c>
      <c r="AD7" s="48">
        <v>3.0707081122359675E-2</v>
      </c>
      <c r="AE7" s="48">
        <v>3.3523721374413347E-2</v>
      </c>
      <c r="AF7" s="48">
        <v>3.6909263519870616E-2</v>
      </c>
      <c r="AG7" s="48">
        <v>4.1055428630079188E-2</v>
      </c>
      <c r="AH7" s="48">
        <v>4.1532817335080109E-2</v>
      </c>
      <c r="AI7" s="48">
        <v>4.1048736083232652E-2</v>
      </c>
      <c r="AJ7" s="48">
        <v>4.1179635568698393E-2</v>
      </c>
      <c r="AK7" s="48">
        <v>4.2346501555972534E-2</v>
      </c>
      <c r="AL7" s="48">
        <v>4.1965414799198519E-2</v>
      </c>
      <c r="AM7" s="48">
        <v>4.1677171715092803E-2</v>
      </c>
      <c r="AN7" s="48">
        <v>4.0442218180774224E-2</v>
      </c>
      <c r="AO7" s="48">
        <v>4.1065471543149171E-2</v>
      </c>
      <c r="AP7" s="48">
        <v>4.2960585430792578E-2</v>
      </c>
      <c r="AQ7" s="48">
        <v>4.1642710683411729E-2</v>
      </c>
      <c r="AR7" s="48">
        <v>4.2014427546940972E-2</v>
      </c>
      <c r="AS7" s="48">
        <v>4.1311372570353652E-2</v>
      </c>
      <c r="AT7" s="48">
        <v>3.8648372573492545E-2</v>
      </c>
      <c r="AU7" s="48">
        <v>3.9092365365612156E-2</v>
      </c>
      <c r="AV7" s="48">
        <v>3.9884924606413352E-2</v>
      </c>
      <c r="AW7" s="48">
        <v>3.8938220427182729E-2</v>
      </c>
      <c r="AX7" s="48">
        <v>3.7333353818026792E-2</v>
      </c>
      <c r="AY7" s="48">
        <v>4.0905372238887378E-2</v>
      </c>
      <c r="AZ7" s="48">
        <v>4.0605252197466857E-2</v>
      </c>
      <c r="BA7" s="48">
        <v>4.0257949081149595E-2</v>
      </c>
      <c r="BB7" s="48">
        <v>2.9616403587484942E-2</v>
      </c>
      <c r="BC7" s="48">
        <v>3.4428967938554919E-2</v>
      </c>
      <c r="BD7" s="48">
        <v>3.17946302402261E-2</v>
      </c>
      <c r="BE7" s="48">
        <v>2.9388279337409198E-2</v>
      </c>
      <c r="BF7" s="48">
        <v>3.4431321734134233E-2</v>
      </c>
      <c r="BG7" s="48">
        <v>3.5282817921057967E-2</v>
      </c>
      <c r="BH7" s="48">
        <v>3.7995242776701722E-2</v>
      </c>
      <c r="BI7" s="48">
        <v>3.6518522442548142E-2</v>
      </c>
      <c r="BJ7" s="48">
        <v>3.8485934816229667E-2</v>
      </c>
      <c r="BK7" s="48">
        <v>3.8803216195791773E-2</v>
      </c>
      <c r="BL7" s="48">
        <v>3.9016651921690536E-2</v>
      </c>
      <c r="BM7" s="48">
        <v>3.9324349418691451E-2</v>
      </c>
      <c r="BN7" s="48">
        <v>3.8515367314559602E-2</v>
      </c>
      <c r="BO7" s="48">
        <v>3.7427686014059262E-2</v>
      </c>
    </row>
    <row r="8" spans="1:67" x14ac:dyDescent="0.25">
      <c r="A8" s="9" t="s">
        <v>138</v>
      </c>
      <c r="B8" s="9" t="s">
        <v>47</v>
      </c>
      <c r="C8" s="9" t="s">
        <v>48</v>
      </c>
      <c r="D8" s="9" t="s">
        <v>49</v>
      </c>
      <c r="E8" s="9" t="s">
        <v>42</v>
      </c>
      <c r="F8" s="9" t="s">
        <v>43</v>
      </c>
      <c r="G8" s="9" t="s">
        <v>123</v>
      </c>
      <c r="H8" s="48">
        <f t="array" ref="H8:BO8">TRANSPOSE(Calcs!AP18:AP77)</f>
        <v>1.5626798068017464E-2</v>
      </c>
      <c r="I8" s="48">
        <v>1.5905026068938972E-2</v>
      </c>
      <c r="J8" s="48">
        <v>1.6193341109911552E-2</v>
      </c>
      <c r="K8" s="48">
        <v>1.6492301870421642E-2</v>
      </c>
      <c r="L8" s="48">
        <v>1.6802509063237991E-2</v>
      </c>
      <c r="M8" s="48">
        <v>1.7124609463255534E-2</v>
      </c>
      <c r="N8" s="48">
        <v>1.7459300408788243E-2</v>
      </c>
      <c r="O8" s="48">
        <v>1.7807334841235839E-2</v>
      </c>
      <c r="P8" s="48">
        <v>1.8169526959775927E-2</v>
      </c>
      <c r="Q8" s="48">
        <v>1.8546758580464878E-2</v>
      </c>
      <c r="R8" s="48">
        <v>1.893998630429123E-2</v>
      </c>
      <c r="S8" s="48">
        <v>1.9350249616842091E-2</v>
      </c>
      <c r="T8" s="48">
        <v>1.9778680063969135E-2</v>
      </c>
      <c r="U8" s="48">
        <v>2.0226511673994859E-2</v>
      </c>
      <c r="V8" s="48">
        <v>2.0695092828606383E-2</v>
      </c>
      <c r="W8" s="48">
        <v>2.1185899822937473E-2</v>
      </c>
      <c r="X8" s="48">
        <v>2.1700552402077671E-2</v>
      </c>
      <c r="Y8" s="48">
        <v>2.2240831618458648E-2</v>
      </c>
      <c r="Z8" s="48">
        <v>2.280870042492588E-2</v>
      </c>
      <c r="AA8" s="48">
        <v>2.3406327505253122E-2</v>
      </c>
      <c r="AB8" s="48">
        <v>2.4036114951862392E-2</v>
      </c>
      <c r="AC8" s="48">
        <v>2.5899087301237623E-2</v>
      </c>
      <c r="AD8" s="48">
        <v>2.8075110988148327E-2</v>
      </c>
      <c r="AE8" s="48">
        <v>3.0650330930903226E-2</v>
      </c>
      <c r="AF8" s="48">
        <v>3.3745690959100613E-2</v>
      </c>
      <c r="AG8" s="48">
        <v>3.7536479317670228E-2</v>
      </c>
      <c r="AH8" s="48">
        <v>3.8648372573492545E-2</v>
      </c>
      <c r="AI8" s="48">
        <v>3.9995786452126855E-2</v>
      </c>
      <c r="AJ8" s="48">
        <v>4.0608526286500683E-2</v>
      </c>
      <c r="AK8" s="48">
        <v>4.0815863765716942E-2</v>
      </c>
      <c r="AL8" s="48">
        <v>3.963693869079029E-2</v>
      </c>
      <c r="AM8" s="48">
        <v>4.0500759389238548E-2</v>
      </c>
      <c r="AN8" s="48">
        <v>4.0461713103975373E-2</v>
      </c>
      <c r="AO8" s="48">
        <v>4.4185553869554431E-2</v>
      </c>
      <c r="AP8" s="48">
        <v>4.3793647217841861E-2</v>
      </c>
      <c r="AQ8" s="48">
        <v>4.0941951305193187E-2</v>
      </c>
      <c r="AR8" s="48">
        <v>4.1236955949003638E-2</v>
      </c>
      <c r="AS8" s="48">
        <v>4.1048736083232652E-2</v>
      </c>
      <c r="AT8" s="48">
        <v>4.1532817335080109E-2</v>
      </c>
      <c r="AU8" s="48">
        <v>4.2095197509627334E-2</v>
      </c>
      <c r="AV8" s="48">
        <v>4.4294366139417896E-2</v>
      </c>
      <c r="AW8" s="48">
        <v>4.5424997114204148E-2</v>
      </c>
      <c r="AX8" s="48">
        <v>4.4274896088367599E-2</v>
      </c>
      <c r="AY8" s="48">
        <v>4.2880114346971601E-2</v>
      </c>
      <c r="AZ8" s="48">
        <v>4.2450012053707131E-2</v>
      </c>
      <c r="BA8" s="48">
        <v>4.4007946784793896E-2</v>
      </c>
      <c r="BB8" s="48">
        <v>4.3958011958207331E-2</v>
      </c>
      <c r="BC8" s="48">
        <v>4.4846566607763261E-2</v>
      </c>
      <c r="BD8" s="48">
        <v>4.4588485436492381E-2</v>
      </c>
      <c r="BE8" s="48">
        <v>4.4954649915663787E-2</v>
      </c>
      <c r="BF8" s="48">
        <v>4.6975743214735695E-2</v>
      </c>
      <c r="BG8" s="48">
        <v>4.4135215406641087E-2</v>
      </c>
      <c r="BH8" s="48">
        <v>4.9726198953908118E-2</v>
      </c>
      <c r="BI8" s="48">
        <v>4.7927954225845205E-2</v>
      </c>
      <c r="BJ8" s="48">
        <v>4.7187008620367413E-2</v>
      </c>
      <c r="BK8" s="48">
        <v>4.8193965837816405E-2</v>
      </c>
      <c r="BL8" s="48">
        <v>4.6866456635509153E-2</v>
      </c>
      <c r="BM8" s="48">
        <v>4.7511975755205792E-2</v>
      </c>
      <c r="BN8" s="48">
        <v>4.701082264586777E-2</v>
      </c>
      <c r="BO8" s="48">
        <v>4.8346639436035461E-2</v>
      </c>
    </row>
    <row r="9" spans="1:67" x14ac:dyDescent="0.25">
      <c r="A9" s="9" t="s">
        <v>26</v>
      </c>
      <c r="B9" s="9" t="s">
        <v>47</v>
      </c>
      <c r="C9" s="9" t="s">
        <v>48</v>
      </c>
      <c r="D9" s="9" t="s">
        <v>49</v>
      </c>
      <c r="E9" s="9" t="s">
        <v>42</v>
      </c>
      <c r="F9" s="9" t="s">
        <v>43</v>
      </c>
      <c r="G9" s="9" t="s">
        <v>123</v>
      </c>
      <c r="H9" s="48">
        <f t="array" ref="H9:BO9">TRANSPOSE(Calcs!AT18:AT77)</f>
        <v>4.7219442952546207E-3</v>
      </c>
      <c r="I9" s="48">
        <v>4.8060163563392417E-3</v>
      </c>
      <c r="J9" s="48">
        <v>4.8931364149098384E-3</v>
      </c>
      <c r="K9" s="48">
        <v>4.9834732869581694E-3</v>
      </c>
      <c r="L9" s="48">
        <v>5.0772084896587161E-3</v>
      </c>
      <c r="M9" s="48">
        <v>5.17453745876307E-3</v>
      </c>
      <c r="N9" s="48">
        <v>5.2756709087540873E-3</v>
      </c>
      <c r="O9" s="48">
        <v>5.3808363556802586E-3</v>
      </c>
      <c r="P9" s="48">
        <v>5.4902798258321421E-3</v>
      </c>
      <c r="Q9" s="48">
        <v>5.6042677772697082E-3</v>
      </c>
      <c r="R9" s="48">
        <v>5.7230892657906367E-3</v>
      </c>
      <c r="S9" s="48">
        <v>5.847058392403761E-3</v>
      </c>
      <c r="T9" s="48">
        <v>5.9765170759369778E-3</v>
      </c>
      <c r="U9" s="48">
        <v>6.1118382023117764E-3</v>
      </c>
      <c r="V9" s="48">
        <v>6.253429211567226E-3</v>
      </c>
      <c r="W9" s="48">
        <v>6.4017361953053725E-3</v>
      </c>
      <c r="X9" s="48">
        <v>6.5572485913529561E-3</v>
      </c>
      <c r="Y9" s="48">
        <v>6.720504579721817E-3</v>
      </c>
      <c r="Z9" s="48">
        <v>6.8920973052104088E-3</v>
      </c>
      <c r="AA9" s="48">
        <v>7.0726820782623162E-3</v>
      </c>
      <c r="AB9" s="48">
        <v>7.2629847383335394E-3</v>
      </c>
      <c r="AC9" s="48">
        <v>7.8259184640437057E-3</v>
      </c>
      <c r="AD9" s="48">
        <v>8.4834468067037632E-3</v>
      </c>
      <c r="AE9" s="48">
        <v>9.2616001471890891E-3</v>
      </c>
      <c r="AF9" s="48">
        <v>1.0196924041648302E-2</v>
      </c>
      <c r="AG9" s="48">
        <v>1.1342385279859358E-2</v>
      </c>
      <c r="AH9" s="48">
        <v>1.1870487999630435E-2</v>
      </c>
      <c r="AI9" s="48">
        <v>1.0736412464782021E-2</v>
      </c>
      <c r="AJ9" s="48">
        <v>1.0224695686625181E-2</v>
      </c>
      <c r="AK9" s="48">
        <v>1.0009013246300854E-2</v>
      </c>
      <c r="AL9" s="48">
        <v>1.0283170882063779E-2</v>
      </c>
      <c r="AM9" s="48">
        <v>1.0285492838457443E-2</v>
      </c>
      <c r="AN9" s="48">
        <v>1.0495626563114098E-2</v>
      </c>
      <c r="AO9" s="48">
        <v>1.0616303437829828E-2</v>
      </c>
      <c r="AP9" s="48">
        <v>1.1085670305163102E-2</v>
      </c>
      <c r="AQ9" s="48">
        <v>1.0907811131205744E-2</v>
      </c>
      <c r="AR9" s="48">
        <v>1.0787263802632268E-2</v>
      </c>
      <c r="AS9" s="48">
        <v>1.2033555640343922E-2</v>
      </c>
      <c r="AT9" s="48">
        <v>1.2394835179296649E-2</v>
      </c>
      <c r="AU9" s="48">
        <v>1.3157086133162167E-2</v>
      </c>
      <c r="AV9" s="48">
        <v>1.4129360986566643E-2</v>
      </c>
      <c r="AW9" s="48">
        <v>1.4517510103634411E-2</v>
      </c>
      <c r="AX9" s="48">
        <v>1.4835246347507405E-2</v>
      </c>
      <c r="AY9" s="48">
        <v>1.5442994695363099E-2</v>
      </c>
      <c r="AZ9" s="48">
        <v>1.6738465268717806E-2</v>
      </c>
      <c r="BA9" s="48">
        <v>1.7160520069687251E-2</v>
      </c>
      <c r="BB9" s="48">
        <v>2.1341933342028198E-2</v>
      </c>
      <c r="BC9" s="48">
        <v>1.9733051602742004E-2</v>
      </c>
      <c r="BD9" s="48">
        <v>2.1563064865781013E-2</v>
      </c>
      <c r="BE9" s="48">
        <v>2.5980239515356274E-2</v>
      </c>
      <c r="BF9" s="48">
        <v>2.7104404660953738E-2</v>
      </c>
      <c r="BG9" s="48">
        <v>3.0266042247907535E-2</v>
      </c>
      <c r="BH9" s="48">
        <v>2.9383135531224118E-2</v>
      </c>
      <c r="BI9" s="48">
        <v>3.2443918250671999E-2</v>
      </c>
      <c r="BJ9" s="48">
        <v>3.6138557907949294E-2</v>
      </c>
      <c r="BK9" s="48">
        <v>4.0212946582975202E-2</v>
      </c>
      <c r="BL9" s="48">
        <v>4.2130411829110037E-2</v>
      </c>
      <c r="BM9" s="48">
        <v>4.1780897876653511E-2</v>
      </c>
      <c r="BN9" s="48">
        <v>4.3698650152293399E-2</v>
      </c>
      <c r="BO9" s="48">
        <v>4.8528323665945401E-2</v>
      </c>
    </row>
    <row r="10" spans="1:67" x14ac:dyDescent="0.25">
      <c r="A10" s="9" t="s">
        <v>173</v>
      </c>
      <c r="B10" s="9" t="s">
        <v>47</v>
      </c>
      <c r="C10" s="9" t="s">
        <v>48</v>
      </c>
      <c r="D10" s="9" t="s">
        <v>49</v>
      </c>
      <c r="E10" s="9" t="s">
        <v>42</v>
      </c>
      <c r="F10" s="9" t="s">
        <v>43</v>
      </c>
      <c r="G10" s="9" t="s">
        <v>123</v>
      </c>
      <c r="H10" s="48">
        <f t="array" ref="H10:BO10">TRANSPOSE(Calcs!AX18:AX77)</f>
        <v>1.6156642496616348E-2</v>
      </c>
      <c r="I10" s="48">
        <v>1.6444304135543975E-2</v>
      </c>
      <c r="J10" s="48">
        <v>1.6742394827131329E-2</v>
      </c>
      <c r="K10" s="48">
        <v>1.7051492193530641E-2</v>
      </c>
      <c r="L10" s="48">
        <v>1.7372217315362884E-2</v>
      </c>
      <c r="M10" s="48">
        <v>1.7705238897164174E-2</v>
      </c>
      <c r="N10" s="48">
        <v>1.8051277921300138E-2</v>
      </c>
      <c r="O10" s="48">
        <v>1.8411112858508223E-2</v>
      </c>
      <c r="P10" s="48">
        <v>1.8785585514318689E-2</v>
      </c>
      <c r="Q10" s="48">
        <v>1.9175607603767991E-2</v>
      </c>
      <c r="R10" s="48">
        <v>1.958216816249329E-2</v>
      </c>
      <c r="S10" s="48">
        <v>2.0006341921027224E-2</v>
      </c>
      <c r="T10" s="48">
        <v>2.0449298791575393E-2</v>
      </c>
      <c r="U10" s="48">
        <v>2.091231464359937E-2</v>
      </c>
      <c r="V10" s="48">
        <v>2.139678357720674E-2</v>
      </c>
      <c r="W10" s="48">
        <v>2.1904231943003165E-2</v>
      </c>
      <c r="X10" s="48">
        <v>2.243633440538461E-2</v>
      </c>
      <c r="Y10" s="48">
        <v>2.2994932405398759E-2</v>
      </c>
      <c r="Z10" s="48">
        <v>2.3582055452048282E-2</v>
      </c>
      <c r="AA10" s="48">
        <v>2.419994576080613E-2</v>
      </c>
      <c r="AB10" s="48">
        <v>2.4851086869780201E-2</v>
      </c>
      <c r="AC10" s="48">
        <v>2.6777225423495817E-2</v>
      </c>
      <c r="AD10" s="48">
        <v>2.9027029677736464E-2</v>
      </c>
      <c r="AE10" s="48">
        <v>3.1689565392612203E-2</v>
      </c>
      <c r="AF10" s="48">
        <v>3.4889877136337587E-2</v>
      </c>
      <c r="AG10" s="48">
        <v>3.8809196501901934E-2</v>
      </c>
      <c r="AH10" s="48">
        <v>4.1430317785881986E-2</v>
      </c>
      <c r="AI10" s="48">
        <v>4.1183002944245761E-2</v>
      </c>
      <c r="AJ10" s="48">
        <v>4.1166171571455079E-2</v>
      </c>
      <c r="AK10" s="48">
        <v>4.0367661350206904E-2</v>
      </c>
      <c r="AL10" s="48">
        <v>3.9540468164024609E-2</v>
      </c>
      <c r="AM10" s="48">
        <v>3.9668158711813284E-2</v>
      </c>
      <c r="AN10" s="48">
        <v>3.964005848132085E-2</v>
      </c>
      <c r="AO10" s="48">
        <v>4.0769606007057507E-2</v>
      </c>
      <c r="AP10" s="48">
        <v>4.1301209037656335E-2</v>
      </c>
      <c r="AQ10" s="48">
        <v>3.9903885825622487E-2</v>
      </c>
      <c r="AR10" s="48">
        <v>3.9853362586466837E-2</v>
      </c>
      <c r="AS10" s="48">
        <v>4.0815863765716942E-2</v>
      </c>
      <c r="AT10" s="48">
        <v>3.3757419599516149E-2</v>
      </c>
      <c r="AU10" s="48">
        <v>3.408873311257489E-2</v>
      </c>
      <c r="AV10" s="48">
        <v>3.4783268389058736E-2</v>
      </c>
      <c r="AW10" s="48">
        <v>3.5056866421076249E-2</v>
      </c>
      <c r="AX10" s="48">
        <v>3.4604022468406034E-2</v>
      </c>
      <c r="AY10" s="48">
        <v>3.5484178327709531E-2</v>
      </c>
      <c r="AZ10" s="48">
        <v>3.6611438136462733E-2</v>
      </c>
      <c r="BA10" s="48">
        <v>3.5634822260325584E-2</v>
      </c>
      <c r="BB10" s="48">
        <v>3.3131171831141462E-2</v>
      </c>
      <c r="BC10" s="48">
        <v>3.1607063072999965E-2</v>
      </c>
      <c r="BD10" s="48">
        <v>3.2379255690187826E-2</v>
      </c>
      <c r="BE10" s="48">
        <v>3.4384306889136435E-2</v>
      </c>
      <c r="BF10" s="48">
        <v>3.5105739788455416E-2</v>
      </c>
      <c r="BG10" s="48">
        <v>3.6603455411380291E-2</v>
      </c>
      <c r="BH10" s="48">
        <v>3.6828295649373413E-2</v>
      </c>
      <c r="BI10" s="48">
        <v>3.7980915762080049E-2</v>
      </c>
      <c r="BJ10" s="48">
        <v>4.0037120836726399E-2</v>
      </c>
      <c r="BK10" s="48">
        <v>4.2204554010322755E-2</v>
      </c>
      <c r="BL10" s="48">
        <v>4.4224353969545258E-2</v>
      </c>
      <c r="BM10" s="48">
        <v>4.3551274905325267E-2</v>
      </c>
      <c r="BN10" s="48">
        <v>4.4337260586775368E-2</v>
      </c>
      <c r="BO10" s="48">
        <v>4.6910110190497518E-2</v>
      </c>
    </row>
    <row r="11" spans="1:67" x14ac:dyDescent="0.25">
      <c r="A11" s="9" t="s">
        <v>173</v>
      </c>
      <c r="B11" s="9" t="s">
        <v>47</v>
      </c>
      <c r="C11" s="9" t="s">
        <v>48</v>
      </c>
      <c r="D11" s="9" t="s">
        <v>49</v>
      </c>
      <c r="E11" s="9" t="s">
        <v>42</v>
      </c>
      <c r="F11" s="9" t="s">
        <v>43</v>
      </c>
      <c r="G11" s="9" t="s">
        <v>163</v>
      </c>
      <c r="H11" s="43">
        <v>1</v>
      </c>
      <c r="I11" s="43">
        <v>1</v>
      </c>
      <c r="J11" s="43">
        <v>1</v>
      </c>
      <c r="K11" s="43">
        <v>1</v>
      </c>
      <c r="L11" s="43">
        <v>1</v>
      </c>
      <c r="M11" s="43">
        <v>1</v>
      </c>
      <c r="N11" s="43">
        <v>1</v>
      </c>
      <c r="O11" s="43">
        <v>1</v>
      </c>
      <c r="P11" s="43">
        <v>1</v>
      </c>
      <c r="Q11" s="43">
        <v>1</v>
      </c>
      <c r="R11" s="43">
        <v>1</v>
      </c>
      <c r="S11" s="43">
        <v>1</v>
      </c>
      <c r="T11" s="43">
        <v>1</v>
      </c>
      <c r="U11" s="43">
        <v>1</v>
      </c>
      <c r="V11" s="43">
        <v>1</v>
      </c>
      <c r="W11" s="43">
        <v>1</v>
      </c>
      <c r="X11" s="43">
        <v>1</v>
      </c>
      <c r="Y11" s="43">
        <v>1</v>
      </c>
      <c r="Z11" s="43">
        <v>1</v>
      </c>
      <c r="AA11" s="43">
        <v>1</v>
      </c>
      <c r="AB11" s="43">
        <v>1</v>
      </c>
      <c r="AC11" s="43">
        <v>1</v>
      </c>
      <c r="AD11" s="43">
        <v>1</v>
      </c>
      <c r="AE11" s="43">
        <v>1</v>
      </c>
      <c r="AF11" s="43">
        <v>1</v>
      </c>
      <c r="AG11" s="43">
        <v>1</v>
      </c>
      <c r="AH11" s="43">
        <v>1</v>
      </c>
      <c r="AI11" s="43">
        <v>1</v>
      </c>
      <c r="AJ11" s="43">
        <v>1</v>
      </c>
      <c r="AK11" s="43">
        <v>1</v>
      </c>
      <c r="AL11" s="43">
        <v>1</v>
      </c>
      <c r="AM11" s="43">
        <v>1</v>
      </c>
      <c r="AN11" s="43">
        <v>1</v>
      </c>
      <c r="AO11" s="43">
        <v>1</v>
      </c>
      <c r="AP11" s="43">
        <v>1</v>
      </c>
      <c r="AQ11" s="43">
        <v>1</v>
      </c>
      <c r="AR11" s="43">
        <v>1</v>
      </c>
      <c r="AS11" s="43">
        <v>1</v>
      </c>
      <c r="AT11" s="43">
        <v>1</v>
      </c>
      <c r="AU11" s="43">
        <v>1</v>
      </c>
      <c r="AV11" s="43">
        <v>1</v>
      </c>
      <c r="AW11" s="43">
        <v>1</v>
      </c>
      <c r="AX11" s="43">
        <v>1</v>
      </c>
      <c r="AY11" s="43">
        <v>1</v>
      </c>
      <c r="AZ11" s="43">
        <v>1</v>
      </c>
      <c r="BA11" s="43">
        <v>1</v>
      </c>
      <c r="BB11" s="43">
        <v>1</v>
      </c>
      <c r="BC11" s="43">
        <v>1</v>
      </c>
      <c r="BD11" s="43">
        <v>1</v>
      </c>
      <c r="BE11" s="43">
        <v>1</v>
      </c>
      <c r="BF11" s="43">
        <v>1</v>
      </c>
      <c r="BG11" s="43">
        <v>1</v>
      </c>
      <c r="BH11" s="43">
        <v>1</v>
      </c>
      <c r="BI11" s="43">
        <v>1</v>
      </c>
      <c r="BJ11" s="43">
        <v>1</v>
      </c>
      <c r="BK11" s="43">
        <v>1</v>
      </c>
      <c r="BL11" s="43">
        <v>1</v>
      </c>
      <c r="BM11" s="43">
        <v>1</v>
      </c>
      <c r="BN11" s="43">
        <v>1</v>
      </c>
      <c r="BO11" s="43">
        <v>1</v>
      </c>
    </row>
    <row r="12" spans="1:67" x14ac:dyDescent="0.25">
      <c r="A12" s="9" t="s">
        <v>164</v>
      </c>
      <c r="B12" s="9" t="s">
        <v>47</v>
      </c>
      <c r="C12" s="9" t="s">
        <v>48</v>
      </c>
      <c r="D12" s="9" t="s">
        <v>49</v>
      </c>
      <c r="E12" s="9" t="s">
        <v>42</v>
      </c>
      <c r="F12" s="9" t="s">
        <v>43</v>
      </c>
      <c r="G12" s="9" t="s">
        <v>123</v>
      </c>
      <c r="H12" s="48">
        <f>H5</f>
        <v>1.7402452662565598E-2</v>
      </c>
      <c r="I12" s="48">
        <f t="shared" ref="I12:BO12" si="0">I5</f>
        <v>1.7712295382383312E-2</v>
      </c>
      <c r="J12" s="48">
        <f t="shared" si="0"/>
        <v>1.8033371320690841E-2</v>
      </c>
      <c r="K12" s="48">
        <f t="shared" si="0"/>
        <v>1.8366302639064337E-2</v>
      </c>
      <c r="L12" s="48">
        <f t="shared" si="0"/>
        <v>1.8711758308554458E-2</v>
      </c>
      <c r="M12" s="48">
        <f t="shared" si="0"/>
        <v>1.9070458596322996E-2</v>
      </c>
      <c r="N12" s="48">
        <f t="shared" si="0"/>
        <v>1.944318007841234E-2</v>
      </c>
      <c r="O12" s="48">
        <f t="shared" si="0"/>
        <v>1.9830761252063515E-2</v>
      </c>
      <c r="P12" s="48">
        <f t="shared" si="0"/>
        <v>2.0234108832944356E-2</v>
      </c>
      <c r="Q12" s="48">
        <f t="shared" si="0"/>
        <v>2.065420483682746E-2</v>
      </c>
      <c r="R12" s="48">
        <f t="shared" si="0"/>
        <v>2.1092114562141055E-2</v>
      </c>
      <c r="S12" s="48">
        <f t="shared" si="0"/>
        <v>2.1548995609990896E-2</v>
      </c>
      <c r="T12" s="48">
        <f t="shared" si="0"/>
        <v>2.202610810244637E-2</v>
      </c>
      <c r="U12" s="48">
        <f t="shared" si="0"/>
        <v>2.2524826289009713E-2</v>
      </c>
      <c r="V12" s="48">
        <f t="shared" si="0"/>
        <v>2.3046651766385446E-2</v>
      </c>
      <c r="W12" s="48">
        <f t="shared" si="0"/>
        <v>2.3593228579378494E-2</v>
      </c>
      <c r="X12" s="48">
        <f t="shared" si="0"/>
        <v>2.4166360522798483E-2</v>
      </c>
      <c r="Y12" s="48">
        <f t="shared" si="0"/>
        <v>2.4768031027959804E-2</v>
      </c>
      <c r="Z12" s="48">
        <f t="shared" si="0"/>
        <v>2.5400426095719669E-2</v>
      </c>
      <c r="AA12" s="48">
        <f t="shared" si="0"/>
        <v>2.6065960834825791E-2</v>
      </c>
      <c r="AB12" s="48">
        <f t="shared" si="0"/>
        <v>2.676731028462298E-2</v>
      </c>
      <c r="AC12" s="48">
        <f t="shared" si="0"/>
        <v>2.8841969980138212E-2</v>
      </c>
      <c r="AD12" s="48">
        <f t="shared" si="0"/>
        <v>3.1265252666665515E-2</v>
      </c>
      <c r="AE12" s="48">
        <f t="shared" si="0"/>
        <v>3.4133091807762993E-2</v>
      </c>
      <c r="AF12" s="48">
        <f t="shared" si="0"/>
        <v>3.758017393743799E-2</v>
      </c>
      <c r="AG12" s="48">
        <f t="shared" si="0"/>
        <v>4.1801705096711606E-2</v>
      </c>
      <c r="AH12" s="48">
        <f t="shared" si="0"/>
        <v>4.3747997133876074E-2</v>
      </c>
      <c r="AI12" s="48">
        <f t="shared" si="0"/>
        <v>3.9568427325988483E-2</v>
      </c>
      <c r="AJ12" s="48">
        <f t="shared" si="0"/>
        <v>3.7682524729156855E-2</v>
      </c>
      <c r="AK12" s="48">
        <f t="shared" si="0"/>
        <v>3.6887639566775168E-2</v>
      </c>
      <c r="AL12" s="48">
        <f t="shared" si="0"/>
        <v>3.7898031680727022E-2</v>
      </c>
      <c r="AM12" s="48">
        <f t="shared" si="0"/>
        <v>3.7906589116753077E-2</v>
      </c>
      <c r="AN12" s="48">
        <f t="shared" si="0"/>
        <v>3.8681024808385672E-2</v>
      </c>
      <c r="AO12" s="48">
        <f t="shared" si="0"/>
        <v>3.9125772452235967E-2</v>
      </c>
      <c r="AP12" s="48">
        <f t="shared" si="0"/>
        <v>4.0855596901531711E-2</v>
      </c>
      <c r="AQ12" s="48">
        <f t="shared" si="0"/>
        <v>4.020010720028587E-2</v>
      </c>
      <c r="AR12" s="48">
        <f t="shared" si="0"/>
        <v>3.975583699125209E-2</v>
      </c>
      <c r="AS12" s="48">
        <f t="shared" si="0"/>
        <v>4.4348973494644367E-2</v>
      </c>
      <c r="AT12" s="48">
        <f t="shared" si="0"/>
        <v>4.5680448345141171E-2</v>
      </c>
      <c r="AU12" s="48">
        <f t="shared" si="0"/>
        <v>4.4675502794746864E-2</v>
      </c>
      <c r="AV12" s="48">
        <f t="shared" si="0"/>
        <v>4.3214942766876728E-2</v>
      </c>
      <c r="AW12" s="48">
        <f t="shared" si="0"/>
        <v>4.544549205966264E-2</v>
      </c>
      <c r="AX12" s="48">
        <f t="shared" si="0"/>
        <v>4.2119841348597586E-2</v>
      </c>
      <c r="AY12" s="48">
        <f t="shared" si="0"/>
        <v>4.6090138464828539E-2</v>
      </c>
      <c r="AZ12" s="48">
        <f t="shared" si="0"/>
        <v>4.8650207013638078E-2</v>
      </c>
      <c r="BA12" s="48">
        <f t="shared" si="0"/>
        <v>4.4236007290749356E-2</v>
      </c>
      <c r="BB12" s="48">
        <f t="shared" si="0"/>
        <v>4.1704781633420118E-2</v>
      </c>
      <c r="BC12" s="48">
        <f t="shared" si="0"/>
        <v>4.5947171152739844E-2</v>
      </c>
      <c r="BD12" s="48">
        <f t="shared" si="0"/>
        <v>4.63275635180923E-2</v>
      </c>
      <c r="BE12" s="48">
        <f t="shared" si="0"/>
        <v>4.2611637448615056E-2</v>
      </c>
      <c r="BF12" s="48">
        <f t="shared" si="0"/>
        <v>4.1906052837841684E-2</v>
      </c>
      <c r="BG12" s="48">
        <f t="shared" si="0"/>
        <v>4.4719138963344111E-2</v>
      </c>
      <c r="BH12" s="48">
        <f t="shared" si="0"/>
        <v>4.3352581820192936E-2</v>
      </c>
      <c r="BI12" s="48">
        <f t="shared" si="0"/>
        <v>4.3981044712704691E-2</v>
      </c>
      <c r="BJ12" s="48">
        <f t="shared" si="0"/>
        <v>4.2133936501730231E-2</v>
      </c>
      <c r="BK12" s="48">
        <f t="shared" si="0"/>
        <v>4.142350246793728E-2</v>
      </c>
      <c r="BL12" s="48">
        <f t="shared" si="0"/>
        <v>4.34498268488639E-2</v>
      </c>
      <c r="BM12" s="48">
        <f t="shared" si="0"/>
        <v>5.0979546817003889E-2</v>
      </c>
      <c r="BN12" s="48">
        <f t="shared" si="0"/>
        <v>5.0933145530459287E-2</v>
      </c>
      <c r="BO12" s="48">
        <f t="shared" si="0"/>
        <v>5.634671548502812E-2</v>
      </c>
    </row>
    <row r="14" spans="1:67" x14ac:dyDescent="0.25">
      <c r="B14" s="74" t="s">
        <v>168</v>
      </c>
      <c r="C14" s="74"/>
      <c r="F14" s="9" t="s">
        <v>171</v>
      </c>
    </row>
    <row r="15" spans="1:67" x14ac:dyDescent="0.25">
      <c r="B15" s="76">
        <v>1</v>
      </c>
      <c r="C15" s="77" t="s">
        <v>169</v>
      </c>
    </row>
    <row r="16" spans="1:67" x14ac:dyDescent="0.25">
      <c r="B16" s="76">
        <v>2</v>
      </c>
      <c r="C16" s="77" t="s">
        <v>170</v>
      </c>
      <c r="F16" s="9" t="s">
        <v>172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"/>
  <sheetViews>
    <sheetView workbookViewId="0">
      <selection activeCell="B1" sqref="B1"/>
    </sheetView>
  </sheetViews>
  <sheetFormatPr defaultColWidth="8.85546875" defaultRowHeight="15" x14ac:dyDescent="0.25"/>
  <cols>
    <col min="1" max="1" width="17.85546875" bestFit="1" customWidth="1"/>
    <col min="2" max="2" width="15.7109375" style="52" bestFit="1" customWidth="1"/>
  </cols>
  <sheetData>
    <row r="1" spans="1:2" x14ac:dyDescent="0.25">
      <c r="A1" t="s">
        <v>62</v>
      </c>
      <c r="B1" s="52">
        <v>1.06E-6</v>
      </c>
    </row>
    <row r="2" spans="1:2" x14ac:dyDescent="0.25">
      <c r="A2" t="s">
        <v>63</v>
      </c>
      <c r="B2" s="52">
        <v>2204.6226200000001</v>
      </c>
    </row>
    <row r="3" spans="1:2" x14ac:dyDescent="0.25">
      <c r="A3" t="s">
        <v>67</v>
      </c>
      <c r="B3" s="52">
        <v>3.5999999999999999E-3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</vt:i4>
      </vt:variant>
    </vt:vector>
  </HeadingPairs>
  <TitlesOfParts>
    <vt:vector size="17" baseType="lpstr">
      <vt:lpstr>REFS</vt:lpstr>
      <vt:lpstr>FIN_ETA</vt:lpstr>
      <vt:lpstr>Calcs</vt:lpstr>
      <vt:lpstr>Fleischer_1951</vt:lpstr>
      <vt:lpstr>DOE_2007</vt:lpstr>
      <vt:lpstr>OTA_1993</vt:lpstr>
      <vt:lpstr>IAI_2020_Alumina_refining</vt:lpstr>
      <vt:lpstr>Bravard_1972</vt:lpstr>
      <vt:lpstr>Hamel_1979</vt:lpstr>
      <vt:lpstr>Ayres_2006</vt:lpstr>
      <vt:lpstr>DOE_2017</vt:lpstr>
      <vt:lpstr>Brough_2020</vt:lpstr>
      <vt:lpstr>PB COMMENTS</vt:lpstr>
      <vt:lpstr>Units</vt:lpstr>
      <vt:lpstr>Btu_to_GJ</vt:lpstr>
      <vt:lpstr>kWh_to_GJ</vt:lpstr>
      <vt:lpstr>lb_to_metrictonne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2023-05-09T05:41:18Z</dcterms:modified>
</cp:coreProperties>
</file>