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8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3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4.xml" ContentType="application/vnd.openxmlformats-officedocument.spreadsheetml.comments+xml"/>
  <Override PartName="/xl/drawings/drawing20.xml" ContentType="application/vnd.openxmlformats-officedocument.drawing+xml"/>
  <Override PartName="/xl/charts/chart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ropbox\Fellowship 1960-2015 PFU database\Data\Machines - Data\Blast_oxygen_furnaces\"/>
    </mc:Choice>
  </mc:AlternateContent>
  <xr:revisionPtr revIDLastSave="0" documentId="13_ncr:1_{20B8037B-62A1-4B43-9DCC-972A6D77262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REFS" sheetId="33" r:id="rId1"/>
    <sheet name="FIN_ETA" sheetId="7" r:id="rId2"/>
    <sheet name="Calcs" sheetId="21" r:id="rId3"/>
    <sheet name="WorldSteel" sheetId="5" r:id="rId4"/>
    <sheet name="Mernier_1984" sheetId="23" r:id="rId5"/>
    <sheet name="Krishnan_2013" sheetId="29" r:id="rId6"/>
    <sheet name="DOE_2015" sheetId="18" r:id="rId7"/>
    <sheet name="Freuhan_2000" sheetId="6" r:id="rId8"/>
    <sheet name="Goldemberg_2001" sheetId="22" r:id="rId9"/>
    <sheet name="Meyers_1993" sheetId="25" r:id="rId10"/>
    <sheet name="China PB data" sheetId="31" r:id="rId11"/>
    <sheet name="ISSB UK data" sheetId="30" r:id="rId12"/>
    <sheet name="Johansson_2012" sheetId="24" r:id="rId13"/>
    <sheet name="Sargsyan_2008" sheetId="20" r:id="rId14"/>
    <sheet name="Bravard_1972" sheetId="27" r:id="rId15"/>
    <sheet name="Hajidavalloo_2013" sheetId="9" r:id="rId16"/>
    <sheet name="Blanchard_2011" sheetId="16" r:id="rId17"/>
    <sheet name="Ayres_2006" sheetId="14" r:id="rId18"/>
    <sheet name="IndianMOP_2015" sheetId="19" r:id="rId19"/>
    <sheet name="Units" sheetId="28" r:id="rId20"/>
    <sheet name="Hernandez_2018" sheetId="12" r:id="rId21"/>
    <sheet name="de Beer_1998" sheetId="11" r:id="rId22"/>
    <sheet name="Kumar_2020" sheetId="10" r:id="rId23"/>
    <sheet name="ChemExergy" sheetId="8" r:id="rId24"/>
    <sheet name="Calcs_ChemEx" sheetId="1" r:id="rId25"/>
    <sheet name="ChemEnergy" sheetId="13" r:id="rId26"/>
    <sheet name="Figures" sheetId="17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\0">[1]TABLE1a!$U$1:$U$7</definedName>
    <definedName name="\p">[1]TABLE1a!$P$1</definedName>
    <definedName name="\t">[1]TABLE1a!$U$3:$U$3</definedName>
    <definedName name="_1.2__Average_distance_travelled_by_mode_of_travel__1975_76__1985_86_and_1993_95" localSheetId="10">#REF!</definedName>
    <definedName name="_1.2__Average_distance_travelled_by_mode_of_travel__1975_76__1985_86_and_1993_95" localSheetId="11">#REF!</definedName>
    <definedName name="_1.2__Average_distance_travelled_by_mode_of_travel__1975_76__1985_86_and_1993_95">#REF!</definedName>
    <definedName name="_1981" localSheetId="10">#REF!</definedName>
    <definedName name="_1981" localSheetId="11">#REF!</definedName>
    <definedName name="_1981">#REF!</definedName>
    <definedName name="_Hlk31405465" localSheetId="23">ChemExergy!$D$15</definedName>
    <definedName name="_tab13" localSheetId="10">#REF!</definedName>
    <definedName name="_tab13" localSheetId="11">#REF!</definedName>
    <definedName name="_tab13">#REF!</definedName>
    <definedName name="_tab14" localSheetId="10">#REF!</definedName>
    <definedName name="_tab14" localSheetId="11">#REF!</definedName>
    <definedName name="_tab14">#REF!</definedName>
    <definedName name="Absc_graph" localSheetId="2">INDIRECT(#REF!)</definedName>
    <definedName name="Absc_graph" localSheetId="8">INDIRECT(#REF!)</definedName>
    <definedName name="Absc_graph">INDIRECT(#REF!)</definedName>
    <definedName name="activeCell" localSheetId="10">#REF!</definedName>
    <definedName name="activeCell" localSheetId="11">#REF!</definedName>
    <definedName name="activeCell">#REF!</definedName>
    <definedName name="ALL">#N/A</definedName>
    <definedName name="ANNBELGIUM">[1]TABLE5!$D$5:$D$12</definedName>
    <definedName name="ANNDVR">[1]TABLE4AL!$D$6:$D$12</definedName>
    <definedName name="ANNENG">[1]TABLE4AL!$F$6:$F$12</definedName>
    <definedName name="ANNFORIEGN">[1]TABLE1a!$P$37:$P$37</definedName>
    <definedName name="ANNFRANCE">[1]TABLE5!$B$5:$B$12</definedName>
    <definedName name="ANNL">[1]TABLE5!$F$5:$F$12</definedName>
    <definedName name="ANNOTHER">[1]TABLE5!$J$5:$J$12</definedName>
    <definedName name="ANNSE">[1]TABLE4AL!$B$6:$B$12</definedName>
    <definedName name="ANNUAL" localSheetId="10">#REF!</definedName>
    <definedName name="ANNUAL" localSheetId="11">#REF!</definedName>
    <definedName name="ANNUAL">#REF!</definedName>
    <definedName name="ANNUK">[1]TABLE1a!$E$8:$E$14</definedName>
    <definedName name="ANNUT">[1]TABLE1a!$M$8:$M$14</definedName>
    <definedName name="BARQTR" localSheetId="10">#REF!</definedName>
    <definedName name="BARQTR" localSheetId="11">#REF!</definedName>
    <definedName name="BARQTR">#REF!</definedName>
    <definedName name="BELGIUM" localSheetId="10">#REF!</definedName>
    <definedName name="BELGIUM" localSheetId="11">#REF!</definedName>
    <definedName name="BELGIUM">#REF!</definedName>
    <definedName name="BF_BOF_min">Freuhan_2000!$C$2</definedName>
    <definedName name="btu.MJ">[2]Conversores!$F$2</definedName>
    <definedName name="Btu_to_GJ">Units!$B$1</definedName>
    <definedName name="BULL">#N/A</definedName>
    <definedName name="CAMARA">[1]TABLE1a!$P$4</definedName>
    <definedName name="CategoryTitle" localSheetId="10">#REF!</definedName>
    <definedName name="CategoryTitle" localSheetId="11">#REF!</definedName>
    <definedName name="CategoryTitle">#REF!</definedName>
    <definedName name="CLONE">[1]TABLE1a!$P$6</definedName>
    <definedName name="Companies" localSheetId="2">#REF!</definedName>
    <definedName name="Companies" localSheetId="8">#REF!</definedName>
    <definedName name="Companies">#REF!</definedName>
    <definedName name="Countries" localSheetId="2">#REF!</definedName>
    <definedName name="Countries" localSheetId="8">#REF!</definedName>
    <definedName name="Countries">#REF!</definedName>
    <definedName name="DEFLATOR" localSheetId="10">#REF!</definedName>
    <definedName name="DEFLATOR" localSheetId="11">#REF!</definedName>
    <definedName name="DEFLATOR">#REF!</definedName>
    <definedName name="dgdsfyh" localSheetId="10">#REF!</definedName>
    <definedName name="dgdsfyh" localSheetId="11">#REF!</definedName>
    <definedName name="dgdsfyh">#REF!</definedName>
    <definedName name="DK" localSheetId="10">#REF!</definedName>
    <definedName name="DK" localSheetId="11">#REF!</definedName>
    <definedName name="DK">#REF!</definedName>
    <definedName name="DNK_D" localSheetId="10">#REF!</definedName>
    <definedName name="DNK_D" localSheetId="11">#REF!</definedName>
    <definedName name="DNK_D">#REF!</definedName>
    <definedName name="DOVER">#N/A</definedName>
    <definedName name="EIRE" localSheetId="10">#REF!</definedName>
    <definedName name="EIRE" localSheetId="11">#REF!</definedName>
    <definedName name="EIRE">#REF!</definedName>
    <definedName name="ENGLISH">#N/A</definedName>
    <definedName name="fbegyear" localSheetId="10">#REF!</definedName>
    <definedName name="fbegyear" localSheetId="11">#REF!</definedName>
    <definedName name="fbegyear">#REF!</definedName>
    <definedName name="fendyear">[3]Year!$B$3</definedName>
    <definedName name="FL" localSheetId="10">#REF!</definedName>
    <definedName name="FL" localSheetId="11">#REF!</definedName>
    <definedName name="FL">#REF!</definedName>
    <definedName name="Footnotes" localSheetId="10">#REF!</definedName>
    <definedName name="Footnotes" localSheetId="11">#REF!</definedName>
    <definedName name="Footnotes">#REF!</definedName>
    <definedName name="FOREIGN">[1]TABLE1a!$P$38:$P$52</definedName>
    <definedName name="FRANCE" localSheetId="10">#REF!</definedName>
    <definedName name="FRANCE" localSheetId="11">#REF!</definedName>
    <definedName name="FRANCE">#REF!</definedName>
    <definedName name="fyear">[3]c11!$D$42</definedName>
    <definedName name="GERMANY" localSheetId="10">#REF!</definedName>
    <definedName name="GERMANY" localSheetId="11">#REF!</definedName>
    <definedName name="GERMANY">#REF!</definedName>
    <definedName name="GJ_kgCO2e.diesel">[4]Conversores!$W$5</definedName>
    <definedName name="GraphData">'[5]TIS-INDEX'!$B$13:$Q$44,'[5]TIS-INDEX'!$E$9:$R$9</definedName>
    <definedName name="GraphTitle" localSheetId="10">#REF!</definedName>
    <definedName name="GraphTitle" localSheetId="11">#REF!</definedName>
    <definedName name="GraphTitle">#REF!</definedName>
    <definedName name="Indicators" localSheetId="2">#REF!</definedName>
    <definedName name="Indicators" localSheetId="8">#REF!</definedName>
    <definedName name="Indicators">#REF!</definedName>
    <definedName name="ITALY" localSheetId="10">#REF!</definedName>
    <definedName name="ITALY" localSheetId="11">#REF!</definedName>
    <definedName name="ITALY">#REF!</definedName>
    <definedName name="kg_l.NatGas">[2]Conversores!$L$9</definedName>
    <definedName name="kg_MJ.Coal">[2]Conversores!$M$11</definedName>
    <definedName name="kg_MJ.Dsl">[6]Conversores!$M$5</definedName>
    <definedName name="kg_MJ.Gasoline">[6]Conversores!$M$4</definedName>
    <definedName name="kg_MJ.kero">[6]Conversores!$M$3</definedName>
    <definedName name="kg_MJ.NatGas">[6]Conversores!$M$9</definedName>
    <definedName name="kWh.MJ">[2]Conversores!$F$15</definedName>
    <definedName name="kWh_to_GJ">Units!$B$3</definedName>
    <definedName name="l_MJ.Diesel">[7]Conversores!$N$5</definedName>
    <definedName name="l_MJ.NatGas">[2]Conversores!$N$9</definedName>
    <definedName name="l_MJ.Oil">[2]Conversores!$N$10</definedName>
    <definedName name="lb_to_metrictonne">Units!$B$2</definedName>
    <definedName name="mcal_to_GJ">Units!$B$4</definedName>
    <definedName name="NLS" localSheetId="10">#REF!</definedName>
    <definedName name="NLS" localSheetId="11">#REF!</definedName>
    <definedName name="NLS">#REF!</definedName>
    <definedName name="NONEC" localSheetId="10">#REF!</definedName>
    <definedName name="NONEC" localSheetId="11">#REF!</definedName>
    <definedName name="NONEC">#REF!</definedName>
    <definedName name="NORTHSEA">#N/A</definedName>
    <definedName name="OldData" localSheetId="10">#REF!</definedName>
    <definedName name="OldData" localSheetId="11">#REF!</definedName>
    <definedName name="OldData">#REF!</definedName>
    <definedName name="Ord_graph" localSheetId="2">INDIRECT(#REF!)</definedName>
    <definedName name="Ord_graph" localSheetId="8">INDIRECT(#REF!)</definedName>
    <definedName name="Ord_graph">INDIRECT(#REF!)</definedName>
    <definedName name="OTHER">#N/A</definedName>
    <definedName name="OTHEREC" localSheetId="10">#REF!</definedName>
    <definedName name="OTHEREC" localSheetId="11">#REF!</definedName>
    <definedName name="OTHEREC">#REF!</definedName>
    <definedName name="PIE" localSheetId="10">#REF!</definedName>
    <definedName name="PIE" localSheetId="11">#REF!</definedName>
    <definedName name="PIE">#REF!</definedName>
    <definedName name="_xlnm.Print_Area" localSheetId="10">#REF!</definedName>
    <definedName name="_xlnm.Print_Area" localSheetId="11">#REF!</definedName>
    <definedName name="_xlnm.Print_Area">#REF!</definedName>
    <definedName name="Print_Area_MI">[1]TABLE1a!$A$1:$O$37</definedName>
    <definedName name="PUBLISH_Print_Area" localSheetId="10">#REF!</definedName>
    <definedName name="PUBLISH_Print_Area" localSheetId="11">#REF!</definedName>
    <definedName name="PUBLISH_Print_Area">#REF!</definedName>
    <definedName name="PUBLISH1998_Print_Area" localSheetId="10">#REF!</definedName>
    <definedName name="PUBLISH1998_Print_Area" localSheetId="11">#REF!</definedName>
    <definedName name="PUBLISH1998_Print_Area">#REF!</definedName>
    <definedName name="qryNonEUBreakdown" localSheetId="10">#REF!</definedName>
    <definedName name="qryNonEUBreakdown" localSheetId="11">#REF!</definedName>
    <definedName name="qryNonEUBreakdown">#REF!</definedName>
    <definedName name="QUARTER" localSheetId="10">#REF!</definedName>
    <definedName name="QUARTER" localSheetId="11">#REF!</definedName>
    <definedName name="QUARTER">#REF!</definedName>
    <definedName name="Region" localSheetId="2">#REF!</definedName>
    <definedName name="Region" localSheetId="8">#REF!</definedName>
    <definedName name="Region">#REF!</definedName>
    <definedName name="Report_type" localSheetId="2">#REF!</definedName>
    <definedName name="Report_type" localSheetId="8">#REF!</definedName>
    <definedName name="Report_type">#REF!</definedName>
    <definedName name="SPAIN" localSheetId="10">#REF!</definedName>
    <definedName name="SPAIN" localSheetId="11">#REF!</definedName>
    <definedName name="SPAIN">#REF!</definedName>
    <definedName name="tab">[8]TABLE1a!$U$3:$U$3</definedName>
    <definedName name="TAB4ALL">#N/A</definedName>
    <definedName name="TAB4PV">#N/A</definedName>
    <definedName name="TAB4UT">#N/A</definedName>
    <definedName name="TableTitle" localSheetId="10">#REF!</definedName>
    <definedName name="TableTitle" localSheetId="11">#REF!</definedName>
    <definedName name="TableTitle">#REF!</definedName>
    <definedName name="testing" localSheetId="10">#REF!</definedName>
    <definedName name="testing" localSheetId="11">#REF!</definedName>
    <definedName name="testing">#REF!</definedName>
    <definedName name="Type">[9]MD!$D$2:$D$57</definedName>
    <definedName name="UK">#N/A</definedName>
    <definedName name="UT">#N/A</definedName>
    <definedName name="ValueTitle" localSheetId="10">#REF!</definedName>
    <definedName name="ValueTitle" localSheetId="11">#REF!</definedName>
    <definedName name="ValueTitl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30" i="31" l="1"/>
  <c r="N130" i="31" s="1"/>
  <c r="M129" i="31"/>
  <c r="N129" i="31" s="1"/>
  <c r="M128" i="31"/>
  <c r="N128" i="31" s="1"/>
  <c r="M127" i="31"/>
  <c r="N127" i="31" s="1"/>
  <c r="M126" i="31"/>
  <c r="N126" i="31" s="1"/>
  <c r="M125" i="31"/>
  <c r="N125" i="31" s="1"/>
  <c r="M124" i="31"/>
  <c r="N124" i="31" s="1"/>
  <c r="M123" i="31"/>
  <c r="N123" i="31" s="1"/>
  <c r="N122" i="31"/>
  <c r="M122" i="31"/>
  <c r="M121" i="31"/>
  <c r="N121" i="31" s="1"/>
  <c r="M120" i="31"/>
  <c r="N120" i="31" s="1"/>
  <c r="Q120" i="31" s="1"/>
  <c r="M119" i="31"/>
  <c r="N119" i="31" s="1"/>
  <c r="M118" i="31"/>
  <c r="N118" i="31" s="1"/>
  <c r="M117" i="31"/>
  <c r="N117" i="31" s="1"/>
  <c r="M116" i="31"/>
  <c r="N116" i="31" s="1"/>
  <c r="M115" i="31"/>
  <c r="N115" i="31" s="1"/>
  <c r="M114" i="31"/>
  <c r="N114" i="31" s="1"/>
  <c r="K69" i="31"/>
  <c r="K68" i="31"/>
  <c r="K67" i="31"/>
  <c r="K66" i="31"/>
  <c r="K65" i="31"/>
  <c r="K64" i="31"/>
  <c r="K63" i="31"/>
  <c r="K62" i="31"/>
  <c r="K61" i="31"/>
  <c r="K60" i="31"/>
  <c r="K59" i="31"/>
  <c r="M51" i="31"/>
  <c r="L51" i="31"/>
  <c r="N51" i="31" s="1"/>
  <c r="N50" i="31"/>
  <c r="M50" i="31"/>
  <c r="L50" i="31"/>
  <c r="M49" i="31"/>
  <c r="L49" i="31"/>
  <c r="N49" i="31" s="1"/>
  <c r="M48" i="31"/>
  <c r="L48" i="31"/>
  <c r="N48" i="31" s="1"/>
  <c r="M47" i="31"/>
  <c r="L47" i="31"/>
  <c r="N47" i="31" s="1"/>
  <c r="M46" i="31"/>
  <c r="L46" i="31"/>
  <c r="N46" i="31" s="1"/>
  <c r="M45" i="31"/>
  <c r="L45" i="31"/>
  <c r="N45" i="31" s="1"/>
  <c r="M44" i="31"/>
  <c r="L44" i="31"/>
  <c r="N44" i="31" s="1"/>
  <c r="M43" i="31"/>
  <c r="L43" i="31"/>
  <c r="N43" i="31" s="1"/>
  <c r="M42" i="31"/>
  <c r="L42" i="31"/>
  <c r="N42" i="31" s="1"/>
  <c r="M41" i="31"/>
  <c r="L41" i="31"/>
  <c r="N41" i="31" s="1"/>
  <c r="M40" i="31"/>
  <c r="L40" i="31"/>
  <c r="N40" i="31" s="1"/>
  <c r="M39" i="31"/>
  <c r="L39" i="31"/>
  <c r="N39" i="31" s="1"/>
  <c r="M38" i="31"/>
  <c r="L38" i="31"/>
  <c r="N38" i="31" s="1"/>
  <c r="M37" i="31"/>
  <c r="L37" i="31"/>
  <c r="N37" i="31" s="1"/>
  <c r="P130" i="31" s="1"/>
  <c r="N36" i="31"/>
  <c r="P129" i="31" s="1"/>
  <c r="M36" i="31"/>
  <c r="L36" i="31"/>
  <c r="M35" i="31"/>
  <c r="L35" i="31"/>
  <c r="N35" i="31" s="1"/>
  <c r="P128" i="31" s="1"/>
  <c r="M34" i="31"/>
  <c r="L34" i="31"/>
  <c r="N34" i="31" s="1"/>
  <c r="P127" i="31" s="1"/>
  <c r="M33" i="31"/>
  <c r="L33" i="31"/>
  <c r="N33" i="31" s="1"/>
  <c r="P126" i="31" s="1"/>
  <c r="M32" i="31"/>
  <c r="L32" i="31"/>
  <c r="N32" i="31" s="1"/>
  <c r="P125" i="31" s="1"/>
  <c r="M31" i="31"/>
  <c r="L31" i="31"/>
  <c r="N31" i="31" s="1"/>
  <c r="P124" i="31" s="1"/>
  <c r="M30" i="31"/>
  <c r="L30" i="31"/>
  <c r="N30" i="31" s="1"/>
  <c r="P123" i="31" s="1"/>
  <c r="M29" i="31"/>
  <c r="L29" i="31"/>
  <c r="N29" i="31" s="1"/>
  <c r="P122" i="31" s="1"/>
  <c r="M28" i="31"/>
  <c r="L28" i="31"/>
  <c r="N28" i="31" s="1"/>
  <c r="P121" i="31" s="1"/>
  <c r="M27" i="31"/>
  <c r="L27" i="31"/>
  <c r="N27" i="31" s="1"/>
  <c r="P120" i="31" s="1"/>
  <c r="M26" i="31"/>
  <c r="L26" i="31"/>
  <c r="N26" i="31" s="1"/>
  <c r="P119" i="31" s="1"/>
  <c r="M25" i="31"/>
  <c r="L25" i="31"/>
  <c r="N25" i="31" s="1"/>
  <c r="P118" i="31" s="1"/>
  <c r="M24" i="31"/>
  <c r="L24" i="31"/>
  <c r="N24" i="31" s="1"/>
  <c r="P117" i="31" s="1"/>
  <c r="M23" i="31"/>
  <c r="L23" i="31"/>
  <c r="N23" i="31" s="1"/>
  <c r="P116" i="31" s="1"/>
  <c r="M22" i="31"/>
  <c r="L22" i="31"/>
  <c r="N22" i="31" s="1"/>
  <c r="P115" i="31" s="1"/>
  <c r="M21" i="31"/>
  <c r="L21" i="31"/>
  <c r="N21" i="31" s="1"/>
  <c r="P114" i="31" s="1"/>
  <c r="M20" i="31"/>
  <c r="L20" i="31"/>
  <c r="N20" i="31" s="1"/>
  <c r="M19" i="31"/>
  <c r="L19" i="31"/>
  <c r="N19" i="31" s="1"/>
  <c r="M18" i="31"/>
  <c r="L18" i="31"/>
  <c r="N18" i="31" s="1"/>
  <c r="N17" i="31"/>
  <c r="M17" i="31"/>
  <c r="L17" i="31"/>
  <c r="M16" i="31"/>
  <c r="L16" i="31"/>
  <c r="N16" i="31" s="1"/>
  <c r="M15" i="31"/>
  <c r="L15" i="31"/>
  <c r="N15" i="31" s="1"/>
  <c r="M14" i="31"/>
  <c r="L14" i="31"/>
  <c r="N14" i="31" s="1"/>
  <c r="M13" i="31"/>
  <c r="L13" i="31"/>
  <c r="N13" i="31" s="1"/>
  <c r="M12" i="31"/>
  <c r="L12" i="31"/>
  <c r="N12" i="31" s="1"/>
  <c r="M11" i="31"/>
  <c r="L11" i="31"/>
  <c r="N11" i="31" s="1"/>
  <c r="Q119" i="31" l="1"/>
  <c r="Q115" i="31"/>
  <c r="Q116" i="31"/>
  <c r="Q117" i="31"/>
  <c r="Q123" i="31"/>
  <c r="Q127" i="31"/>
  <c r="Q128" i="31"/>
  <c r="Q129" i="31"/>
  <c r="Q114" i="31"/>
  <c r="Q125" i="31"/>
  <c r="Q130" i="31"/>
  <c r="Q121" i="31"/>
  <c r="Q122" i="31"/>
  <c r="Q126" i="31"/>
  <c r="Q118" i="31"/>
  <c r="Q124" i="31"/>
  <c r="E362" i="30"/>
  <c r="E361" i="30"/>
  <c r="E360" i="30"/>
  <c r="E359" i="30"/>
  <c r="E358" i="30"/>
  <c r="E357" i="30"/>
  <c r="E356" i="30"/>
  <c r="E355" i="30"/>
  <c r="E354" i="30"/>
  <c r="E353" i="30"/>
  <c r="E352" i="30"/>
  <c r="E351" i="30"/>
  <c r="E350" i="30"/>
  <c r="E349" i="30"/>
  <c r="E348" i="30"/>
  <c r="E347" i="30"/>
  <c r="E346" i="30"/>
  <c r="E345" i="30"/>
  <c r="E344" i="30"/>
  <c r="E343" i="30"/>
  <c r="E342" i="30"/>
  <c r="E341" i="30"/>
  <c r="E340" i="30"/>
  <c r="E339" i="30"/>
  <c r="E338" i="30"/>
  <c r="E337" i="30"/>
  <c r="E336" i="30"/>
  <c r="E335" i="30"/>
  <c r="E334" i="30"/>
  <c r="E333" i="30"/>
  <c r="E332" i="30"/>
  <c r="E331" i="30"/>
  <c r="E330" i="30"/>
  <c r="E329" i="30"/>
  <c r="E328" i="30"/>
  <c r="E327" i="30"/>
  <c r="E326" i="30"/>
  <c r="E325" i="30"/>
  <c r="E324" i="30"/>
  <c r="E323" i="30"/>
  <c r="E322" i="30"/>
  <c r="E321" i="30"/>
  <c r="E320" i="30"/>
  <c r="E319" i="30"/>
  <c r="E318" i="30"/>
  <c r="E317" i="30"/>
  <c r="E316" i="30"/>
  <c r="E315" i="30"/>
  <c r="E314" i="30"/>
  <c r="E313" i="30"/>
  <c r="E312" i="30"/>
  <c r="E311" i="30"/>
  <c r="E310" i="30"/>
  <c r="E309" i="30"/>
  <c r="E308" i="30"/>
  <c r="E307" i="30"/>
  <c r="E306" i="30"/>
  <c r="E305" i="30"/>
  <c r="E304" i="30"/>
  <c r="E303" i="30"/>
  <c r="E302" i="30"/>
  <c r="E301" i="30"/>
  <c r="E300" i="30"/>
  <c r="E299" i="30"/>
  <c r="E298" i="30"/>
  <c r="E297" i="30"/>
  <c r="E296" i="30"/>
  <c r="BH34" i="30"/>
  <c r="BF241" i="30"/>
  <c r="BE241" i="30"/>
  <c r="BD241" i="30"/>
  <c r="BC241" i="30"/>
  <c r="BB241" i="30"/>
  <c r="BA241" i="30"/>
  <c r="AZ241" i="30"/>
  <c r="AY241" i="30"/>
  <c r="AX241" i="30"/>
  <c r="AW241" i="30"/>
  <c r="AV241" i="30"/>
  <c r="AU241" i="30"/>
  <c r="AT241" i="30"/>
  <c r="AS241" i="30"/>
  <c r="AR241" i="30"/>
  <c r="AQ241" i="30"/>
  <c r="AP241" i="30"/>
  <c r="AO241" i="30"/>
  <c r="AN241" i="30"/>
  <c r="AM241" i="30"/>
  <c r="AL241" i="30"/>
  <c r="AK241" i="30"/>
  <c r="AJ241" i="30"/>
  <c r="AI241" i="30"/>
  <c r="AH241" i="30"/>
  <c r="AG241" i="30"/>
  <c r="AF241" i="30"/>
  <c r="AE241" i="30"/>
  <c r="AD241" i="30"/>
  <c r="AC241" i="30"/>
  <c r="AB241" i="30"/>
  <c r="AA241" i="30"/>
  <c r="Z241" i="30"/>
  <c r="Y241" i="30"/>
  <c r="X241" i="30"/>
  <c r="W241" i="30"/>
  <c r="V241" i="30"/>
  <c r="U241" i="30"/>
  <c r="T241" i="30"/>
  <c r="S241" i="30"/>
  <c r="R241" i="30"/>
  <c r="Q241" i="30"/>
  <c r="Z218" i="30"/>
  <c r="Y218" i="30"/>
  <c r="X218" i="30"/>
  <c r="W218" i="30"/>
  <c r="V218" i="30"/>
  <c r="U218" i="30"/>
  <c r="T218" i="30"/>
  <c r="S218" i="30"/>
  <c r="R218" i="30"/>
  <c r="Q218" i="30"/>
  <c r="Z217" i="30"/>
  <c r="Y217" i="30"/>
  <c r="X217" i="30"/>
  <c r="W217" i="30"/>
  <c r="V217" i="30"/>
  <c r="V219" i="30" s="1"/>
  <c r="H217" i="30"/>
  <c r="U217" i="30" s="1"/>
  <c r="U219" i="30" s="1"/>
  <c r="G217" i="30"/>
  <c r="T217" i="30" s="1"/>
  <c r="T219" i="30" s="1"/>
  <c r="F217" i="30"/>
  <c r="S217" i="30" s="1"/>
  <c r="S219" i="30" s="1"/>
  <c r="E217" i="30"/>
  <c r="Z213" i="30"/>
  <c r="Y213" i="30"/>
  <c r="X213" i="30"/>
  <c r="W213" i="30"/>
  <c r="V213" i="30"/>
  <c r="U213" i="30"/>
  <c r="T213" i="30"/>
  <c r="S213" i="30"/>
  <c r="R213" i="30"/>
  <c r="Q213" i="30"/>
  <c r="Z212" i="30"/>
  <c r="Y212" i="30"/>
  <c r="X212" i="30"/>
  <c r="W212" i="30"/>
  <c r="V212" i="30"/>
  <c r="U212" i="30"/>
  <c r="T212" i="30"/>
  <c r="S212" i="30"/>
  <c r="R212" i="30"/>
  <c r="Q212" i="30"/>
  <c r="Z211" i="30"/>
  <c r="Y211" i="30"/>
  <c r="X211" i="30"/>
  <c r="W211" i="30"/>
  <c r="V211" i="30"/>
  <c r="U211" i="30"/>
  <c r="T211" i="30"/>
  <c r="S211" i="30"/>
  <c r="R211" i="30"/>
  <c r="Q211" i="30"/>
  <c r="Z210" i="30"/>
  <c r="Y210" i="30"/>
  <c r="X210" i="30"/>
  <c r="W210" i="30"/>
  <c r="V210" i="30"/>
  <c r="U210" i="30"/>
  <c r="T210" i="30"/>
  <c r="S210" i="30"/>
  <c r="R210" i="30"/>
  <c r="Q210" i="30"/>
  <c r="Z209" i="30"/>
  <c r="Y209" i="30"/>
  <c r="X209" i="30"/>
  <c r="W209" i="30"/>
  <c r="V209" i="30"/>
  <c r="U209" i="30"/>
  <c r="T209" i="30"/>
  <c r="S209" i="30"/>
  <c r="R209" i="30"/>
  <c r="Q209" i="30"/>
  <c r="Z208" i="30"/>
  <c r="Y208" i="30"/>
  <c r="X208" i="30"/>
  <c r="W208" i="30"/>
  <c r="V208" i="30"/>
  <c r="U208" i="30"/>
  <c r="T208" i="30"/>
  <c r="S208" i="30"/>
  <c r="R208" i="30"/>
  <c r="Q208" i="30"/>
  <c r="Z207" i="30"/>
  <c r="Y207" i="30"/>
  <c r="X207" i="30"/>
  <c r="W207" i="30"/>
  <c r="V207" i="30"/>
  <c r="U207" i="30"/>
  <c r="T207" i="30"/>
  <c r="S207" i="30"/>
  <c r="R207" i="30"/>
  <c r="Q207" i="30"/>
  <c r="Z206" i="30"/>
  <c r="Y206" i="30"/>
  <c r="X206" i="30"/>
  <c r="W206" i="30"/>
  <c r="V206" i="30"/>
  <c r="U206" i="30"/>
  <c r="T206" i="30"/>
  <c r="S206" i="30"/>
  <c r="R206" i="30"/>
  <c r="Q206" i="30"/>
  <c r="Z205" i="30"/>
  <c r="Y205" i="30"/>
  <c r="X205" i="30"/>
  <c r="W205" i="30"/>
  <c r="V205" i="30"/>
  <c r="U205" i="30"/>
  <c r="T205" i="30"/>
  <c r="S205" i="30"/>
  <c r="R205" i="30"/>
  <c r="Q205" i="30"/>
  <c r="Z204" i="30"/>
  <c r="Y204" i="30"/>
  <c r="X204" i="30"/>
  <c r="W204" i="30"/>
  <c r="V204" i="30"/>
  <c r="U204" i="30"/>
  <c r="T204" i="30"/>
  <c r="S204" i="30"/>
  <c r="R204" i="30"/>
  <c r="Q204" i="30"/>
  <c r="Z203" i="30"/>
  <c r="Y203" i="30"/>
  <c r="X203" i="30"/>
  <c r="W203" i="30"/>
  <c r="V203" i="30"/>
  <c r="U203" i="30"/>
  <c r="T203" i="30"/>
  <c r="S203" i="30"/>
  <c r="R203" i="30"/>
  <c r="Q203" i="30"/>
  <c r="BH170" i="30"/>
  <c r="BG170" i="30"/>
  <c r="BF170" i="30"/>
  <c r="BE170" i="30"/>
  <c r="BD170" i="30"/>
  <c r="BC170" i="30"/>
  <c r="BB170" i="30"/>
  <c r="BA170" i="30"/>
  <c r="AZ170" i="30"/>
  <c r="AZ171" i="30" s="1"/>
  <c r="AY170" i="30"/>
  <c r="AX170" i="30"/>
  <c r="AW170" i="30"/>
  <c r="AV170" i="30"/>
  <c r="AU170" i="30"/>
  <c r="AT170" i="30"/>
  <c r="AS170" i="30"/>
  <c r="AR170" i="30"/>
  <c r="AQ170" i="30"/>
  <c r="AP170" i="30"/>
  <c r="AO170" i="30"/>
  <c r="AN170" i="30"/>
  <c r="AM170" i="30"/>
  <c r="AL170" i="30"/>
  <c r="AK170" i="30"/>
  <c r="AJ170" i="30"/>
  <c r="AI170" i="30"/>
  <c r="AH170" i="30"/>
  <c r="AG170" i="30"/>
  <c r="AF170" i="30"/>
  <c r="AE170" i="30"/>
  <c r="AD170" i="30"/>
  <c r="AC170" i="30"/>
  <c r="AB170" i="30"/>
  <c r="AA170" i="30"/>
  <c r="Z170" i="30"/>
  <c r="Y170" i="30"/>
  <c r="X170" i="30"/>
  <c r="W170" i="30"/>
  <c r="V170" i="30"/>
  <c r="U170" i="30"/>
  <c r="T170" i="30"/>
  <c r="T171" i="30" s="1"/>
  <c r="S170" i="30"/>
  <c r="R170" i="30"/>
  <c r="Q170" i="30"/>
  <c r="P170" i="30"/>
  <c r="O170" i="30"/>
  <c r="N170" i="30"/>
  <c r="M170" i="30"/>
  <c r="L170" i="30"/>
  <c r="K170" i="30"/>
  <c r="J170" i="30"/>
  <c r="I170" i="30"/>
  <c r="H170" i="30"/>
  <c r="G170" i="30"/>
  <c r="F170" i="30"/>
  <c r="E170" i="30"/>
  <c r="D170" i="30"/>
  <c r="BH169" i="30"/>
  <c r="BG169" i="30"/>
  <c r="BF169" i="30"/>
  <c r="BE169" i="30"/>
  <c r="BD169" i="30"/>
  <c r="BC169" i="30"/>
  <c r="BB169" i="30"/>
  <c r="BA169" i="30"/>
  <c r="AZ169" i="30"/>
  <c r="AY169" i="30"/>
  <c r="AX169" i="30"/>
  <c r="AW169" i="30"/>
  <c r="AW171" i="30" s="1"/>
  <c r="AV169" i="30"/>
  <c r="AU169" i="30"/>
  <c r="AT169" i="30"/>
  <c r="AT171" i="30" s="1"/>
  <c r="AS169" i="30"/>
  <c r="AR169" i="30"/>
  <c r="AQ169" i="30"/>
  <c r="AP169" i="30"/>
  <c r="AO169" i="30"/>
  <c r="AO171" i="30" s="1"/>
  <c r="AN169" i="30"/>
  <c r="AM169" i="30"/>
  <c r="AL169" i="30"/>
  <c r="AK169" i="30"/>
  <c r="AJ169" i="30"/>
  <c r="AI169" i="30"/>
  <c r="AH169" i="30"/>
  <c r="AG169" i="30"/>
  <c r="AF169" i="30"/>
  <c r="AE169" i="30"/>
  <c r="AD169" i="30"/>
  <c r="AC169" i="30"/>
  <c r="AB169" i="30"/>
  <c r="AA169" i="30"/>
  <c r="AA171" i="30" s="1"/>
  <c r="Z169" i="30"/>
  <c r="Y169" i="30"/>
  <c r="X169" i="30"/>
  <c r="W169" i="30"/>
  <c r="V169" i="30"/>
  <c r="U169" i="30"/>
  <c r="T169" i="30"/>
  <c r="S169" i="30"/>
  <c r="R169" i="30"/>
  <c r="Q169" i="30"/>
  <c r="P169" i="30"/>
  <c r="O169" i="30"/>
  <c r="N169" i="30"/>
  <c r="M169" i="30"/>
  <c r="L169" i="30"/>
  <c r="K169" i="30"/>
  <c r="J169" i="30"/>
  <c r="I169" i="30"/>
  <c r="I171" i="30" s="1"/>
  <c r="H169" i="30"/>
  <c r="G169" i="30"/>
  <c r="F169" i="30"/>
  <c r="F171" i="30" s="1"/>
  <c r="E169" i="30"/>
  <c r="D169" i="30"/>
  <c r="BH160" i="30"/>
  <c r="BH108" i="30" s="1"/>
  <c r="BG160" i="30"/>
  <c r="BF160" i="30"/>
  <c r="BF108" i="30" s="1"/>
  <c r="BE160" i="30"/>
  <c r="BE108" i="30" s="1"/>
  <c r="BD160" i="30"/>
  <c r="BC160" i="30"/>
  <c r="BB160" i="30"/>
  <c r="BB108" i="30" s="1"/>
  <c r="BA160" i="30"/>
  <c r="BA108" i="30" s="1"/>
  <c r="AZ160" i="30"/>
  <c r="AZ108" i="30" s="1"/>
  <c r="AY160" i="30"/>
  <c r="AY108" i="30" s="1"/>
  <c r="AX160" i="30"/>
  <c r="AX108" i="30" s="1"/>
  <c r="AW160" i="30"/>
  <c r="AV160" i="30"/>
  <c r="AU160" i="30"/>
  <c r="AT160" i="30"/>
  <c r="AT108" i="30" s="1"/>
  <c r="AS160" i="30"/>
  <c r="AS108" i="30" s="1"/>
  <c r="AR160" i="30"/>
  <c r="AR108" i="30" s="1"/>
  <c r="AQ160" i="30"/>
  <c r="AP160" i="30"/>
  <c r="AP108" i="30" s="1"/>
  <c r="AO160" i="30"/>
  <c r="AN160" i="30"/>
  <c r="AN108" i="30" s="1"/>
  <c r="AM160" i="30"/>
  <c r="AM108" i="30" s="1"/>
  <c r="AL160" i="30"/>
  <c r="AL108" i="30" s="1"/>
  <c r="AK160" i="30"/>
  <c r="AK108" i="30" s="1"/>
  <c r="AJ160" i="30"/>
  <c r="AJ108" i="30" s="1"/>
  <c r="AI160" i="30"/>
  <c r="AH160" i="30"/>
  <c r="AH108" i="30" s="1"/>
  <c r="AG160" i="30"/>
  <c r="AG108" i="30" s="1"/>
  <c r="AF160" i="30"/>
  <c r="AF108" i="30" s="1"/>
  <c r="AE160" i="30"/>
  <c r="AE108" i="30" s="1"/>
  <c r="AD160" i="30"/>
  <c r="AD108" i="30" s="1"/>
  <c r="AC160" i="30"/>
  <c r="AC108" i="30" s="1"/>
  <c r="AB160" i="30"/>
  <c r="AA160" i="30"/>
  <c r="Z160" i="30"/>
  <c r="Z108" i="30" s="1"/>
  <c r="Y160" i="30"/>
  <c r="Y108" i="30" s="1"/>
  <c r="X160" i="30"/>
  <c r="X108" i="30" s="1"/>
  <c r="W160" i="30"/>
  <c r="V160" i="30"/>
  <c r="V108" i="30" s="1"/>
  <c r="U160" i="30"/>
  <c r="U108" i="30" s="1"/>
  <c r="T160" i="30"/>
  <c r="T108" i="30" s="1"/>
  <c r="S160" i="30"/>
  <c r="R160" i="30"/>
  <c r="R108" i="30" s="1"/>
  <c r="Q160" i="30"/>
  <c r="Q108" i="30" s="1"/>
  <c r="P160" i="30"/>
  <c r="P108" i="30" s="1"/>
  <c r="O160" i="30"/>
  <c r="N160" i="30"/>
  <c r="N108" i="30" s="1"/>
  <c r="M160" i="30"/>
  <c r="M108" i="30" s="1"/>
  <c r="L160" i="30"/>
  <c r="L108" i="30" s="1"/>
  <c r="K160" i="30"/>
  <c r="J160" i="30"/>
  <c r="J108" i="30" s="1"/>
  <c r="I160" i="30"/>
  <c r="H160" i="30"/>
  <c r="G160" i="30"/>
  <c r="G108" i="30" s="1"/>
  <c r="F160" i="30"/>
  <c r="F108" i="30" s="1"/>
  <c r="E160" i="30"/>
  <c r="E108" i="30" s="1"/>
  <c r="D160" i="30"/>
  <c r="D108" i="30" s="1"/>
  <c r="BH159" i="30"/>
  <c r="BH107" i="30" s="1"/>
  <c r="BG159" i="30"/>
  <c r="BG107" i="30" s="1"/>
  <c r="BF159" i="30"/>
  <c r="BF107" i="30" s="1"/>
  <c r="BE159" i="30"/>
  <c r="BE107" i="30" s="1"/>
  <c r="BD159" i="30"/>
  <c r="BD107" i="30" s="1"/>
  <c r="BC159" i="30"/>
  <c r="BC107" i="30" s="1"/>
  <c r="BB159" i="30"/>
  <c r="BB107" i="30" s="1"/>
  <c r="BA159" i="30"/>
  <c r="BA107" i="30" s="1"/>
  <c r="AZ159" i="30"/>
  <c r="AY159" i="30"/>
  <c r="AY107" i="30" s="1"/>
  <c r="AX159" i="30"/>
  <c r="AX107" i="30" s="1"/>
  <c r="AW159" i="30"/>
  <c r="AW107" i="30" s="1"/>
  <c r="AV159" i="30"/>
  <c r="AV107" i="30" s="1"/>
  <c r="AU159" i="30"/>
  <c r="AU107" i="30" s="1"/>
  <c r="AT159" i="30"/>
  <c r="AT107" i="30" s="1"/>
  <c r="AS159" i="30"/>
  <c r="AS107" i="30" s="1"/>
  <c r="AR159" i="30"/>
  <c r="AQ159" i="30"/>
  <c r="AQ107" i="30" s="1"/>
  <c r="AP159" i="30"/>
  <c r="AO159" i="30"/>
  <c r="AN159" i="30"/>
  <c r="AN107" i="30" s="1"/>
  <c r="AM159" i="30"/>
  <c r="AM107" i="30" s="1"/>
  <c r="AL159" i="30"/>
  <c r="AL107" i="30" s="1"/>
  <c r="AK159" i="30"/>
  <c r="AK107" i="30" s="1"/>
  <c r="AJ159" i="30"/>
  <c r="AJ107" i="30" s="1"/>
  <c r="AI159" i="30"/>
  <c r="AI107" i="30" s="1"/>
  <c r="AH159" i="30"/>
  <c r="AH107" i="30" s="1"/>
  <c r="AG159" i="30"/>
  <c r="AG107" i="30" s="1"/>
  <c r="AF159" i="30"/>
  <c r="AF107" i="30" s="1"/>
  <c r="AE159" i="30"/>
  <c r="AE107" i="30" s="1"/>
  <c r="AD159" i="30"/>
  <c r="AD107" i="30" s="1"/>
  <c r="AC159" i="30"/>
  <c r="AC107" i="30" s="1"/>
  <c r="AC110" i="30" s="1"/>
  <c r="AC111" i="30" s="1"/>
  <c r="AB159" i="30"/>
  <c r="AB107" i="30" s="1"/>
  <c r="AA159" i="30"/>
  <c r="AA107" i="30" s="1"/>
  <c r="Z159" i="30"/>
  <c r="Y159" i="30"/>
  <c r="Y107" i="30" s="1"/>
  <c r="X159" i="30"/>
  <c r="X107" i="30" s="1"/>
  <c r="W159" i="30"/>
  <c r="W107" i="30" s="1"/>
  <c r="V159" i="30"/>
  <c r="V107" i="30" s="1"/>
  <c r="U159" i="30"/>
  <c r="U107" i="30" s="1"/>
  <c r="T159" i="30"/>
  <c r="S159" i="30"/>
  <c r="S107" i="30" s="1"/>
  <c r="R159" i="30"/>
  <c r="R107" i="30" s="1"/>
  <c r="Q159" i="30"/>
  <c r="Q107" i="30" s="1"/>
  <c r="P159" i="30"/>
  <c r="P107" i="30" s="1"/>
  <c r="O159" i="30"/>
  <c r="O107" i="30" s="1"/>
  <c r="N159" i="30"/>
  <c r="N107" i="30" s="1"/>
  <c r="M159" i="30"/>
  <c r="M107" i="30" s="1"/>
  <c r="L159" i="30"/>
  <c r="K159" i="30"/>
  <c r="K107" i="30" s="1"/>
  <c r="J159" i="30"/>
  <c r="J107" i="30" s="1"/>
  <c r="I159" i="30"/>
  <c r="I107" i="30" s="1"/>
  <c r="H159" i="30"/>
  <c r="H107" i="30" s="1"/>
  <c r="G159" i="30"/>
  <c r="G107" i="30" s="1"/>
  <c r="F159" i="30"/>
  <c r="F107" i="30" s="1"/>
  <c r="E159" i="30"/>
  <c r="E107" i="30" s="1"/>
  <c r="D159" i="30"/>
  <c r="D107" i="30" s="1"/>
  <c r="BH155" i="30"/>
  <c r="BG155" i="30"/>
  <c r="BF155" i="30"/>
  <c r="BE155" i="30"/>
  <c r="BD155" i="30"/>
  <c r="BC155" i="30"/>
  <c r="BB155" i="30"/>
  <c r="BA155" i="30"/>
  <c r="AZ155" i="30"/>
  <c r="AY155" i="30"/>
  <c r="AX155" i="30"/>
  <c r="AW155" i="30"/>
  <c r="AV155" i="30"/>
  <c r="AU155" i="30"/>
  <c r="AT155" i="30"/>
  <c r="AS155" i="30"/>
  <c r="AR155" i="30"/>
  <c r="AQ155" i="30"/>
  <c r="AP155" i="30"/>
  <c r="AO155" i="30"/>
  <c r="AN155" i="30"/>
  <c r="AM155" i="30"/>
  <c r="AL155" i="30"/>
  <c r="AK155" i="30"/>
  <c r="AJ155" i="30"/>
  <c r="AI155" i="30"/>
  <c r="AH155" i="30"/>
  <c r="AG155" i="30"/>
  <c r="AF155" i="30"/>
  <c r="AE155" i="30"/>
  <c r="AD155" i="30"/>
  <c r="AC155" i="30"/>
  <c r="AB155" i="30"/>
  <c r="AA155" i="30"/>
  <c r="Z155" i="30"/>
  <c r="Y155" i="30"/>
  <c r="X155" i="30"/>
  <c r="W155" i="30"/>
  <c r="V155" i="30"/>
  <c r="U155" i="30"/>
  <c r="T155" i="30"/>
  <c r="S155" i="30"/>
  <c r="R155" i="30"/>
  <c r="Q155" i="30"/>
  <c r="P155" i="30"/>
  <c r="O155" i="30"/>
  <c r="N155" i="30"/>
  <c r="M155" i="30"/>
  <c r="L155" i="30"/>
  <c r="K155" i="30"/>
  <c r="J155" i="30"/>
  <c r="I155" i="30"/>
  <c r="H155" i="30"/>
  <c r="G155" i="30"/>
  <c r="F155" i="30"/>
  <c r="E155" i="30"/>
  <c r="D155" i="30"/>
  <c r="BH112" i="30"/>
  <c r="BG112" i="30"/>
  <c r="BF112" i="30"/>
  <c r="BE112" i="30"/>
  <c r="BD112" i="30"/>
  <c r="BC112" i="30"/>
  <c r="BB112" i="30"/>
  <c r="BA112" i="30"/>
  <c r="AZ112" i="30"/>
  <c r="AY112" i="30"/>
  <c r="AX112" i="30"/>
  <c r="AW112" i="30"/>
  <c r="AV112" i="30"/>
  <c r="AU112" i="30"/>
  <c r="AT112" i="30"/>
  <c r="AS112" i="30"/>
  <c r="AR112" i="30"/>
  <c r="AQ112" i="30"/>
  <c r="AP112" i="30"/>
  <c r="AO112" i="30"/>
  <c r="AN112" i="30"/>
  <c r="AM112" i="30"/>
  <c r="AL112" i="30"/>
  <c r="AK112" i="30"/>
  <c r="AJ112" i="30"/>
  <c r="AI112" i="30"/>
  <c r="AH112" i="30"/>
  <c r="AG112" i="30"/>
  <c r="AF112" i="30"/>
  <c r="AE112" i="30"/>
  <c r="AD112" i="30"/>
  <c r="AC112" i="30"/>
  <c r="AB112" i="30"/>
  <c r="AA112" i="30"/>
  <c r="Z112" i="30"/>
  <c r="Y112" i="30"/>
  <c r="X112" i="30"/>
  <c r="W112" i="30"/>
  <c r="V112" i="30"/>
  <c r="U112" i="30"/>
  <c r="T112" i="30"/>
  <c r="S112" i="30"/>
  <c r="R112" i="30"/>
  <c r="Q112" i="30"/>
  <c r="N112" i="30"/>
  <c r="M112" i="30"/>
  <c r="L112" i="30"/>
  <c r="K112" i="30"/>
  <c r="J112" i="30"/>
  <c r="AW108" i="30"/>
  <c r="AV108" i="30"/>
  <c r="AU108" i="30"/>
  <c r="AO108" i="30"/>
  <c r="I108" i="30"/>
  <c r="H108" i="30"/>
  <c r="AP107" i="30"/>
  <c r="AO107" i="30"/>
  <c r="Z107" i="30"/>
  <c r="BF101" i="30"/>
  <c r="BF76" i="30" s="1"/>
  <c r="BE101" i="30"/>
  <c r="AP101" i="30"/>
  <c r="AP76" i="30" s="1"/>
  <c r="Z101" i="30"/>
  <c r="Z76" i="30" s="1"/>
  <c r="J101" i="30"/>
  <c r="J76" i="30" s="1"/>
  <c r="I101" i="30"/>
  <c r="BE99" i="30"/>
  <c r="AO99" i="30"/>
  <c r="Y99" i="30"/>
  <c r="H92" i="30"/>
  <c r="BD101" i="30" s="1"/>
  <c r="BD76" i="30" s="1"/>
  <c r="H88" i="30"/>
  <c r="AV100" i="30" s="1"/>
  <c r="AV75" i="30" s="1"/>
  <c r="H84" i="30"/>
  <c r="I99" i="30" s="1"/>
  <c r="D52" i="30"/>
  <c r="A69" i="30"/>
  <c r="BA46" i="30"/>
  <c r="AS46" i="30"/>
  <c r="AK46" i="30"/>
  <c r="AC46" i="30"/>
  <c r="U46" i="30"/>
  <c r="M46" i="30"/>
  <c r="E46" i="30"/>
  <c r="BG34" i="30"/>
  <c r="BF34" i="30"/>
  <c r="BE34" i="30"/>
  <c r="BD34" i="30"/>
  <c r="BC34" i="30"/>
  <c r="BB34" i="30"/>
  <c r="AS34" i="30"/>
  <c r="AR34" i="30"/>
  <c r="AJ34" i="30"/>
  <c r="AI34" i="30"/>
  <c r="AH34" i="30"/>
  <c r="AB34" i="30"/>
  <c r="Z34" i="30"/>
  <c r="Y34" i="30"/>
  <c r="X34" i="30"/>
  <c r="O34" i="30"/>
  <c r="N34" i="30"/>
  <c r="E34" i="30"/>
  <c r="D34" i="30"/>
  <c r="W161" i="30" l="1"/>
  <c r="BC161" i="30"/>
  <c r="AF110" i="30"/>
  <c r="AF115" i="30" s="1"/>
  <c r="AF116" i="30" s="1"/>
  <c r="BD161" i="30"/>
  <c r="Y101" i="30"/>
  <c r="D110" i="30"/>
  <c r="D111" i="30" s="1"/>
  <c r="T161" i="30"/>
  <c r="T172" i="30" s="1"/>
  <c r="AR161" i="30"/>
  <c r="BH110" i="30"/>
  <c r="BH109" i="30" s="1"/>
  <c r="J171" i="30"/>
  <c r="Z171" i="30"/>
  <c r="AX171" i="30"/>
  <c r="O161" i="30"/>
  <c r="W222" i="30" s="1"/>
  <c r="P110" i="30"/>
  <c r="P115" i="30" s="1"/>
  <c r="AO101" i="30"/>
  <c r="Z219" i="30"/>
  <c r="BE110" i="30"/>
  <c r="AN110" i="30"/>
  <c r="AN115" i="30" s="1"/>
  <c r="AN116" i="30" s="1"/>
  <c r="BD171" i="30"/>
  <c r="AY110" i="30"/>
  <c r="O108" i="30"/>
  <c r="O110" i="30" s="1"/>
  <c r="O111" i="30" s="1"/>
  <c r="AH171" i="30"/>
  <c r="AH172" i="30" s="1"/>
  <c r="AH174" i="30" s="1"/>
  <c r="BD108" i="30"/>
  <c r="BD110" i="30" s="1"/>
  <c r="BD115" i="30" s="1"/>
  <c r="BD116" i="30" s="1"/>
  <c r="AJ110" i="30"/>
  <c r="AJ111" i="30" s="1"/>
  <c r="AJ117" i="30" s="1"/>
  <c r="Q171" i="30"/>
  <c r="AK171" i="30"/>
  <c r="BE171" i="30"/>
  <c r="G110" i="30"/>
  <c r="G109" i="30" s="1"/>
  <c r="AZ161" i="30"/>
  <c r="AZ172" i="30" s="1"/>
  <c r="AZ174" i="30" s="1"/>
  <c r="W108" i="30"/>
  <c r="W110" i="30" s="1"/>
  <c r="R171" i="30"/>
  <c r="BF171" i="30"/>
  <c r="H110" i="30"/>
  <c r="H115" i="30" s="1"/>
  <c r="X110" i="30"/>
  <c r="X115" i="30" s="1"/>
  <c r="X116" i="30" s="1"/>
  <c r="G161" i="30"/>
  <c r="T222" i="30" s="1"/>
  <c r="S171" i="30"/>
  <c r="BG171" i="30"/>
  <c r="AE161" i="30"/>
  <c r="M110" i="30"/>
  <c r="M111" i="30" s="1"/>
  <c r="M117" i="30" s="1"/>
  <c r="T215" i="30"/>
  <c r="T220" i="30" s="1"/>
  <c r="T224" i="30" s="1"/>
  <c r="G239" i="30" s="1"/>
  <c r="G112" i="30" s="1"/>
  <c r="AF161" i="30"/>
  <c r="X161" i="30"/>
  <c r="AM161" i="30"/>
  <c r="AP171" i="30"/>
  <c r="AG171" i="30"/>
  <c r="BC108" i="30"/>
  <c r="BC110" i="30" s="1"/>
  <c r="N171" i="30"/>
  <c r="AN161" i="30"/>
  <c r="X171" i="30"/>
  <c r="L161" i="30"/>
  <c r="AU161" i="30"/>
  <c r="Y171" i="30"/>
  <c r="AY171" i="30"/>
  <c r="H161" i="30"/>
  <c r="U222" i="30" s="1"/>
  <c r="BB110" i="30"/>
  <c r="BB109" i="30" s="1"/>
  <c r="AT110" i="30"/>
  <c r="AT109" i="30" s="1"/>
  <c r="R217" i="30"/>
  <c r="R219" i="30" s="1"/>
  <c r="Q217" i="30"/>
  <c r="Q219" i="30" s="1"/>
  <c r="BF99" i="30"/>
  <c r="BB99" i="30"/>
  <c r="AL99" i="30"/>
  <c r="AL74" i="30" s="1"/>
  <c r="V99" i="30"/>
  <c r="V74" i="30" s="1"/>
  <c r="G99" i="30"/>
  <c r="G74" i="30" s="1"/>
  <c r="AD99" i="30"/>
  <c r="AD74" i="30" s="1"/>
  <c r="AR99" i="30"/>
  <c r="AR74" i="30" s="1"/>
  <c r="BG99" i="30"/>
  <c r="BG74" i="30" s="1"/>
  <c r="AZ99" i="30"/>
  <c r="AZ74" i="30" s="1"/>
  <c r="AJ99" i="30"/>
  <c r="AJ74" i="30" s="1"/>
  <c r="T99" i="30"/>
  <c r="T74" i="30" s="1"/>
  <c r="F99" i="30"/>
  <c r="F74" i="30" s="1"/>
  <c r="AT99" i="30"/>
  <c r="AT74" i="30" s="1"/>
  <c r="BH99" i="30"/>
  <c r="BH74" i="30" s="1"/>
  <c r="AY99" i="30"/>
  <c r="AY74" i="30" s="1"/>
  <c r="AI99" i="30"/>
  <c r="AI74" i="30" s="1"/>
  <c r="S99" i="30"/>
  <c r="S74" i="30" s="1"/>
  <c r="E99" i="30"/>
  <c r="E74" i="30" s="1"/>
  <c r="N99" i="30"/>
  <c r="N74" i="30" s="1"/>
  <c r="L99" i="30"/>
  <c r="AA99" i="30"/>
  <c r="AA74" i="30" s="1"/>
  <c r="AW99" i="30"/>
  <c r="AW74" i="30" s="1"/>
  <c r="AG99" i="30"/>
  <c r="AG74" i="30" s="1"/>
  <c r="Q99" i="30"/>
  <c r="Q74" i="30" s="1"/>
  <c r="D99" i="30"/>
  <c r="D74" i="30" s="1"/>
  <c r="AB99" i="30"/>
  <c r="AB74" i="30" s="1"/>
  <c r="AQ99" i="30"/>
  <c r="AQ74" i="30" s="1"/>
  <c r="K99" i="30"/>
  <c r="K74" i="30" s="1"/>
  <c r="I74" i="30"/>
  <c r="I76" i="30"/>
  <c r="Y74" i="30"/>
  <c r="Y76" i="30"/>
  <c r="AO74" i="30"/>
  <c r="AO76" i="30"/>
  <c r="BE76" i="30"/>
  <c r="E110" i="30"/>
  <c r="E111" i="30" s="1"/>
  <c r="U110" i="30"/>
  <c r="U111" i="30" s="1"/>
  <c r="U117" i="30" s="1"/>
  <c r="AK110" i="30"/>
  <c r="AK111" i="30" s="1"/>
  <c r="AS110" i="30"/>
  <c r="AS111" i="30" s="1"/>
  <c r="AS117" i="30" s="1"/>
  <c r="BA110" i="30"/>
  <c r="BA115" i="30" s="1"/>
  <c r="BA116" i="30" s="1"/>
  <c r="J110" i="30"/>
  <c r="J111" i="30" s="1"/>
  <c r="J117" i="30" s="1"/>
  <c r="AP110" i="30"/>
  <c r="AP111" i="30" s="1"/>
  <c r="AA161" i="30"/>
  <c r="AA172" i="30" s="1"/>
  <c r="BG161" i="30"/>
  <c r="G46" i="30"/>
  <c r="G47" i="30" s="1"/>
  <c r="AE46" i="30"/>
  <c r="AE47" i="30" s="1"/>
  <c r="BG52" i="30"/>
  <c r="BG57" i="30" s="1"/>
  <c r="AB101" i="30"/>
  <c r="AB76" i="30" s="1"/>
  <c r="AB161" i="30"/>
  <c r="AB172" i="30" s="1"/>
  <c r="Z215" i="30"/>
  <c r="X46" i="30"/>
  <c r="AV46" i="30"/>
  <c r="AB52" i="30"/>
  <c r="AB57" i="30" s="1"/>
  <c r="BH52" i="30"/>
  <c r="BH57" i="30" s="1"/>
  <c r="M100" i="30"/>
  <c r="AA108" i="30"/>
  <c r="AA110" i="30" s="1"/>
  <c r="AA111" i="30" s="1"/>
  <c r="E52" i="30"/>
  <c r="E69" i="30" s="1"/>
  <c r="M52" i="30"/>
  <c r="M57" i="30" s="1"/>
  <c r="U52" i="30"/>
  <c r="U53" i="30" s="1"/>
  <c r="AC52" i="30"/>
  <c r="AC57" i="30" s="1"/>
  <c r="AK52" i="30"/>
  <c r="AK68" i="30" s="1"/>
  <c r="AS52" i="30"/>
  <c r="AS57" i="30" s="1"/>
  <c r="BA52" i="30"/>
  <c r="BA53" i="30" s="1"/>
  <c r="AC100" i="30"/>
  <c r="AC75" i="30" s="1"/>
  <c r="Q101" i="30"/>
  <c r="Q76" i="30" s="1"/>
  <c r="AG101" i="30"/>
  <c r="AG76" i="30" s="1"/>
  <c r="AW101" i="30"/>
  <c r="AW76" i="30" s="1"/>
  <c r="AB108" i="30"/>
  <c r="AB110" i="30" s="1"/>
  <c r="AH110" i="30"/>
  <c r="AH111" i="30" s="1"/>
  <c r="AI161" i="30"/>
  <c r="O46" i="30"/>
  <c r="O56" i="30" s="1"/>
  <c r="AU46" i="30"/>
  <c r="AU56" i="30" s="1"/>
  <c r="S52" i="30"/>
  <c r="S57" i="30" s="1"/>
  <c r="AQ52" i="30"/>
  <c r="AQ57" i="30" s="1"/>
  <c r="L101" i="30"/>
  <c r="L76" i="30" s="1"/>
  <c r="BH161" i="30"/>
  <c r="V215" i="30"/>
  <c r="V220" i="30" s="1"/>
  <c r="P46" i="30"/>
  <c r="P47" i="30" s="1"/>
  <c r="AN46" i="30"/>
  <c r="AN56" i="30" s="1"/>
  <c r="L52" i="30"/>
  <c r="L57" i="30" s="1"/>
  <c r="AR52" i="30"/>
  <c r="AR57" i="30" s="1"/>
  <c r="O101" i="30"/>
  <c r="O76" i="30" s="1"/>
  <c r="L107" i="30"/>
  <c r="L110" i="30" s="1"/>
  <c r="L111" i="30" s="1"/>
  <c r="L117" i="30" s="1"/>
  <c r="AZ107" i="30"/>
  <c r="AZ110" i="30" s="1"/>
  <c r="AZ111" i="30" s="1"/>
  <c r="AI108" i="30"/>
  <c r="AI110" i="30" s="1"/>
  <c r="AI109" i="30" s="1"/>
  <c r="BG108" i="30"/>
  <c r="BG110" i="30" s="1"/>
  <c r="S215" i="30"/>
  <c r="S220" i="30" s="1"/>
  <c r="J46" i="30"/>
  <c r="J56" i="30" s="1"/>
  <c r="R46" i="30"/>
  <c r="R56" i="30" s="1"/>
  <c r="Z46" i="30"/>
  <c r="Z56" i="30" s="1"/>
  <c r="AH46" i="30"/>
  <c r="AH56" i="30" s="1"/>
  <c r="AP46" i="30"/>
  <c r="AP56" i="30" s="1"/>
  <c r="AX46" i="30"/>
  <c r="AX56" i="30" s="1"/>
  <c r="BF46" i="30"/>
  <c r="BF56" i="30" s="1"/>
  <c r="V52" i="30"/>
  <c r="V57" i="30" s="1"/>
  <c r="AD52" i="30"/>
  <c r="AD53" i="30" s="1"/>
  <c r="AL52" i="30"/>
  <c r="AL53" i="30" s="1"/>
  <c r="L74" i="30"/>
  <c r="AS100" i="30"/>
  <c r="AS75" i="30" s="1"/>
  <c r="R101" i="30"/>
  <c r="R76" i="30" s="1"/>
  <c r="AH101" i="30"/>
  <c r="AH76" i="30" s="1"/>
  <c r="AX101" i="30"/>
  <c r="AX76" i="30" s="1"/>
  <c r="R110" i="30"/>
  <c r="R111" i="30" s="1"/>
  <c r="R117" i="30" s="1"/>
  <c r="S161" i="30"/>
  <c r="S172" i="30" s="1"/>
  <c r="AQ161" i="30"/>
  <c r="AQ172" i="30" s="1"/>
  <c r="AQ174" i="30" s="1"/>
  <c r="AM46" i="30"/>
  <c r="AM47" i="30" s="1"/>
  <c r="AI52" i="30"/>
  <c r="AI68" i="30" s="1"/>
  <c r="BH101" i="30"/>
  <c r="BH76" i="30" s="1"/>
  <c r="D161" i="30"/>
  <c r="Q222" i="30" s="1"/>
  <c r="AJ161" i="30"/>
  <c r="R215" i="30"/>
  <c r="R220" i="30" s="1"/>
  <c r="AF46" i="30"/>
  <c r="AF56" i="30" s="1"/>
  <c r="AJ52" i="30"/>
  <c r="AJ57" i="30" s="1"/>
  <c r="AE101" i="30"/>
  <c r="AE76" i="30" s="1"/>
  <c r="T107" i="30"/>
  <c r="T110" i="30" s="1"/>
  <c r="T111" i="30" s="1"/>
  <c r="T117" i="30" s="1"/>
  <c r="S108" i="30"/>
  <c r="S110" i="30" s="1"/>
  <c r="Q215" i="30"/>
  <c r="Q220" i="30" s="1"/>
  <c r="K46" i="30"/>
  <c r="K69" i="30" s="1"/>
  <c r="S46" i="30"/>
  <c r="S56" i="30" s="1"/>
  <c r="AA46" i="30"/>
  <c r="AA47" i="30" s="1"/>
  <c r="AI46" i="30"/>
  <c r="AQ46" i="30"/>
  <c r="AQ47" i="30" s="1"/>
  <c r="AY46" i="30"/>
  <c r="BG46" i="30"/>
  <c r="D101" i="30"/>
  <c r="T101" i="30"/>
  <c r="T76" i="30" s="1"/>
  <c r="AJ101" i="30"/>
  <c r="AJ76" i="30" s="1"/>
  <c r="AZ101" i="30"/>
  <c r="AZ76" i="30" s="1"/>
  <c r="P161" i="30"/>
  <c r="X222" i="30" s="1"/>
  <c r="AV161" i="30"/>
  <c r="Z110" i="30"/>
  <c r="Z111" i="30" s="1"/>
  <c r="K161" i="30"/>
  <c r="AY161" i="30"/>
  <c r="W46" i="30"/>
  <c r="W47" i="30" s="1"/>
  <c r="BC46" i="30"/>
  <c r="BC47" i="30" s="1"/>
  <c r="AY52" i="30"/>
  <c r="AY68" i="30" s="1"/>
  <c r="AR101" i="30"/>
  <c r="AR76" i="30" s="1"/>
  <c r="X215" i="30"/>
  <c r="H46" i="30"/>
  <c r="BD46" i="30"/>
  <c r="BD47" i="30" s="1"/>
  <c r="T52" i="30"/>
  <c r="AZ52" i="30"/>
  <c r="AZ57" i="30" s="1"/>
  <c r="AU101" i="30"/>
  <c r="AR107" i="30"/>
  <c r="AR110" i="30" s="1"/>
  <c r="AR111" i="30" s="1"/>
  <c r="AR117" i="30" s="1"/>
  <c r="K108" i="30"/>
  <c r="K110" i="30" s="1"/>
  <c r="AQ108" i="30"/>
  <c r="AQ110" i="30" s="1"/>
  <c r="BD172" i="30"/>
  <c r="BD174" i="30" s="1"/>
  <c r="Y215" i="30"/>
  <c r="X52" i="30"/>
  <c r="BF74" i="30"/>
  <c r="G101" i="30"/>
  <c r="G76" i="30" s="1"/>
  <c r="W101" i="30"/>
  <c r="W76" i="30" s="1"/>
  <c r="AM101" i="30"/>
  <c r="AM76" i="30" s="1"/>
  <c r="BC101" i="30"/>
  <c r="BC76" i="30" s="1"/>
  <c r="AE110" i="30"/>
  <c r="AE111" i="30" s="1"/>
  <c r="AE117" i="30" s="1"/>
  <c r="AM110" i="30"/>
  <c r="AU110" i="30"/>
  <c r="AU111" i="30" s="1"/>
  <c r="AU117" i="30" s="1"/>
  <c r="J161" i="30"/>
  <c r="J172" i="30" s="1"/>
  <c r="R161" i="30"/>
  <c r="Z222" i="30" s="1"/>
  <c r="AH161" i="30"/>
  <c r="AP161" i="30"/>
  <c r="AX161" i="30"/>
  <c r="AX172" i="30" s="1"/>
  <c r="AX174" i="30" s="1"/>
  <c r="I161" i="30"/>
  <c r="V222" i="30" s="1"/>
  <c r="Q161" i="30"/>
  <c r="Y222" i="30" s="1"/>
  <c r="Y161" i="30"/>
  <c r="AG161" i="30"/>
  <c r="AG172" i="30" s="1"/>
  <c r="AO161" i="30"/>
  <c r="AO172" i="30" s="1"/>
  <c r="AO174" i="30" s="1"/>
  <c r="AW161" i="30"/>
  <c r="AW172" i="30" s="1"/>
  <c r="AW174" i="30" s="1"/>
  <c r="BE161" i="30"/>
  <c r="W215" i="30"/>
  <c r="U215" i="30"/>
  <c r="U220" i="30" s="1"/>
  <c r="W219" i="30"/>
  <c r="M171" i="30"/>
  <c r="AS171" i="30"/>
  <c r="D171" i="30"/>
  <c r="L171" i="30"/>
  <c r="AB171" i="30"/>
  <c r="AJ171" i="30"/>
  <c r="AR171" i="30"/>
  <c r="BH171" i="30"/>
  <c r="F46" i="30"/>
  <c r="F47" i="30" s="1"/>
  <c r="N46" i="30"/>
  <c r="N56" i="30" s="1"/>
  <c r="V46" i="30"/>
  <c r="V56" i="30" s="1"/>
  <c r="AD46" i="30"/>
  <c r="AD56" i="30" s="1"/>
  <c r="AL46" i="30"/>
  <c r="AL47" i="30" s="1"/>
  <c r="AT46" i="30"/>
  <c r="AT56" i="30" s="1"/>
  <c r="BB46" i="30"/>
  <c r="BB56" i="30" s="1"/>
  <c r="H171" i="30"/>
  <c r="P171" i="30"/>
  <c r="P172" i="30" s="1"/>
  <c r="AF171" i="30"/>
  <c r="AF172" i="30" s="1"/>
  <c r="AN171" i="30"/>
  <c r="AV171" i="30"/>
  <c r="G171" i="30"/>
  <c r="G172" i="30" s="1"/>
  <c r="AM171" i="30"/>
  <c r="AV52" i="30"/>
  <c r="AV69" i="30" s="1"/>
  <c r="F52" i="30"/>
  <c r="F53" i="30" s="1"/>
  <c r="N52" i="30"/>
  <c r="N53" i="30" s="1"/>
  <c r="AT52" i="30"/>
  <c r="AT53" i="30" s="1"/>
  <c r="K52" i="30"/>
  <c r="K53" i="30" s="1"/>
  <c r="AA52" i="30"/>
  <c r="AA57" i="30" s="1"/>
  <c r="I52" i="30"/>
  <c r="G52" i="30"/>
  <c r="O52" i="30"/>
  <c r="O69" i="30" s="1"/>
  <c r="BB74" i="30"/>
  <c r="K171" i="30"/>
  <c r="AI171" i="30"/>
  <c r="AQ171" i="30"/>
  <c r="BE74" i="30"/>
  <c r="I46" i="30"/>
  <c r="I68" i="30" s="1"/>
  <c r="Q46" i="30"/>
  <c r="Q47" i="30" s="1"/>
  <c r="Y46" i="30"/>
  <c r="Y47" i="30" s="1"/>
  <c r="AG46" i="30"/>
  <c r="AG47" i="30" s="1"/>
  <c r="AO46" i="30"/>
  <c r="AO56" i="30" s="1"/>
  <c r="AW46" i="30"/>
  <c r="BE46" i="30"/>
  <c r="BE56" i="30" s="1"/>
  <c r="E171" i="30"/>
  <c r="AC171" i="30"/>
  <c r="E56" i="30"/>
  <c r="E47" i="30"/>
  <c r="M56" i="30"/>
  <c r="M68" i="30"/>
  <c r="M47" i="30"/>
  <c r="U56" i="30"/>
  <c r="U47" i="30"/>
  <c r="AC56" i="30"/>
  <c r="AC68" i="30"/>
  <c r="AC47" i="30"/>
  <c r="AK56" i="30"/>
  <c r="AK47" i="30"/>
  <c r="AS56" i="30"/>
  <c r="AS47" i="30"/>
  <c r="BA56" i="30"/>
  <c r="BA47" i="30"/>
  <c r="AI57" i="30"/>
  <c r="AI69" i="30"/>
  <c r="H56" i="30"/>
  <c r="H47" i="30"/>
  <c r="O47" i="30"/>
  <c r="D57" i="30"/>
  <c r="D53" i="30"/>
  <c r="T57" i="30"/>
  <c r="T53" i="30"/>
  <c r="AZ53" i="30"/>
  <c r="M69" i="30"/>
  <c r="U57" i="30"/>
  <c r="I57" i="30"/>
  <c r="I53" i="30"/>
  <c r="AD69" i="30"/>
  <c r="K57" i="30"/>
  <c r="G53" i="30"/>
  <c r="AM56" i="30"/>
  <c r="AW56" i="30"/>
  <c r="AW47" i="30"/>
  <c r="BE47" i="30"/>
  <c r="H52" i="30"/>
  <c r="P52" i="30"/>
  <c r="AF52" i="30"/>
  <c r="AN52" i="30"/>
  <c r="BD52" i="30"/>
  <c r="BD68" i="30" s="1"/>
  <c r="AE56" i="30"/>
  <c r="P56" i="30"/>
  <c r="AA53" i="30"/>
  <c r="AI56" i="30"/>
  <c r="AI47" i="30"/>
  <c r="AQ56" i="30"/>
  <c r="AV56" i="30"/>
  <c r="AV47" i="30"/>
  <c r="D46" i="30"/>
  <c r="L46" i="30"/>
  <c r="T46" i="30"/>
  <c r="AB46" i="30"/>
  <c r="AJ46" i="30"/>
  <c r="AR46" i="30"/>
  <c r="AZ46" i="30"/>
  <c r="BH46" i="30"/>
  <c r="F56" i="30"/>
  <c r="F68" i="30"/>
  <c r="BD56" i="30"/>
  <c r="J52" i="30"/>
  <c r="R52" i="30"/>
  <c r="Z52" i="30"/>
  <c r="AH52" i="30"/>
  <c r="AP52" i="30"/>
  <c r="AX52" i="30"/>
  <c r="BF52" i="30"/>
  <c r="BA69" i="30"/>
  <c r="AC117" i="30"/>
  <c r="W52" i="30"/>
  <c r="AE52" i="30"/>
  <c r="AM52" i="30"/>
  <c r="AM68" i="30" s="1"/>
  <c r="AU52" i="30"/>
  <c r="BC52" i="30"/>
  <c r="BB52" i="30"/>
  <c r="M75" i="30"/>
  <c r="Q52" i="30"/>
  <c r="Y52" i="30"/>
  <c r="AG52" i="30"/>
  <c r="AO52" i="30"/>
  <c r="AO68" i="30" s="1"/>
  <c r="AW52" i="30"/>
  <c r="BE52" i="30"/>
  <c r="AS69" i="30"/>
  <c r="AK117" i="30"/>
  <c r="J100" i="30"/>
  <c r="J75" i="30" s="1"/>
  <c r="Z100" i="30"/>
  <c r="Z75" i="30" s="1"/>
  <c r="AP100" i="30"/>
  <c r="AP75" i="30" s="1"/>
  <c r="BF100" i="30"/>
  <c r="E109" i="30"/>
  <c r="AC109" i="30"/>
  <c r="AU171" i="30"/>
  <c r="AU76" i="30"/>
  <c r="K100" i="30"/>
  <c r="K75" i="30" s="1"/>
  <c r="AA100" i="30"/>
  <c r="AA75" i="30" s="1"/>
  <c r="AQ100" i="30"/>
  <c r="AQ75" i="30" s="1"/>
  <c r="BG100" i="30"/>
  <c r="BG75" i="30" s="1"/>
  <c r="D109" i="30"/>
  <c r="AZ109" i="30"/>
  <c r="AT115" i="30"/>
  <c r="AT116" i="30" s="1"/>
  <c r="P100" i="30"/>
  <c r="P75" i="30" s="1"/>
  <c r="AF100" i="30"/>
  <c r="AF75" i="30" s="1"/>
  <c r="AF111" i="30"/>
  <c r="AF109" i="30"/>
  <c r="AN111" i="30"/>
  <c r="N110" i="30"/>
  <c r="N115" i="30" s="1"/>
  <c r="N116" i="30" s="1"/>
  <c r="AD110" i="30"/>
  <c r="AD111" i="30" s="1"/>
  <c r="AV110" i="30"/>
  <c r="AV115" i="30" s="1"/>
  <c r="AV116" i="30" s="1"/>
  <c r="BE100" i="30"/>
  <c r="BE75" i="30" s="1"/>
  <c r="AW100" i="30"/>
  <c r="AW75" i="30" s="1"/>
  <c r="AO100" i="30"/>
  <c r="AO75" i="30" s="1"/>
  <c r="AG100" i="30"/>
  <c r="AG75" i="30" s="1"/>
  <c r="Y100" i="30"/>
  <c r="Y75" i="30" s="1"/>
  <c r="Q100" i="30"/>
  <c r="Q75" i="30" s="1"/>
  <c r="I100" i="30"/>
  <c r="I75" i="30" s="1"/>
  <c r="BC100" i="30"/>
  <c r="BC75" i="30" s="1"/>
  <c r="AU100" i="30"/>
  <c r="AU75" i="30" s="1"/>
  <c r="AM100" i="30"/>
  <c r="AM75" i="30" s="1"/>
  <c r="AE100" i="30"/>
  <c r="AE75" i="30" s="1"/>
  <c r="W100" i="30"/>
  <c r="W75" i="30" s="1"/>
  <c r="O100" i="30"/>
  <c r="O75" i="30" s="1"/>
  <c r="G100" i="30"/>
  <c r="G75" i="30" s="1"/>
  <c r="BB100" i="30"/>
  <c r="BB75" i="30" s="1"/>
  <c r="AT100" i="30"/>
  <c r="AT75" i="30" s="1"/>
  <c r="AL100" i="30"/>
  <c r="AL75" i="30" s="1"/>
  <c r="AD100" i="30"/>
  <c r="AD75" i="30" s="1"/>
  <c r="V100" i="30"/>
  <c r="V75" i="30" s="1"/>
  <c r="N100" i="30"/>
  <c r="N75" i="30" s="1"/>
  <c r="F100" i="30"/>
  <c r="F75" i="30" s="1"/>
  <c r="BH100" i="30"/>
  <c r="BH75" i="30" s="1"/>
  <c r="AZ100" i="30"/>
  <c r="AZ75" i="30" s="1"/>
  <c r="AR100" i="30"/>
  <c r="AR75" i="30" s="1"/>
  <c r="AJ100" i="30"/>
  <c r="AJ75" i="30" s="1"/>
  <c r="AB100" i="30"/>
  <c r="AB75" i="30" s="1"/>
  <c r="T100" i="30"/>
  <c r="T75" i="30" s="1"/>
  <c r="L100" i="30"/>
  <c r="L75" i="30" s="1"/>
  <c r="D100" i="30"/>
  <c r="D75" i="30" s="1"/>
  <c r="R100" i="30"/>
  <c r="R75" i="30" s="1"/>
  <c r="AH100" i="30"/>
  <c r="AH75" i="30" s="1"/>
  <c r="AX100" i="30"/>
  <c r="AX75" i="30" s="1"/>
  <c r="I110" i="30"/>
  <c r="I111" i="30" s="1"/>
  <c r="Q110" i="30"/>
  <c r="Q109" i="30" s="1"/>
  <c r="Y110" i="30"/>
  <c r="Y115" i="30" s="1"/>
  <c r="Y116" i="30" s="1"/>
  <c r="AG110" i="30"/>
  <c r="AG109" i="30" s="1"/>
  <c r="AO110" i="30"/>
  <c r="AO109" i="30" s="1"/>
  <c r="AW110" i="30"/>
  <c r="AW109" i="30" s="1"/>
  <c r="BE109" i="30"/>
  <c r="BE111" i="30"/>
  <c r="R115" i="30"/>
  <c r="R116" i="30" s="1"/>
  <c r="R118" i="30" s="1"/>
  <c r="R33" i="30" s="1"/>
  <c r="BF75" i="30"/>
  <c r="S100" i="30"/>
  <c r="S75" i="30" s="1"/>
  <c r="AI100" i="30"/>
  <c r="AI75" i="30" s="1"/>
  <c r="AY100" i="30"/>
  <c r="AY75" i="30" s="1"/>
  <c r="Z117" i="30"/>
  <c r="AH117" i="30"/>
  <c r="AX110" i="30"/>
  <c r="AX111" i="30" s="1"/>
  <c r="AR109" i="30"/>
  <c r="AK34" i="30"/>
  <c r="D76" i="30"/>
  <c r="E100" i="30"/>
  <c r="E75" i="30" s="1"/>
  <c r="U100" i="30"/>
  <c r="U75" i="30" s="1"/>
  <c r="AK100" i="30"/>
  <c r="AK75" i="30" s="1"/>
  <c r="BA100" i="30"/>
  <c r="BA75" i="30" s="1"/>
  <c r="AY111" i="30"/>
  <c r="AY109" i="30"/>
  <c r="P34" i="30"/>
  <c r="E76" i="30"/>
  <c r="AS76" i="30"/>
  <c r="H100" i="30"/>
  <c r="H75" i="30" s="1"/>
  <c r="X100" i="30"/>
  <c r="X75" i="30" s="1"/>
  <c r="AN100" i="30"/>
  <c r="AN75" i="30" s="1"/>
  <c r="BD100" i="30"/>
  <c r="BD75" i="30" s="1"/>
  <c r="AZ117" i="30"/>
  <c r="F110" i="30"/>
  <c r="F109" i="30" s="1"/>
  <c r="V110" i="30"/>
  <c r="V109" i="30" s="1"/>
  <c r="AL110" i="30"/>
  <c r="AL109" i="30" s="1"/>
  <c r="D115" i="30"/>
  <c r="BH115" i="30"/>
  <c r="BH116" i="30" s="1"/>
  <c r="O171" i="30"/>
  <c r="O172" i="30" s="1"/>
  <c r="W171" i="30"/>
  <c r="W172" i="30" s="1"/>
  <c r="BC171" i="30"/>
  <c r="M99" i="30"/>
  <c r="M74" i="30" s="1"/>
  <c r="U99" i="30"/>
  <c r="U74" i="30" s="1"/>
  <c r="AC99" i="30"/>
  <c r="AC74" i="30" s="1"/>
  <c r="AK99" i="30"/>
  <c r="AK74" i="30" s="1"/>
  <c r="AS99" i="30"/>
  <c r="AS74" i="30" s="1"/>
  <c r="BA99" i="30"/>
  <c r="BA74" i="30" s="1"/>
  <c r="K101" i="30"/>
  <c r="K76" i="30" s="1"/>
  <c r="S101" i="30"/>
  <c r="S76" i="30" s="1"/>
  <c r="AA101" i="30"/>
  <c r="AA76" i="30" s="1"/>
  <c r="AI101" i="30"/>
  <c r="AI76" i="30" s="1"/>
  <c r="AQ101" i="30"/>
  <c r="AQ76" i="30" s="1"/>
  <c r="AY101" i="30"/>
  <c r="AY76" i="30" s="1"/>
  <c r="BG101" i="30"/>
  <c r="BG76" i="30" s="1"/>
  <c r="M115" i="30"/>
  <c r="M116" i="30" s="1"/>
  <c r="M118" i="30" s="1"/>
  <c r="M33" i="30" s="1"/>
  <c r="U115" i="30"/>
  <c r="U116" i="30" s="1"/>
  <c r="U118" i="30" s="1"/>
  <c r="U33" i="30" s="1"/>
  <c r="AC115" i="30"/>
  <c r="AC116" i="30" s="1"/>
  <c r="AC118" i="30" s="1"/>
  <c r="AC33" i="30" s="1"/>
  <c r="AK115" i="30"/>
  <c r="AK116" i="30" s="1"/>
  <c r="AK118" i="30" s="1"/>
  <c r="AK33" i="30" s="1"/>
  <c r="O99" i="30"/>
  <c r="O74" i="30" s="1"/>
  <c r="W99" i="30"/>
  <c r="W74" i="30" s="1"/>
  <c r="AE99" i="30"/>
  <c r="AE74" i="30" s="1"/>
  <c r="AM99" i="30"/>
  <c r="AM74" i="30" s="1"/>
  <c r="AU99" i="30"/>
  <c r="AU74" i="30" s="1"/>
  <c r="BC99" i="30"/>
  <c r="BC74" i="30" s="1"/>
  <c r="E101" i="30"/>
  <c r="M101" i="30"/>
  <c r="M76" i="30" s="1"/>
  <c r="U101" i="30"/>
  <c r="U76" i="30" s="1"/>
  <c r="AC101" i="30"/>
  <c r="AC76" i="30" s="1"/>
  <c r="AK101" i="30"/>
  <c r="AK76" i="30" s="1"/>
  <c r="AS101" i="30"/>
  <c r="BA101" i="30"/>
  <c r="BA76" i="30" s="1"/>
  <c r="BH111" i="30"/>
  <c r="AI172" i="30"/>
  <c r="AI174" i="30" s="1"/>
  <c r="BG172" i="30"/>
  <c r="BG174" i="30" s="1"/>
  <c r="H99" i="30"/>
  <c r="H74" i="30" s="1"/>
  <c r="P99" i="30"/>
  <c r="P74" i="30" s="1"/>
  <c r="X99" i="30"/>
  <c r="X74" i="30" s="1"/>
  <c r="AF99" i="30"/>
  <c r="AF74" i="30" s="1"/>
  <c r="AN99" i="30"/>
  <c r="AN74" i="30" s="1"/>
  <c r="AV99" i="30"/>
  <c r="AV74" i="30" s="1"/>
  <c r="BD99" i="30"/>
  <c r="BD74" i="30" s="1"/>
  <c r="F101" i="30"/>
  <c r="F76" i="30" s="1"/>
  <c r="N101" i="30"/>
  <c r="N76" i="30" s="1"/>
  <c r="V101" i="30"/>
  <c r="V76" i="30" s="1"/>
  <c r="AD101" i="30"/>
  <c r="AD76" i="30" s="1"/>
  <c r="AL101" i="30"/>
  <c r="AL76" i="30" s="1"/>
  <c r="AT101" i="30"/>
  <c r="AT76" i="30" s="1"/>
  <c r="BB101" i="30"/>
  <c r="BB76" i="30" s="1"/>
  <c r="BF110" i="30"/>
  <c r="BF115" i="30" s="1"/>
  <c r="BF116" i="30" s="1"/>
  <c r="BA171" i="30"/>
  <c r="I115" i="30"/>
  <c r="AG115" i="30"/>
  <c r="AG116" i="30" s="1"/>
  <c r="BE115" i="30"/>
  <c r="BE116" i="30" s="1"/>
  <c r="Y219" i="30"/>
  <c r="J99" i="30"/>
  <c r="J74" i="30" s="1"/>
  <c r="R99" i="30"/>
  <c r="R74" i="30" s="1"/>
  <c r="Z99" i="30"/>
  <c r="Z74" i="30" s="1"/>
  <c r="AH99" i="30"/>
  <c r="AH74" i="30" s="1"/>
  <c r="AP99" i="30"/>
  <c r="AP74" i="30" s="1"/>
  <c r="AX99" i="30"/>
  <c r="AX74" i="30" s="1"/>
  <c r="H101" i="30"/>
  <c r="H76" i="30" s="1"/>
  <c r="P101" i="30"/>
  <c r="P76" i="30" s="1"/>
  <c r="X101" i="30"/>
  <c r="X76" i="30" s="1"/>
  <c r="AF101" i="30"/>
  <c r="AF76" i="30" s="1"/>
  <c r="AN101" i="30"/>
  <c r="AN76" i="30" s="1"/>
  <c r="AV101" i="30"/>
  <c r="AV76" i="30" s="1"/>
  <c r="BA109" i="30"/>
  <c r="Z161" i="30"/>
  <c r="Z172" i="30" s="1"/>
  <c r="BF161" i="30"/>
  <c r="V171" i="30"/>
  <c r="AD171" i="30"/>
  <c r="BB171" i="30"/>
  <c r="U171" i="30"/>
  <c r="AL171" i="30"/>
  <c r="AT34" i="30"/>
  <c r="AY115" i="30"/>
  <c r="AY116" i="30" s="1"/>
  <c r="AE171" i="30"/>
  <c r="E161" i="30"/>
  <c r="R222" i="30" s="1"/>
  <c r="M161" i="30"/>
  <c r="U161" i="30"/>
  <c r="AC161" i="30"/>
  <c r="AC172" i="30" s="1"/>
  <c r="AK161" i="30"/>
  <c r="AK172" i="30" s="1"/>
  <c r="AK174" i="30" s="1"/>
  <c r="AS161" i="30"/>
  <c r="BA161" i="30"/>
  <c r="AA34" i="30"/>
  <c r="F161" i="30"/>
  <c r="S222" i="30" s="1"/>
  <c r="N161" i="30"/>
  <c r="N172" i="30" s="1"/>
  <c r="V161" i="30"/>
  <c r="AD161" i="30"/>
  <c r="AL161" i="30"/>
  <c r="AT161" i="30"/>
  <c r="AT172" i="30" s="1"/>
  <c r="AT174" i="30" s="1"/>
  <c r="BB161" i="30"/>
  <c r="X219" i="30"/>
  <c r="K109" i="30" l="1"/>
  <c r="K111" i="30"/>
  <c r="R68" i="30"/>
  <c r="R47" i="30"/>
  <c r="AO47" i="30"/>
  <c r="M53" i="30"/>
  <c r="AZ115" i="30"/>
  <c r="AZ116" i="30" s="1"/>
  <c r="AZ118" i="30" s="1"/>
  <c r="AZ33" i="30" s="1"/>
  <c r="BB111" i="30"/>
  <c r="BB118" i="30" s="1"/>
  <c r="BB33" i="30" s="1"/>
  <c r="AT111" i="30"/>
  <c r="U109" i="30"/>
  <c r="J47" i="30"/>
  <c r="F57" i="30"/>
  <c r="X69" i="30"/>
  <c r="AE172" i="30"/>
  <c r="BF172" i="30"/>
  <c r="BF174" i="30" s="1"/>
  <c r="AR115" i="30"/>
  <c r="AR116" i="30" s="1"/>
  <c r="AR118" i="30" s="1"/>
  <c r="AR33" i="30" s="1"/>
  <c r="AR35" i="30" s="1"/>
  <c r="P111" i="30"/>
  <c r="M109" i="30"/>
  <c r="AF47" i="30"/>
  <c r="F69" i="30"/>
  <c r="Y220" i="30"/>
  <c r="Y224" i="30" s="1"/>
  <c r="Q239" i="30" s="1"/>
  <c r="G241" i="30" s="1"/>
  <c r="Y172" i="30"/>
  <c r="AP172" i="30"/>
  <c r="AP174" i="30" s="1"/>
  <c r="AQ53" i="30"/>
  <c r="AU115" i="30"/>
  <c r="AU116" i="30" s="1"/>
  <c r="P109" i="30"/>
  <c r="O53" i="30"/>
  <c r="L53" i="30"/>
  <c r="AR172" i="30"/>
  <c r="AR174" i="30" s="1"/>
  <c r="R109" i="30"/>
  <c r="Q172" i="30"/>
  <c r="AJ115" i="30"/>
  <c r="AJ116" i="30" s="1"/>
  <c r="AJ118" i="30" s="1"/>
  <c r="AJ33" i="30" s="1"/>
  <c r="AU47" i="30"/>
  <c r="U68" i="30"/>
  <c r="AV172" i="30"/>
  <c r="AV174" i="30" s="1"/>
  <c r="BE172" i="30"/>
  <c r="BE174" i="30" s="1"/>
  <c r="Z220" i="30"/>
  <c r="Z224" i="30" s="1"/>
  <c r="R239" i="30" s="1"/>
  <c r="N47" i="30"/>
  <c r="AV68" i="30"/>
  <c r="U69" i="30"/>
  <c r="AV57" i="30"/>
  <c r="AV64" i="30" s="1"/>
  <c r="AD68" i="30"/>
  <c r="AN172" i="30"/>
  <c r="AN174" i="30" s="1"/>
  <c r="BH172" i="30"/>
  <c r="BH174" i="30" s="1"/>
  <c r="BC172" i="30"/>
  <c r="BC174" i="30" s="1"/>
  <c r="AN109" i="30"/>
  <c r="BB115" i="30"/>
  <c r="BB116" i="30" s="1"/>
  <c r="AU68" i="30"/>
  <c r="AV53" i="30"/>
  <c r="X172" i="30"/>
  <c r="BC109" i="30"/>
  <c r="BC115" i="30"/>
  <c r="BC116" i="30" s="1"/>
  <c r="BC111" i="30"/>
  <c r="BC117" i="30" s="1"/>
  <c r="I69" i="30"/>
  <c r="M172" i="30"/>
  <c r="AY57" i="30"/>
  <c r="H109" i="30"/>
  <c r="AX47" i="30"/>
  <c r="Q56" i="30"/>
  <c r="AL57" i="30"/>
  <c r="AC69" i="30"/>
  <c r="G69" i="30"/>
  <c r="AG111" i="30"/>
  <c r="AG117" i="30" s="1"/>
  <c r="AY172" i="30"/>
  <c r="AY174" i="30" s="1"/>
  <c r="G115" i="30"/>
  <c r="G116" i="30" s="1"/>
  <c r="K47" i="30"/>
  <c r="H111" i="30"/>
  <c r="H118" i="30" s="1"/>
  <c r="H33" i="30" s="1"/>
  <c r="AT47" i="30"/>
  <c r="AL69" i="30"/>
  <c r="O68" i="30"/>
  <c r="V64" i="30"/>
  <c r="AS109" i="30"/>
  <c r="AA56" i="30"/>
  <c r="K56" i="30"/>
  <c r="K64" i="30" s="1"/>
  <c r="AD109" i="30"/>
  <c r="AL68" i="30"/>
  <c r="BF47" i="30"/>
  <c r="AD57" i="30"/>
  <c r="BA68" i="30"/>
  <c r="AO115" i="30"/>
  <c r="AO116" i="30" s="1"/>
  <c r="AA68" i="30"/>
  <c r="S47" i="30"/>
  <c r="X109" i="30"/>
  <c r="S68" i="30"/>
  <c r="J115" i="30"/>
  <c r="J116" i="30" s="1"/>
  <c r="J118" i="30" s="1"/>
  <c r="J33" i="30" s="1"/>
  <c r="J109" i="30"/>
  <c r="X220" i="30"/>
  <c r="X224" i="30" s="1"/>
  <c r="P239" i="30" s="1"/>
  <c r="P241" i="30" s="1"/>
  <c r="AL56" i="30"/>
  <c r="Z115" i="30"/>
  <c r="Z116" i="30" s="1"/>
  <c r="Z118" i="30" s="1"/>
  <c r="Z33" i="30" s="1"/>
  <c r="Z35" i="30" s="1"/>
  <c r="AD47" i="30"/>
  <c r="BC56" i="30"/>
  <c r="I47" i="30"/>
  <c r="W220" i="30"/>
  <c r="W224" i="30" s="1"/>
  <c r="O239" i="30" s="1"/>
  <c r="O112" i="30" s="1"/>
  <c r="O117" i="30" s="1"/>
  <c r="K172" i="30"/>
  <c r="BA57" i="30"/>
  <c r="G68" i="30"/>
  <c r="X111" i="30"/>
  <c r="G56" i="30"/>
  <c r="R224" i="30"/>
  <c r="E239" i="30" s="1"/>
  <c r="E112" i="30" s="1"/>
  <c r="E117" i="30" s="1"/>
  <c r="T115" i="30"/>
  <c r="T116" i="30" s="1"/>
  <c r="T118" i="30" s="1"/>
  <c r="T33" i="30" s="1"/>
  <c r="AK53" i="30"/>
  <c r="AA69" i="30"/>
  <c r="I56" i="30"/>
  <c r="I64" i="30" s="1"/>
  <c r="V69" i="30"/>
  <c r="AS68" i="30"/>
  <c r="BG68" i="30"/>
  <c r="X68" i="30"/>
  <c r="AU109" i="30"/>
  <c r="U224" i="30"/>
  <c r="H239" i="30" s="1"/>
  <c r="H112" i="30" s="1"/>
  <c r="H116" i="30" s="1"/>
  <c r="BA172" i="30"/>
  <c r="BA174" i="30" s="1"/>
  <c r="AY53" i="30"/>
  <c r="L69" i="30"/>
  <c r="Z109" i="30"/>
  <c r="AK109" i="30"/>
  <c r="K68" i="30"/>
  <c r="AD64" i="30"/>
  <c r="V53" i="30"/>
  <c r="AJ53" i="30"/>
  <c r="AJ172" i="30"/>
  <c r="AJ174" i="30" s="1"/>
  <c r="AY69" i="30"/>
  <c r="O115" i="30"/>
  <c r="O116" i="30" s="1"/>
  <c r="O118" i="30" s="1"/>
  <c r="O33" i="30" s="1"/>
  <c r="O36" i="30" s="1"/>
  <c r="O37" i="30" s="1"/>
  <c r="O38" i="30" s="1"/>
  <c r="AJ109" i="30"/>
  <c r="AS53" i="30"/>
  <c r="V47" i="30"/>
  <c r="AP47" i="30"/>
  <c r="O57" i="30"/>
  <c r="O64" i="30" s="1"/>
  <c r="AB53" i="30"/>
  <c r="AQ69" i="30"/>
  <c r="H172" i="30"/>
  <c r="AU172" i="30"/>
  <c r="AU174" i="30" s="1"/>
  <c r="AN47" i="30"/>
  <c r="AP109" i="30"/>
  <c r="N109" i="30"/>
  <c r="I109" i="30"/>
  <c r="AM172" i="30"/>
  <c r="AM174" i="30" s="1"/>
  <c r="L172" i="30"/>
  <c r="G111" i="30"/>
  <c r="G117" i="30" s="1"/>
  <c r="AQ109" i="30"/>
  <c r="AQ111" i="30"/>
  <c r="AQ115" i="30"/>
  <c r="AQ116" i="30" s="1"/>
  <c r="S109" i="30"/>
  <c r="S115" i="30"/>
  <c r="S116" i="30" s="1"/>
  <c r="S111" i="30"/>
  <c r="S118" i="30" s="1"/>
  <c r="S33" i="30" s="1"/>
  <c r="BG111" i="30"/>
  <c r="BG117" i="30" s="1"/>
  <c r="BG109" i="30"/>
  <c r="BG115" i="30"/>
  <c r="BG116" i="30" s="1"/>
  <c r="L118" i="30"/>
  <c r="L33" i="30" s="1"/>
  <c r="S64" i="30"/>
  <c r="AB111" i="30"/>
  <c r="AB117" i="30" s="1"/>
  <c r="AB109" i="30"/>
  <c r="AB115" i="30"/>
  <c r="AB116" i="30" s="1"/>
  <c r="AM109" i="30"/>
  <c r="AM111" i="30"/>
  <c r="AM117" i="30" s="1"/>
  <c r="V224" i="30"/>
  <c r="I239" i="30" s="1"/>
  <c r="I112" i="30" s="1"/>
  <c r="I116" i="30" s="1"/>
  <c r="I118" i="30" s="1"/>
  <c r="I33" i="30" s="1"/>
  <c r="W56" i="30"/>
  <c r="W64" i="30" s="1"/>
  <c r="AE115" i="30"/>
  <c r="AE116" i="30" s="1"/>
  <c r="AE118" i="30" s="1"/>
  <c r="AE33" i="30" s="1"/>
  <c r="AI111" i="30"/>
  <c r="AI117" i="30" s="1"/>
  <c r="AK69" i="30"/>
  <c r="AK36" i="30" s="1"/>
  <c r="AK37" i="30" s="1"/>
  <c r="AK38" i="30" s="1"/>
  <c r="AK57" i="30"/>
  <c r="AK64" i="30" s="1"/>
  <c r="V68" i="30"/>
  <c r="AQ64" i="30"/>
  <c r="X47" i="30"/>
  <c r="AT57" i="30"/>
  <c r="AT64" i="30" s="1"/>
  <c r="AR53" i="30"/>
  <c r="E53" i="30"/>
  <c r="W109" i="30"/>
  <c r="W111" i="30"/>
  <c r="W117" i="30" s="1"/>
  <c r="R172" i="30"/>
  <c r="AE109" i="30"/>
  <c r="S224" i="30"/>
  <c r="F239" i="30" s="1"/>
  <c r="F241" i="30" s="1"/>
  <c r="AI115" i="30"/>
  <c r="AI116" i="30" s="1"/>
  <c r="AW115" i="30"/>
  <c r="AW116" i="30" s="1"/>
  <c r="BA111" i="30"/>
  <c r="BA117" i="30" s="1"/>
  <c r="W115" i="30"/>
  <c r="W116" i="30" s="1"/>
  <c r="I172" i="30"/>
  <c r="AA109" i="30"/>
  <c r="Y109" i="30"/>
  <c r="BG47" i="30"/>
  <c r="AQ68" i="30"/>
  <c r="X57" i="30"/>
  <c r="X56" i="30"/>
  <c r="X64" i="30" s="1"/>
  <c r="AT69" i="30"/>
  <c r="E57" i="30"/>
  <c r="E64" i="30" s="1"/>
  <c r="AI53" i="30"/>
  <c r="E68" i="30"/>
  <c r="O109" i="30"/>
  <c r="AU118" i="30"/>
  <c r="AU33" i="30" s="1"/>
  <c r="AT68" i="30"/>
  <c r="F64" i="30"/>
  <c r="AA115" i="30"/>
  <c r="AA116" i="30" s="1"/>
  <c r="E115" i="30"/>
  <c r="L109" i="30"/>
  <c r="BG56" i="30"/>
  <c r="BG64" i="30" s="1"/>
  <c r="AH47" i="30"/>
  <c r="X53" i="30"/>
  <c r="BG69" i="30"/>
  <c r="AP115" i="30"/>
  <c r="AP116" i="30" s="1"/>
  <c r="AP118" i="30" s="1"/>
  <c r="AP33" i="30" s="1"/>
  <c r="BB172" i="30"/>
  <c r="BB174" i="30" s="1"/>
  <c r="L115" i="30"/>
  <c r="L116" i="30" s="1"/>
  <c r="AH68" i="30"/>
  <c r="AI64" i="30"/>
  <c r="Z47" i="30"/>
  <c r="N57" i="30"/>
  <c r="N64" i="30" s="1"/>
  <c r="BG53" i="30"/>
  <c r="AS172" i="30"/>
  <c r="AS174" i="30" s="1"/>
  <c r="K115" i="30"/>
  <c r="K116" i="30" s="1"/>
  <c r="Q115" i="30"/>
  <c r="Q116" i="30" s="1"/>
  <c r="AP117" i="30"/>
  <c r="Y68" i="30"/>
  <c r="BB47" i="30"/>
  <c r="AY47" i="30"/>
  <c r="AG56" i="30"/>
  <c r="Y56" i="30"/>
  <c r="G57" i="30"/>
  <c r="N69" i="30"/>
  <c r="BH53" i="30"/>
  <c r="S53" i="30"/>
  <c r="AC53" i="30"/>
  <c r="Q224" i="30"/>
  <c r="D239" i="30" s="1"/>
  <c r="D112" i="30" s="1"/>
  <c r="D117" i="30" s="1"/>
  <c r="AM115" i="30"/>
  <c r="AM116" i="30" s="1"/>
  <c r="AH109" i="30"/>
  <c r="U172" i="30"/>
  <c r="D172" i="30"/>
  <c r="T109" i="30"/>
  <c r="AX115" i="30"/>
  <c r="AX116" i="30" s="1"/>
  <c r="AG68" i="30"/>
  <c r="N68" i="30"/>
  <c r="AJ69" i="30"/>
  <c r="S69" i="30"/>
  <c r="AX109" i="30"/>
  <c r="AS115" i="30"/>
  <c r="AS116" i="30" s="1"/>
  <c r="AS118" i="30" s="1"/>
  <c r="AS33" i="30" s="1"/>
  <c r="AH115" i="30"/>
  <c r="AH116" i="30" s="1"/>
  <c r="AH118" i="30" s="1"/>
  <c r="AH33" i="30" s="1"/>
  <c r="AH35" i="30" s="1"/>
  <c r="N111" i="30"/>
  <c r="N118" i="30" s="1"/>
  <c r="N33" i="30" s="1"/>
  <c r="Q68" i="30"/>
  <c r="T69" i="30"/>
  <c r="AY56" i="30"/>
  <c r="AY64" i="30" s="1"/>
  <c r="BA64" i="30"/>
  <c r="AC64" i="30"/>
  <c r="U64" i="30"/>
  <c r="I117" i="30"/>
  <c r="AK35" i="30"/>
  <c r="AD117" i="30"/>
  <c r="AN117" i="30"/>
  <c r="AN118" i="30"/>
  <c r="AN33" i="30" s="1"/>
  <c r="AE53" i="30"/>
  <c r="AE69" i="30"/>
  <c r="AE57" i="30"/>
  <c r="AE64" i="30" s="1"/>
  <c r="BF69" i="30"/>
  <c r="BF57" i="30"/>
  <c r="BF64" i="30" s="1"/>
  <c r="BF53" i="30"/>
  <c r="J69" i="30"/>
  <c r="J57" i="30"/>
  <c r="J64" i="30" s="1"/>
  <c r="J53" i="30"/>
  <c r="D68" i="30"/>
  <c r="D56" i="30"/>
  <c r="D64" i="30" s="1"/>
  <c r="D47" i="30"/>
  <c r="AN69" i="30"/>
  <c r="AN53" i="30"/>
  <c r="AN57" i="30"/>
  <c r="BA118" i="30"/>
  <c r="BA33" i="30" s="1"/>
  <c r="AY117" i="30"/>
  <c r="AY118" i="30"/>
  <c r="AY33" i="30" s="1"/>
  <c r="AX118" i="30"/>
  <c r="AX33" i="30" s="1"/>
  <c r="AX117" i="30"/>
  <c r="Y111" i="30"/>
  <c r="F111" i="30"/>
  <c r="BB53" i="30"/>
  <c r="BB69" i="30"/>
  <c r="BB57" i="30"/>
  <c r="BB64" i="30" s="1"/>
  <c r="W53" i="30"/>
  <c r="W69" i="30"/>
  <c r="W57" i="30"/>
  <c r="AX69" i="30"/>
  <c r="AX57" i="30"/>
  <c r="AX64" i="30" s="1"/>
  <c r="AX53" i="30"/>
  <c r="BH68" i="30"/>
  <c r="BH56" i="30"/>
  <c r="BH64" i="30" s="1"/>
  <c r="BH47" i="30"/>
  <c r="AF69" i="30"/>
  <c r="AF53" i="30"/>
  <c r="AF57" i="30"/>
  <c r="AF64" i="30" s="1"/>
  <c r="BH69" i="30"/>
  <c r="AU34" i="30"/>
  <c r="AD172" i="30"/>
  <c r="Q34" i="30"/>
  <c r="AF118" i="30"/>
  <c r="AF33" i="30" s="1"/>
  <c r="AF117" i="30"/>
  <c r="BE69" i="30"/>
  <c r="BE57" i="30"/>
  <c r="BE64" i="30" s="1"/>
  <c r="BE53" i="30"/>
  <c r="AP69" i="30"/>
  <c r="AP57" i="30"/>
  <c r="AP64" i="30" s="1"/>
  <c r="AP53" i="30"/>
  <c r="AZ68" i="30"/>
  <c r="AZ56" i="30"/>
  <c r="AZ64" i="30" s="1"/>
  <c r="AZ47" i="30"/>
  <c r="AA64" i="30"/>
  <c r="P69" i="30"/>
  <c r="P53" i="30"/>
  <c r="P57" i="30"/>
  <c r="P64" i="30" s="1"/>
  <c r="BE68" i="30"/>
  <c r="J241" i="30"/>
  <c r="L241" i="30"/>
  <c r="K241" i="30"/>
  <c r="N241" i="30"/>
  <c r="M241" i="30"/>
  <c r="V172" i="30"/>
  <c r="AJ35" i="30"/>
  <c r="AQ117" i="30"/>
  <c r="K117" i="30"/>
  <c r="K118" i="30"/>
  <c r="K33" i="30" s="1"/>
  <c r="BE118" i="30"/>
  <c r="BE33" i="30" s="1"/>
  <c r="BE117" i="30"/>
  <c r="AW111" i="30"/>
  <c r="Q111" i="30"/>
  <c r="BD109" i="30"/>
  <c r="AL115" i="30"/>
  <c r="AL116" i="30" s="1"/>
  <c r="AW69" i="30"/>
  <c r="AW57" i="30"/>
  <c r="AW64" i="30" s="1"/>
  <c r="AW53" i="30"/>
  <c r="AH69" i="30"/>
  <c r="AH57" i="30"/>
  <c r="AH64" i="30" s="1"/>
  <c r="AH53" i="30"/>
  <c r="AR68" i="30"/>
  <c r="AR56" i="30"/>
  <c r="AR64" i="30" s="1"/>
  <c r="AR47" i="30"/>
  <c r="AX68" i="30"/>
  <c r="P68" i="30"/>
  <c r="H69" i="30"/>
  <c r="H53" i="30"/>
  <c r="H57" i="30"/>
  <c r="H64" i="30" s="1"/>
  <c r="AP68" i="30"/>
  <c r="AS64" i="30"/>
  <c r="BD111" i="30"/>
  <c r="X118" i="30"/>
  <c r="X33" i="30" s="1"/>
  <c r="X117" i="30"/>
  <c r="AD115" i="30"/>
  <c r="AD116" i="30" s="1"/>
  <c r="AD118" i="30" s="1"/>
  <c r="AD33" i="30" s="1"/>
  <c r="AT118" i="30"/>
  <c r="AT33" i="30" s="1"/>
  <c r="AT117" i="30"/>
  <c r="AO69" i="30"/>
  <c r="AO57" i="30"/>
  <c r="AO64" i="30" s="1"/>
  <c r="AO53" i="30"/>
  <c r="Z69" i="30"/>
  <c r="Z57" i="30"/>
  <c r="Z64" i="30" s="1"/>
  <c r="Z53" i="30"/>
  <c r="AJ68" i="30"/>
  <c r="AJ56" i="30"/>
  <c r="AJ64" i="30" s="1"/>
  <c r="AJ47" i="30"/>
  <c r="AE68" i="30"/>
  <c r="AF68" i="30"/>
  <c r="AZ69" i="30"/>
  <c r="H68" i="30"/>
  <c r="F34" i="30"/>
  <c r="AC34" i="30"/>
  <c r="BH117" i="30"/>
  <c r="BH118" i="30"/>
  <c r="BH33" i="30" s="1"/>
  <c r="I241" i="30"/>
  <c r="AL34" i="30"/>
  <c r="O241" i="30"/>
  <c r="AO111" i="30"/>
  <c r="AV109" i="30"/>
  <c r="V115" i="30"/>
  <c r="V116" i="30" s="1"/>
  <c r="AL111" i="30"/>
  <c r="AG69" i="30"/>
  <c r="AG57" i="30"/>
  <c r="AG53" i="30"/>
  <c r="BC53" i="30"/>
  <c r="BC69" i="30"/>
  <c r="BC57" i="30"/>
  <c r="BB68" i="30"/>
  <c r="AB68" i="30"/>
  <c r="AB56" i="30"/>
  <c r="AB64" i="30" s="1"/>
  <c r="AB47" i="30"/>
  <c r="J68" i="30"/>
  <c r="AW68" i="30"/>
  <c r="AB69" i="30"/>
  <c r="W68" i="30"/>
  <c r="BF109" i="30"/>
  <c r="BF111" i="30"/>
  <c r="E172" i="30"/>
  <c r="AV111" i="30"/>
  <c r="F172" i="30"/>
  <c r="Y69" i="30"/>
  <c r="Y57" i="30"/>
  <c r="Y53" i="30"/>
  <c r="AU53" i="30"/>
  <c r="AU69" i="30"/>
  <c r="AU57" i="30"/>
  <c r="AU64" i="30" s="1"/>
  <c r="T68" i="30"/>
  <c r="T56" i="30"/>
  <c r="T64" i="30" s="1"/>
  <c r="T47" i="30"/>
  <c r="AN64" i="30"/>
  <c r="Z68" i="30"/>
  <c r="D69" i="30"/>
  <c r="AL172" i="30"/>
  <c r="AL174" i="30" s="1"/>
  <c r="AA118" i="30"/>
  <c r="AA33" i="30" s="1"/>
  <c r="AA117" i="30"/>
  <c r="AG118" i="30"/>
  <c r="AG33" i="30" s="1"/>
  <c r="F115" i="30"/>
  <c r="V111" i="30"/>
  <c r="Q69" i="30"/>
  <c r="Q57" i="30"/>
  <c r="Q53" i="30"/>
  <c r="AM53" i="30"/>
  <c r="AM69" i="30"/>
  <c r="AM57" i="30"/>
  <c r="AM64" i="30" s="1"/>
  <c r="R69" i="30"/>
  <c r="R57" i="30"/>
  <c r="R64" i="30" s="1"/>
  <c r="R53" i="30"/>
  <c r="L68" i="30"/>
  <c r="L56" i="30"/>
  <c r="L64" i="30" s="1"/>
  <c r="L47" i="30"/>
  <c r="BC68" i="30"/>
  <c r="BF68" i="30"/>
  <c r="BD69" i="30"/>
  <c r="BD53" i="30"/>
  <c r="BD57" i="30"/>
  <c r="BD64" i="30" s="1"/>
  <c r="AN68" i="30"/>
  <c r="AR69" i="30"/>
  <c r="M64" i="30"/>
  <c r="Q64" i="30" l="1"/>
  <c r="AI118" i="30"/>
  <c r="AI33" i="30" s="1"/>
  <c r="P112" i="30"/>
  <c r="P116" i="30" s="1"/>
  <c r="P118" i="30" s="1"/>
  <c r="P33" i="30" s="1"/>
  <c r="P36" i="30" s="1"/>
  <c r="P37" i="30" s="1"/>
  <c r="P38" i="30" s="1"/>
  <c r="AM118" i="30"/>
  <c r="AM33" i="30" s="1"/>
  <c r="AQ118" i="30"/>
  <c r="AQ33" i="30" s="1"/>
  <c r="AC36" i="30"/>
  <c r="AC37" i="30" s="1"/>
  <c r="AC38" i="30" s="1"/>
  <c r="N117" i="30"/>
  <c r="BB117" i="30"/>
  <c r="AB118" i="30"/>
  <c r="AB33" i="30" s="1"/>
  <c r="AB35" i="30" s="1"/>
  <c r="AL64" i="30"/>
  <c r="G118" i="30"/>
  <c r="G33" i="30" s="1"/>
  <c r="BC64" i="30"/>
  <c r="BC118" i="30"/>
  <c r="BC33" i="30" s="1"/>
  <c r="BC35" i="30" s="1"/>
  <c r="G64" i="30"/>
  <c r="H117" i="30"/>
  <c r="BG118" i="30"/>
  <c r="BG33" i="30" s="1"/>
  <c r="BG36" i="30" s="1"/>
  <c r="BG37" i="30" s="1"/>
  <c r="BG38" i="30" s="1"/>
  <c r="S117" i="30"/>
  <c r="D241" i="30"/>
  <c r="E241" i="30"/>
  <c r="AS36" i="30"/>
  <c r="AS37" i="30" s="1"/>
  <c r="AS38" i="30" s="1"/>
  <c r="H241" i="30"/>
  <c r="Y64" i="30"/>
  <c r="AJ36" i="30"/>
  <c r="AJ37" i="30" s="1"/>
  <c r="AJ38" i="30" s="1"/>
  <c r="O35" i="30"/>
  <c r="AG64" i="30"/>
  <c r="W118" i="30"/>
  <c r="W33" i="30" s="1"/>
  <c r="E116" i="30"/>
  <c r="E118" i="30" s="1"/>
  <c r="E33" i="30" s="1"/>
  <c r="E36" i="30" s="1"/>
  <c r="E37" i="30" s="1"/>
  <c r="E38" i="30" s="1"/>
  <c r="F112" i="30"/>
  <c r="F116" i="30" s="1"/>
  <c r="F118" i="30" s="1"/>
  <c r="F33" i="30" s="1"/>
  <c r="AS35" i="30"/>
  <c r="P117" i="30"/>
  <c r="Z36" i="30"/>
  <c r="Z37" i="30" s="1"/>
  <c r="Z38" i="30" s="1"/>
  <c r="AU36" i="30"/>
  <c r="AU37" i="30" s="1"/>
  <c r="AU38" i="30" s="1"/>
  <c r="AH36" i="30"/>
  <c r="AH37" i="30" s="1"/>
  <c r="AH38" i="30" s="1"/>
  <c r="AU35" i="30"/>
  <c r="AB36" i="30"/>
  <c r="AB37" i="30" s="1"/>
  <c r="AB38" i="30" s="1"/>
  <c r="AR36" i="30"/>
  <c r="AR37" i="30" s="1"/>
  <c r="AR38" i="30" s="1"/>
  <c r="AM34" i="30"/>
  <c r="AD34" i="30"/>
  <c r="AD36" i="30" s="1"/>
  <c r="AD37" i="30" s="1"/>
  <c r="AD38" i="30" s="1"/>
  <c r="Q118" i="30"/>
  <c r="Q33" i="30" s="1"/>
  <c r="Q117" i="30"/>
  <c r="G34" i="30"/>
  <c r="AW118" i="30"/>
  <c r="AW33" i="30" s="1"/>
  <c r="AW117" i="30"/>
  <c r="AV34" i="30"/>
  <c r="N36" i="30"/>
  <c r="N37" i="30" s="1"/>
  <c r="N38" i="30" s="1"/>
  <c r="N35" i="30"/>
  <c r="AA36" i="30"/>
  <c r="AA37" i="30" s="1"/>
  <c r="AA38" i="30" s="1"/>
  <c r="AA35" i="30"/>
  <c r="P35" i="30"/>
  <c r="AL117" i="30"/>
  <c r="AL118" i="30"/>
  <c r="AL33" i="30" s="1"/>
  <c r="AI36" i="30"/>
  <c r="AI37" i="30" s="1"/>
  <c r="AI38" i="30" s="1"/>
  <c r="AI35" i="30"/>
  <c r="V118" i="30"/>
  <c r="V33" i="30" s="1"/>
  <c r="V117" i="30"/>
  <c r="AV118" i="30"/>
  <c r="AV33" i="30" s="1"/>
  <c r="AV117" i="30"/>
  <c r="AT36" i="30"/>
  <c r="AT37" i="30" s="1"/>
  <c r="AT38" i="30" s="1"/>
  <c r="AT35" i="30"/>
  <c r="BE35" i="30"/>
  <c r="BE36" i="30"/>
  <c r="BE37" i="30" s="1"/>
  <c r="BE38" i="30" s="1"/>
  <c r="R34" i="30"/>
  <c r="AC35" i="30"/>
  <c r="BF118" i="30"/>
  <c r="BF33" i="30" s="1"/>
  <c r="BF117" i="30"/>
  <c r="AO118" i="30"/>
  <c r="AO33" i="30" s="1"/>
  <c r="AO117" i="30"/>
  <c r="BH35" i="30"/>
  <c r="BH36" i="30"/>
  <c r="BH37" i="30" s="1"/>
  <c r="BH38" i="30" s="1"/>
  <c r="BB36" i="30"/>
  <c r="BB37" i="30" s="1"/>
  <c r="BB38" i="30" s="1"/>
  <c r="BB35" i="30"/>
  <c r="X36" i="30"/>
  <c r="X37" i="30" s="1"/>
  <c r="X38" i="30" s="1"/>
  <c r="X35" i="30"/>
  <c r="D116" i="30"/>
  <c r="D118" i="30" s="1"/>
  <c r="D33" i="30" s="1"/>
  <c r="Y118" i="30"/>
  <c r="Y33" i="30" s="1"/>
  <c r="Y117" i="30"/>
  <c r="BD118" i="30"/>
  <c r="BD33" i="30" s="1"/>
  <c r="BD117" i="30"/>
  <c r="W54" i="21"/>
  <c r="U54" i="21"/>
  <c r="C61" i="23"/>
  <c r="AK5" i="21" s="1"/>
  <c r="AM5" i="21" s="1"/>
  <c r="D61" i="23"/>
  <c r="U5" i="21" s="1"/>
  <c r="W5" i="21" s="1"/>
  <c r="E61" i="23"/>
  <c r="AW5" i="21" s="1"/>
  <c r="AY5" i="21" s="1"/>
  <c r="F61" i="23"/>
  <c r="BA5" i="21" s="1"/>
  <c r="BC5" i="21" s="1"/>
  <c r="G61" i="23"/>
  <c r="AG5" i="21" s="1"/>
  <c r="AI5" i="21" s="1"/>
  <c r="C62" i="23"/>
  <c r="AK6" i="21" s="1"/>
  <c r="AM6" i="21" s="1"/>
  <c r="D62" i="23"/>
  <c r="U6" i="21" s="1"/>
  <c r="W6" i="21" s="1"/>
  <c r="E62" i="23"/>
  <c r="AW6" i="21" s="1"/>
  <c r="AY6" i="21" s="1"/>
  <c r="F62" i="23"/>
  <c r="BA6" i="21" s="1"/>
  <c r="BC6" i="21" s="1"/>
  <c r="G62" i="23"/>
  <c r="AG6" i="21" s="1"/>
  <c r="AI6" i="21" s="1"/>
  <c r="C63" i="23"/>
  <c r="AK7" i="21" s="1"/>
  <c r="AM7" i="21" s="1"/>
  <c r="D63" i="23"/>
  <c r="U7" i="21" s="1"/>
  <c r="W7" i="21" s="1"/>
  <c r="E63" i="23"/>
  <c r="AW7" i="21" s="1"/>
  <c r="AY7" i="21" s="1"/>
  <c r="F63" i="23"/>
  <c r="BA7" i="21" s="1"/>
  <c r="BC7" i="21" s="1"/>
  <c r="G63" i="23"/>
  <c r="AG7" i="21" s="1"/>
  <c r="AI7" i="21" s="1"/>
  <c r="C64" i="23"/>
  <c r="AK8" i="21" s="1"/>
  <c r="AM8" i="21" s="1"/>
  <c r="D64" i="23"/>
  <c r="U8" i="21" s="1"/>
  <c r="W8" i="21" s="1"/>
  <c r="E64" i="23"/>
  <c r="AW8" i="21" s="1"/>
  <c r="AY8" i="21" s="1"/>
  <c r="F64" i="23"/>
  <c r="BA8" i="21" s="1"/>
  <c r="BC8" i="21" s="1"/>
  <c r="G64" i="23"/>
  <c r="AG8" i="21" s="1"/>
  <c r="AI8" i="21" s="1"/>
  <c r="C65" i="23"/>
  <c r="AK9" i="21" s="1"/>
  <c r="AM9" i="21" s="1"/>
  <c r="D65" i="23"/>
  <c r="U9" i="21" s="1"/>
  <c r="W9" i="21" s="1"/>
  <c r="E65" i="23"/>
  <c r="AW9" i="21" s="1"/>
  <c r="AY9" i="21" s="1"/>
  <c r="F65" i="23"/>
  <c r="BA9" i="21" s="1"/>
  <c r="BC9" i="21" s="1"/>
  <c r="G65" i="23"/>
  <c r="AG9" i="21" s="1"/>
  <c r="AI9" i="21" s="1"/>
  <c r="C66" i="23"/>
  <c r="AK10" i="21" s="1"/>
  <c r="AM10" i="21" s="1"/>
  <c r="D66" i="23"/>
  <c r="U10" i="21" s="1"/>
  <c r="W10" i="21" s="1"/>
  <c r="E66" i="23"/>
  <c r="AW10" i="21" s="1"/>
  <c r="AY10" i="21" s="1"/>
  <c r="F66" i="23"/>
  <c r="BA10" i="21" s="1"/>
  <c r="BC10" i="21" s="1"/>
  <c r="G66" i="23"/>
  <c r="AG10" i="21" s="1"/>
  <c r="AI10" i="21" s="1"/>
  <c r="C67" i="23"/>
  <c r="AK11" i="21" s="1"/>
  <c r="AM11" i="21" s="1"/>
  <c r="D67" i="23"/>
  <c r="U11" i="21" s="1"/>
  <c r="W11" i="21" s="1"/>
  <c r="E67" i="23"/>
  <c r="AW11" i="21" s="1"/>
  <c r="AY11" i="21" s="1"/>
  <c r="F67" i="23"/>
  <c r="BA11" i="21" s="1"/>
  <c r="BC11" i="21" s="1"/>
  <c r="G67" i="23"/>
  <c r="AG11" i="21" s="1"/>
  <c r="AI11" i="21" s="1"/>
  <c r="C68" i="23"/>
  <c r="AK12" i="21" s="1"/>
  <c r="AM12" i="21" s="1"/>
  <c r="D68" i="23"/>
  <c r="U12" i="21" s="1"/>
  <c r="W12" i="21" s="1"/>
  <c r="E68" i="23"/>
  <c r="AW12" i="21" s="1"/>
  <c r="AY12" i="21" s="1"/>
  <c r="F68" i="23"/>
  <c r="BA12" i="21" s="1"/>
  <c r="BC12" i="21" s="1"/>
  <c r="G68" i="23"/>
  <c r="AG12" i="21" s="1"/>
  <c r="AI12" i="21" s="1"/>
  <c r="C69" i="23"/>
  <c r="AK13" i="21" s="1"/>
  <c r="AM13" i="21" s="1"/>
  <c r="D69" i="23"/>
  <c r="U13" i="21" s="1"/>
  <c r="W13" i="21" s="1"/>
  <c r="E69" i="23"/>
  <c r="AW13" i="21" s="1"/>
  <c r="AY13" i="21" s="1"/>
  <c r="F69" i="23"/>
  <c r="BA13" i="21" s="1"/>
  <c r="BC13" i="21" s="1"/>
  <c r="G69" i="23"/>
  <c r="AG13" i="21" s="1"/>
  <c r="AI13" i="21" s="1"/>
  <c r="C70" i="23"/>
  <c r="AK14" i="21" s="1"/>
  <c r="AM14" i="21" s="1"/>
  <c r="D70" i="23"/>
  <c r="U14" i="21" s="1"/>
  <c r="W14" i="21" s="1"/>
  <c r="E70" i="23"/>
  <c r="AW14" i="21" s="1"/>
  <c r="AY14" i="21" s="1"/>
  <c r="F70" i="23"/>
  <c r="BA14" i="21" s="1"/>
  <c r="BC14" i="21" s="1"/>
  <c r="G70" i="23"/>
  <c r="AG14" i="21" s="1"/>
  <c r="AI14" i="21" s="1"/>
  <c r="C71" i="23"/>
  <c r="AK15" i="21" s="1"/>
  <c r="AM15" i="21" s="1"/>
  <c r="D71" i="23"/>
  <c r="U15" i="21" s="1"/>
  <c r="W15" i="21" s="1"/>
  <c r="E71" i="23"/>
  <c r="AW15" i="21" s="1"/>
  <c r="AY15" i="21" s="1"/>
  <c r="F71" i="23"/>
  <c r="BA15" i="21" s="1"/>
  <c r="BC15" i="21" s="1"/>
  <c r="G71" i="23"/>
  <c r="AG15" i="21" s="1"/>
  <c r="AI15" i="21" s="1"/>
  <c r="C72" i="23"/>
  <c r="AK16" i="21" s="1"/>
  <c r="AM16" i="21" s="1"/>
  <c r="D72" i="23"/>
  <c r="U16" i="21" s="1"/>
  <c r="W16" i="21" s="1"/>
  <c r="E72" i="23"/>
  <c r="AW16" i="21" s="1"/>
  <c r="AY16" i="21" s="1"/>
  <c r="F72" i="23"/>
  <c r="BA16" i="21" s="1"/>
  <c r="BC16" i="21" s="1"/>
  <c r="G72" i="23"/>
  <c r="AG16" i="21" s="1"/>
  <c r="AI16" i="21" s="1"/>
  <c r="C73" i="23"/>
  <c r="AK17" i="21" s="1"/>
  <c r="AM17" i="21" s="1"/>
  <c r="D73" i="23"/>
  <c r="U17" i="21" s="1"/>
  <c r="W17" i="21" s="1"/>
  <c r="E73" i="23"/>
  <c r="AW17" i="21" s="1"/>
  <c r="AY17" i="21" s="1"/>
  <c r="F73" i="23"/>
  <c r="BA17" i="21" s="1"/>
  <c r="BC17" i="21" s="1"/>
  <c r="G73" i="23"/>
  <c r="AG17" i="21" s="1"/>
  <c r="AI17" i="21" s="1"/>
  <c r="C74" i="23"/>
  <c r="AK18" i="21" s="1"/>
  <c r="AM18" i="21" s="1"/>
  <c r="D74" i="23"/>
  <c r="U18" i="21" s="1"/>
  <c r="W18" i="21" s="1"/>
  <c r="E74" i="23"/>
  <c r="AW18" i="21" s="1"/>
  <c r="AY18" i="21" s="1"/>
  <c r="F74" i="23"/>
  <c r="BA18" i="21" s="1"/>
  <c r="BC18" i="21" s="1"/>
  <c r="G74" i="23"/>
  <c r="AG18" i="21" s="1"/>
  <c r="AI18" i="21" s="1"/>
  <c r="C75" i="23"/>
  <c r="AK19" i="21" s="1"/>
  <c r="AM19" i="21" s="1"/>
  <c r="D75" i="23"/>
  <c r="U19" i="21" s="1"/>
  <c r="W19" i="21" s="1"/>
  <c r="E75" i="23"/>
  <c r="AW19" i="21" s="1"/>
  <c r="AY19" i="21" s="1"/>
  <c r="F75" i="23"/>
  <c r="BA19" i="21" s="1"/>
  <c r="BC19" i="21" s="1"/>
  <c r="G75" i="23"/>
  <c r="AG19" i="21" s="1"/>
  <c r="AI19" i="21" s="1"/>
  <c r="C76" i="23"/>
  <c r="AK20" i="21" s="1"/>
  <c r="AM20" i="21" s="1"/>
  <c r="D76" i="23"/>
  <c r="U20" i="21" s="1"/>
  <c r="W20" i="21" s="1"/>
  <c r="E76" i="23"/>
  <c r="AW20" i="21" s="1"/>
  <c r="AY20" i="21" s="1"/>
  <c r="F76" i="23"/>
  <c r="BA20" i="21" s="1"/>
  <c r="BC20" i="21" s="1"/>
  <c r="G76" i="23"/>
  <c r="AG20" i="21" s="1"/>
  <c r="AI20" i="21" s="1"/>
  <c r="C77" i="23"/>
  <c r="AK21" i="21" s="1"/>
  <c r="AM21" i="21" s="1"/>
  <c r="D77" i="23"/>
  <c r="U21" i="21" s="1"/>
  <c r="W21" i="21" s="1"/>
  <c r="E77" i="23"/>
  <c r="AW21" i="21" s="1"/>
  <c r="AY21" i="21" s="1"/>
  <c r="F77" i="23"/>
  <c r="BA21" i="21" s="1"/>
  <c r="BC21" i="21" s="1"/>
  <c r="G77" i="23"/>
  <c r="AG21" i="21" s="1"/>
  <c r="AI21" i="21" s="1"/>
  <c r="C78" i="23"/>
  <c r="AK22" i="21" s="1"/>
  <c r="AM22" i="21" s="1"/>
  <c r="D78" i="23"/>
  <c r="U22" i="21" s="1"/>
  <c r="W22" i="21" s="1"/>
  <c r="E78" i="23"/>
  <c r="AW22" i="21" s="1"/>
  <c r="AY22" i="21" s="1"/>
  <c r="F78" i="23"/>
  <c r="BA22" i="21" s="1"/>
  <c r="BC22" i="21" s="1"/>
  <c r="G78" i="23"/>
  <c r="AG22" i="21" s="1"/>
  <c r="AI22" i="21" s="1"/>
  <c r="C79" i="23"/>
  <c r="AK23" i="21" s="1"/>
  <c r="AM23" i="21" s="1"/>
  <c r="D79" i="23"/>
  <c r="U23" i="21" s="1"/>
  <c r="W23" i="21" s="1"/>
  <c r="E79" i="23"/>
  <c r="AW23" i="21" s="1"/>
  <c r="AY23" i="21" s="1"/>
  <c r="F79" i="23"/>
  <c r="BA23" i="21" s="1"/>
  <c r="BC23" i="21" s="1"/>
  <c r="G79" i="23"/>
  <c r="AG23" i="21" s="1"/>
  <c r="AI23" i="21" s="1"/>
  <c r="C80" i="23"/>
  <c r="AK24" i="21" s="1"/>
  <c r="AM24" i="21" s="1"/>
  <c r="D80" i="23"/>
  <c r="U24" i="21" s="1"/>
  <c r="E80" i="23"/>
  <c r="AW24" i="21" s="1"/>
  <c r="AY24" i="21" s="1"/>
  <c r="F80" i="23"/>
  <c r="BA24" i="21" s="1"/>
  <c r="BC24" i="21" s="1"/>
  <c r="G80" i="23"/>
  <c r="AG24" i="21" s="1"/>
  <c r="AI24" i="21" s="1"/>
  <c r="G60" i="23"/>
  <c r="AG4" i="21" s="1"/>
  <c r="AI4" i="21" s="1"/>
  <c r="D60" i="23"/>
  <c r="U4" i="21" s="1"/>
  <c r="W4" i="21" s="1"/>
  <c r="E60" i="23"/>
  <c r="AW4" i="21" s="1"/>
  <c r="AY4" i="21" s="1"/>
  <c r="F60" i="23"/>
  <c r="BA4" i="21" s="1"/>
  <c r="BC4" i="21" s="1"/>
  <c r="C60" i="23"/>
  <c r="AK4" i="21" s="1"/>
  <c r="AM4" i="21" s="1"/>
  <c r="BG35" i="30" l="1"/>
  <c r="BC36" i="30"/>
  <c r="BC37" i="30" s="1"/>
  <c r="BC38" i="30" s="1"/>
  <c r="E35" i="30"/>
  <c r="F117" i="30"/>
  <c r="F36" i="30"/>
  <c r="F37" i="30" s="1"/>
  <c r="F38" i="30" s="1"/>
  <c r="F35" i="30"/>
  <c r="BF36" i="30"/>
  <c r="BF37" i="30" s="1"/>
  <c r="BF38" i="30" s="1"/>
  <c r="BF35" i="30"/>
  <c r="BD36" i="30"/>
  <c r="BD37" i="30" s="1"/>
  <c r="BD38" i="30" s="1"/>
  <c r="BD35" i="30"/>
  <c r="H34" i="30"/>
  <c r="R36" i="30"/>
  <c r="R37" i="30" s="1"/>
  <c r="R38" i="30" s="1"/>
  <c r="R35" i="30"/>
  <c r="G35" i="30"/>
  <c r="G36" i="30"/>
  <c r="G37" i="30" s="1"/>
  <c r="G38" i="30" s="1"/>
  <c r="AE34" i="30"/>
  <c r="Y35" i="30"/>
  <c r="Y36" i="30"/>
  <c r="Y37" i="30" s="1"/>
  <c r="Y38" i="30" s="1"/>
  <c r="S34" i="30"/>
  <c r="AL36" i="30"/>
  <c r="AL37" i="30" s="1"/>
  <c r="AL38" i="30" s="1"/>
  <c r="AL35" i="30"/>
  <c r="AN34" i="30"/>
  <c r="AV36" i="30"/>
  <c r="AV37" i="30" s="1"/>
  <c r="AV38" i="30" s="1"/>
  <c r="AV35" i="30"/>
  <c r="D36" i="30"/>
  <c r="D37" i="30" s="1"/>
  <c r="D38" i="30" s="1"/>
  <c r="D35" i="30"/>
  <c r="AM35" i="30"/>
  <c r="AM36" i="30"/>
  <c r="AM37" i="30" s="1"/>
  <c r="AM38" i="30" s="1"/>
  <c r="AD35" i="30"/>
  <c r="Q35" i="30"/>
  <c r="Q36" i="30"/>
  <c r="Q37" i="30" s="1"/>
  <c r="Q38" i="30" s="1"/>
  <c r="AW34" i="30"/>
  <c r="AW35" i="30" s="1"/>
  <c r="U25" i="21"/>
  <c r="U26" i="21" s="1"/>
  <c r="W24" i="21"/>
  <c r="Y56" i="21"/>
  <c r="AA56" i="21" s="1"/>
  <c r="AW36" i="30" l="1"/>
  <c r="AW37" i="30" s="1"/>
  <c r="AW38" i="30" s="1"/>
  <c r="AE35" i="30"/>
  <c r="AE36" i="30"/>
  <c r="AE37" i="30" s="1"/>
  <c r="AE38" i="30" s="1"/>
  <c r="AG34" i="30"/>
  <c r="AF34" i="30"/>
  <c r="S36" i="30"/>
  <c r="S37" i="30" s="1"/>
  <c r="S38" i="30" s="1"/>
  <c r="S35" i="30"/>
  <c r="AX34" i="30"/>
  <c r="H35" i="30"/>
  <c r="H36" i="30"/>
  <c r="H37" i="30" s="1"/>
  <c r="H38" i="30" s="1"/>
  <c r="T34" i="30"/>
  <c r="AN36" i="30"/>
  <c r="AN37" i="30" s="1"/>
  <c r="AN38" i="30" s="1"/>
  <c r="AN35" i="30"/>
  <c r="AO34" i="30"/>
  <c r="I34" i="30"/>
  <c r="W26" i="21"/>
  <c r="U27" i="21"/>
  <c r="W25" i="21"/>
  <c r="G9" i="27"/>
  <c r="G8" i="27"/>
  <c r="AO36" i="30" l="1"/>
  <c r="AO37" i="30" s="1"/>
  <c r="AO38" i="30" s="1"/>
  <c r="AO35" i="30"/>
  <c r="AX36" i="30"/>
  <c r="AX37" i="30" s="1"/>
  <c r="AX38" i="30" s="1"/>
  <c r="AX35" i="30"/>
  <c r="AQ34" i="30"/>
  <c r="AP34" i="30"/>
  <c r="AF36" i="30"/>
  <c r="AF37" i="30" s="1"/>
  <c r="AF38" i="30" s="1"/>
  <c r="AF35" i="30"/>
  <c r="U34" i="30"/>
  <c r="T35" i="30"/>
  <c r="T36" i="30"/>
  <c r="T37" i="30" s="1"/>
  <c r="T38" i="30" s="1"/>
  <c r="AG36" i="30"/>
  <c r="AG37" i="30" s="1"/>
  <c r="AG38" i="30" s="1"/>
  <c r="AG35" i="30"/>
  <c r="J34" i="30"/>
  <c r="AY34" i="30"/>
  <c r="I35" i="30"/>
  <c r="I36" i="30"/>
  <c r="I37" i="30" s="1"/>
  <c r="I38" i="30" s="1"/>
  <c r="W27" i="21"/>
  <c r="U28" i="21"/>
  <c r="D9" i="25"/>
  <c r="D5" i="25"/>
  <c r="K34" i="30" l="1"/>
  <c r="AP35" i="30"/>
  <c r="AP36" i="30"/>
  <c r="AP37" i="30" s="1"/>
  <c r="AP38" i="30" s="1"/>
  <c r="AQ36" i="30"/>
  <c r="AQ37" i="30" s="1"/>
  <c r="AQ38" i="30" s="1"/>
  <c r="AQ35" i="30"/>
  <c r="BA34" i="30"/>
  <c r="AZ34" i="30"/>
  <c r="U36" i="30"/>
  <c r="U37" i="30" s="1"/>
  <c r="U38" i="30" s="1"/>
  <c r="U35" i="30"/>
  <c r="J35" i="30"/>
  <c r="J36" i="30"/>
  <c r="J37" i="30" s="1"/>
  <c r="J38" i="30" s="1"/>
  <c r="AY35" i="30"/>
  <c r="AY36" i="30"/>
  <c r="AY37" i="30" s="1"/>
  <c r="AY38" i="30" s="1"/>
  <c r="V34" i="30"/>
  <c r="W34" i="30"/>
  <c r="W28" i="21"/>
  <c r="U29" i="21"/>
  <c r="C7" i="22"/>
  <c r="AC29" i="21" s="1"/>
  <c r="AE29" i="21" s="1"/>
  <c r="Y29" i="21"/>
  <c r="Q9" i="21"/>
  <c r="S9" i="21" s="1"/>
  <c r="Q10" i="21"/>
  <c r="S10" i="21" s="1"/>
  <c r="Q11" i="21"/>
  <c r="S11" i="21" s="1"/>
  <c r="Q12" i="21"/>
  <c r="S12" i="21" s="1"/>
  <c r="Q13" i="21"/>
  <c r="S13" i="21" s="1"/>
  <c r="Q14" i="21"/>
  <c r="S14" i="21" s="1"/>
  <c r="Q15" i="21"/>
  <c r="S15" i="21" s="1"/>
  <c r="Q16" i="21"/>
  <c r="S16" i="21" s="1"/>
  <c r="Q17" i="21"/>
  <c r="S17" i="21" s="1"/>
  <c r="Q18" i="21"/>
  <c r="S18" i="21" s="1"/>
  <c r="Q19" i="21"/>
  <c r="S19" i="21" s="1"/>
  <c r="Q20" i="21"/>
  <c r="S20" i="21" s="1"/>
  <c r="Q21" i="21"/>
  <c r="S21" i="21" s="1"/>
  <c r="Q22" i="21"/>
  <c r="S22" i="21" s="1"/>
  <c r="Q23" i="21"/>
  <c r="S23" i="21" s="1"/>
  <c r="Q24" i="21"/>
  <c r="S24" i="21" s="1"/>
  <c r="Q25" i="21"/>
  <c r="S25" i="21" s="1"/>
  <c r="Q26" i="21"/>
  <c r="S26" i="21" s="1"/>
  <c r="Q27" i="21"/>
  <c r="S27" i="21" s="1"/>
  <c r="Q28" i="21"/>
  <c r="S28" i="21" s="1"/>
  <c r="Q29" i="21"/>
  <c r="S29" i="21" s="1"/>
  <c r="Q30" i="21"/>
  <c r="S30" i="21" s="1"/>
  <c r="Q31" i="21"/>
  <c r="S31" i="21" s="1"/>
  <c r="Q32" i="21"/>
  <c r="S32" i="21" s="1"/>
  <c r="Q33" i="21"/>
  <c r="S33" i="21" s="1"/>
  <c r="Q34" i="21"/>
  <c r="S34" i="21" s="1"/>
  <c r="Q35" i="21"/>
  <c r="S35" i="21" s="1"/>
  <c r="Q36" i="21"/>
  <c r="S36" i="21" s="1"/>
  <c r="Q37" i="21"/>
  <c r="S37" i="21" s="1"/>
  <c r="Q38" i="21"/>
  <c r="S38" i="21" s="1"/>
  <c r="Q39" i="21"/>
  <c r="S39" i="21" s="1"/>
  <c r="Q40" i="21"/>
  <c r="S40" i="21" s="1"/>
  <c r="Q41" i="21"/>
  <c r="S41" i="21" s="1"/>
  <c r="Q42" i="21"/>
  <c r="S42" i="21" s="1"/>
  <c r="Q43" i="21"/>
  <c r="S43" i="21" s="1"/>
  <c r="Q44" i="21"/>
  <c r="S44" i="21" s="1"/>
  <c r="Q45" i="21"/>
  <c r="S45" i="21" s="1"/>
  <c r="Q46" i="21"/>
  <c r="S46" i="21" s="1"/>
  <c r="Q47" i="21"/>
  <c r="S47" i="21" s="1"/>
  <c r="Q48" i="21"/>
  <c r="S48" i="21" s="1"/>
  <c r="Q49" i="21"/>
  <c r="S49" i="21" s="1"/>
  <c r="Q50" i="21"/>
  <c r="S50" i="21" s="1"/>
  <c r="Q51" i="21"/>
  <c r="S51" i="21" s="1"/>
  <c r="Q52" i="21"/>
  <c r="S52" i="21" s="1"/>
  <c r="Q53" i="21"/>
  <c r="S53" i="21" s="1"/>
  <c r="Q54" i="21"/>
  <c r="S54" i="21" s="1"/>
  <c r="Q55" i="21"/>
  <c r="S55" i="21" s="1"/>
  <c r="Q56" i="21"/>
  <c r="S56" i="21" s="1"/>
  <c r="Q57" i="21"/>
  <c r="S57" i="21" s="1"/>
  <c r="Q58" i="21"/>
  <c r="S58" i="21" s="1"/>
  <c r="Q59" i="21"/>
  <c r="S59" i="21" s="1"/>
  <c r="Q60" i="21"/>
  <c r="S60" i="21" s="1"/>
  <c r="Q61" i="21"/>
  <c r="S61" i="21" s="1"/>
  <c r="Q4" i="21"/>
  <c r="S4" i="21" s="1"/>
  <c r="D7" i="23"/>
  <c r="D8" i="23"/>
  <c r="D9" i="23"/>
  <c r="D10" i="23"/>
  <c r="D11" i="23"/>
  <c r="AO24" i="21" s="1"/>
  <c r="D12" i="23"/>
  <c r="D13" i="23"/>
  <c r="AC24" i="21" s="1"/>
  <c r="AE24" i="21" s="1"/>
  <c r="D14" i="23"/>
  <c r="D16" i="23"/>
  <c r="Y24" i="21" s="1"/>
  <c r="AA24" i="21" s="1"/>
  <c r="D18" i="23"/>
  <c r="D20" i="23"/>
  <c r="AS24" i="21" s="1"/>
  <c r="D21" i="23"/>
  <c r="D6" i="23"/>
  <c r="W59" i="21" l="1"/>
  <c r="AA59" i="21"/>
  <c r="AE59" i="21"/>
  <c r="BC59" i="21"/>
  <c r="AM59" i="21"/>
  <c r="AY59" i="21"/>
  <c r="AI59" i="21"/>
  <c r="AE38" i="21"/>
  <c r="AY38" i="21"/>
  <c r="AI38" i="21"/>
  <c r="AM38" i="21"/>
  <c r="BC38" i="21"/>
  <c r="AM57" i="21"/>
  <c r="AA57" i="21"/>
  <c r="AE57" i="21"/>
  <c r="AY57" i="21"/>
  <c r="W57" i="21"/>
  <c r="BC57" i="21"/>
  <c r="AI57" i="21"/>
  <c r="BC43" i="21"/>
  <c r="AY43" i="21"/>
  <c r="AI43" i="21"/>
  <c r="AE43" i="21"/>
  <c r="AM43" i="21"/>
  <c r="AE60" i="21"/>
  <c r="AY60" i="21"/>
  <c r="W60" i="21"/>
  <c r="AM60" i="21"/>
  <c r="BC60" i="21"/>
  <c r="AI60" i="21"/>
  <c r="AA60" i="21"/>
  <c r="AE36" i="21"/>
  <c r="AM36" i="21"/>
  <c r="AI36" i="21"/>
  <c r="AY36" i="21"/>
  <c r="BC36" i="21"/>
  <c r="AI34" i="21"/>
  <c r="AE34" i="21"/>
  <c r="BC34" i="21"/>
  <c r="AY34" i="21"/>
  <c r="AM34" i="21"/>
  <c r="AY53" i="21"/>
  <c r="AI53" i="21"/>
  <c r="AE53" i="21"/>
  <c r="BC53" i="21"/>
  <c r="AM53" i="21"/>
  <c r="AE31" i="21"/>
  <c r="AI31" i="21"/>
  <c r="BC31" i="21"/>
  <c r="AY31" i="21"/>
  <c r="AM31" i="21"/>
  <c r="AE50" i="21"/>
  <c r="BC50" i="21"/>
  <c r="AY50" i="21"/>
  <c r="AM50" i="21"/>
  <c r="AI50" i="21"/>
  <c r="AE49" i="21"/>
  <c r="BC49" i="21"/>
  <c r="AY49" i="21"/>
  <c r="AM49" i="21"/>
  <c r="AI49" i="21"/>
  <c r="BC29" i="21"/>
  <c r="AY29" i="21"/>
  <c r="AM29" i="21"/>
  <c r="AI29" i="21"/>
  <c r="BC25" i="21"/>
  <c r="AM25" i="21"/>
  <c r="AY25" i="21"/>
  <c r="AI25" i="21"/>
  <c r="AY41" i="21"/>
  <c r="AI41" i="21"/>
  <c r="AM41" i="21"/>
  <c r="BC41" i="21"/>
  <c r="AE41" i="21"/>
  <c r="AM55" i="21"/>
  <c r="AI55" i="21"/>
  <c r="AE55" i="21"/>
  <c r="W55" i="21"/>
  <c r="BC55" i="21"/>
  <c r="AY55" i="21"/>
  <c r="AE54" i="21"/>
  <c r="AI54" i="21"/>
  <c r="AM54" i="21"/>
  <c r="BC54" i="21"/>
  <c r="AY54" i="21"/>
  <c r="BC28" i="21"/>
  <c r="AY28" i="21"/>
  <c r="AM28" i="21"/>
  <c r="AI28" i="21"/>
  <c r="Y30" i="21"/>
  <c r="Y31" i="21" s="1"/>
  <c r="AA29" i="21"/>
  <c r="BC45" i="21"/>
  <c r="AY45" i="21"/>
  <c r="AE45" i="21"/>
  <c r="AI45" i="21"/>
  <c r="AM45" i="21"/>
  <c r="AM42" i="21"/>
  <c r="BC42" i="21"/>
  <c r="AI42" i="21"/>
  <c r="AE42" i="21"/>
  <c r="AY42" i="21"/>
  <c r="BC61" i="21"/>
  <c r="AE61" i="21"/>
  <c r="AI61" i="21"/>
  <c r="AA61" i="21"/>
  <c r="AY61" i="21"/>
  <c r="W61" i="21"/>
  <c r="AM61" i="21"/>
  <c r="AI40" i="21"/>
  <c r="AY40" i="21"/>
  <c r="AM40" i="21"/>
  <c r="AE40" i="21"/>
  <c r="BC40" i="21"/>
  <c r="BC39" i="21"/>
  <c r="AY39" i="21"/>
  <c r="AM39" i="21"/>
  <c r="AI39" i="21"/>
  <c r="AE39" i="21"/>
  <c r="AM58" i="21"/>
  <c r="BC58" i="21"/>
  <c r="AA58" i="21"/>
  <c r="W58" i="21"/>
  <c r="AE58" i="21"/>
  <c r="AY58" i="21"/>
  <c r="AI58" i="21"/>
  <c r="AY37" i="21"/>
  <c r="AI37" i="21"/>
  <c r="AE37" i="21"/>
  <c r="BC37" i="21"/>
  <c r="AM37" i="21"/>
  <c r="AE56" i="21"/>
  <c r="AY56" i="21"/>
  <c r="W56" i="21"/>
  <c r="AI56" i="21"/>
  <c r="AM56" i="21"/>
  <c r="BC56" i="21"/>
  <c r="AY35" i="21"/>
  <c r="AI35" i="21"/>
  <c r="AE35" i="21"/>
  <c r="AM35" i="21"/>
  <c r="BC35" i="21"/>
  <c r="AE33" i="21"/>
  <c r="BC33" i="21"/>
  <c r="AY33" i="21"/>
  <c r="AM33" i="21"/>
  <c r="AI33" i="21"/>
  <c r="AM32" i="21"/>
  <c r="AE32" i="21"/>
  <c r="AI32" i="21"/>
  <c r="BC32" i="21"/>
  <c r="AY32" i="21"/>
  <c r="AY44" i="21"/>
  <c r="BC44" i="21"/>
  <c r="AI44" i="21"/>
  <c r="AE44" i="21"/>
  <c r="AM44" i="21"/>
  <c r="AE52" i="21"/>
  <c r="AM52" i="21"/>
  <c r="BC52" i="21"/>
  <c r="AY52" i="21"/>
  <c r="AI52" i="21"/>
  <c r="AE51" i="21"/>
  <c r="AI51" i="21"/>
  <c r="BC51" i="21"/>
  <c r="AY51" i="21"/>
  <c r="AM51" i="21"/>
  <c r="AE30" i="21"/>
  <c r="BC30" i="21"/>
  <c r="AY30" i="21"/>
  <c r="AM30" i="21"/>
  <c r="AI30" i="21"/>
  <c r="AE48" i="21"/>
  <c r="BC48" i="21"/>
  <c r="AY48" i="21"/>
  <c r="AM48" i="21"/>
  <c r="AI48" i="21"/>
  <c r="BC47" i="21"/>
  <c r="AY47" i="21"/>
  <c r="AM47" i="21"/>
  <c r="AI47" i="21"/>
  <c r="AE47" i="21"/>
  <c r="BC27" i="21"/>
  <c r="AY27" i="21"/>
  <c r="AM27" i="21"/>
  <c r="AI27" i="21"/>
  <c r="BC46" i="21"/>
  <c r="AY46" i="21"/>
  <c r="AM46" i="21"/>
  <c r="AI46" i="21"/>
  <c r="AE46" i="21"/>
  <c r="BC26" i="21"/>
  <c r="AY26" i="21"/>
  <c r="AM26" i="21"/>
  <c r="AI26" i="21"/>
  <c r="V36" i="30"/>
  <c r="V37" i="30" s="1"/>
  <c r="V38" i="30" s="1"/>
  <c r="V35" i="30"/>
  <c r="BA35" i="30"/>
  <c r="BA36" i="30"/>
  <c r="BA37" i="30" s="1"/>
  <c r="BA38" i="30" s="1"/>
  <c r="W35" i="30"/>
  <c r="W36" i="30"/>
  <c r="W37" i="30" s="1"/>
  <c r="W38" i="30" s="1"/>
  <c r="AZ35" i="30"/>
  <c r="AZ36" i="30"/>
  <c r="AZ37" i="30" s="1"/>
  <c r="AZ38" i="30" s="1"/>
  <c r="M34" i="30"/>
  <c r="L34" i="30"/>
  <c r="K36" i="30"/>
  <c r="K37" i="30" s="1"/>
  <c r="K38" i="30" s="1"/>
  <c r="K35" i="30"/>
  <c r="U30" i="21"/>
  <c r="W29" i="21"/>
  <c r="AC18" i="21"/>
  <c r="AE18" i="21" s="1"/>
  <c r="Y18" i="21"/>
  <c r="AA18" i="21" s="1"/>
  <c r="AC10" i="21"/>
  <c r="AE10" i="21" s="1"/>
  <c r="Y10" i="21"/>
  <c r="AA10" i="21" s="1"/>
  <c r="AC11" i="21"/>
  <c r="AE11" i="21" s="1"/>
  <c r="Y11" i="21"/>
  <c r="AA11" i="21" s="1"/>
  <c r="Y15" i="21"/>
  <c r="AA15" i="21" s="1"/>
  <c r="AC15" i="21"/>
  <c r="AE15" i="21" s="1"/>
  <c r="Y19" i="21"/>
  <c r="AA19" i="21" s="1"/>
  <c r="AC19" i="21"/>
  <c r="AE19" i="21" s="1"/>
  <c r="AC16" i="21"/>
  <c r="AE16" i="21" s="1"/>
  <c r="Y16" i="21"/>
  <c r="AA16" i="21" s="1"/>
  <c r="AC4" i="21"/>
  <c r="AE4" i="21" s="1"/>
  <c r="Y4" i="21"/>
  <c r="AA4" i="21" s="1"/>
  <c r="Y25" i="21"/>
  <c r="Y9" i="21"/>
  <c r="AA9" i="21" s="1"/>
  <c r="AC9" i="21"/>
  <c r="AE9" i="21" s="1"/>
  <c r="Y22" i="21"/>
  <c r="AA22" i="21" s="1"/>
  <c r="AC22" i="21"/>
  <c r="AE22" i="21" s="1"/>
  <c r="AC21" i="21"/>
  <c r="AE21" i="21" s="1"/>
  <c r="Y21" i="21"/>
  <c r="AA21" i="21" s="1"/>
  <c r="AC13" i="21"/>
  <c r="AE13" i="21" s="1"/>
  <c r="Y13" i="21"/>
  <c r="AA13" i="21" s="1"/>
  <c r="Y17" i="21"/>
  <c r="AA17" i="21" s="1"/>
  <c r="AC17" i="21"/>
  <c r="AE17" i="21" s="1"/>
  <c r="AC23" i="21"/>
  <c r="AE23" i="21" s="1"/>
  <c r="Y23" i="21"/>
  <c r="AA23" i="21" s="1"/>
  <c r="Y14" i="21"/>
  <c r="AA14" i="21" s="1"/>
  <c r="AC14" i="21"/>
  <c r="AE14" i="21" s="1"/>
  <c r="AC20" i="21"/>
  <c r="AE20" i="21" s="1"/>
  <c r="Y20" i="21"/>
  <c r="AA20" i="21" s="1"/>
  <c r="Y12" i="21"/>
  <c r="AA12" i="21" s="1"/>
  <c r="AC12" i="21"/>
  <c r="AE12" i="21" s="1"/>
  <c r="G64" i="21"/>
  <c r="F64" i="21"/>
  <c r="E64" i="21"/>
  <c r="Q64" i="21" s="1"/>
  <c r="S64" i="21" s="1"/>
  <c r="G63" i="21"/>
  <c r="F63" i="21"/>
  <c r="E63" i="21"/>
  <c r="Q63" i="21" s="1"/>
  <c r="S63" i="21" s="1"/>
  <c r="G62" i="21"/>
  <c r="F62" i="21"/>
  <c r="E62" i="21"/>
  <c r="Q62" i="21" s="1"/>
  <c r="S62" i="21" s="1"/>
  <c r="D61" i="21"/>
  <c r="C61" i="21"/>
  <c r="B61" i="21"/>
  <c r="D60" i="21"/>
  <c r="C60" i="21"/>
  <c r="B60" i="21"/>
  <c r="D59" i="21"/>
  <c r="C59" i="21"/>
  <c r="B59" i="21"/>
  <c r="D58" i="21"/>
  <c r="C58" i="21"/>
  <c r="B58" i="21"/>
  <c r="D57" i="21"/>
  <c r="C57" i="21"/>
  <c r="B57" i="21"/>
  <c r="D56" i="21"/>
  <c r="C56" i="21"/>
  <c r="B56" i="21"/>
  <c r="D55" i="21"/>
  <c r="C55" i="21"/>
  <c r="B55" i="21"/>
  <c r="D54" i="21"/>
  <c r="C54" i="21"/>
  <c r="B54" i="21"/>
  <c r="D53" i="21"/>
  <c r="C53" i="21"/>
  <c r="B53" i="21"/>
  <c r="D52" i="21"/>
  <c r="C52" i="21"/>
  <c r="B52" i="21"/>
  <c r="D51" i="21"/>
  <c r="C51" i="21"/>
  <c r="B51" i="21"/>
  <c r="D49" i="21"/>
  <c r="C49" i="21"/>
  <c r="B49" i="21"/>
  <c r="D44" i="21"/>
  <c r="C44" i="21"/>
  <c r="B44" i="21"/>
  <c r="D39" i="21"/>
  <c r="C39" i="21"/>
  <c r="B39" i="21"/>
  <c r="D34" i="21"/>
  <c r="C34" i="21"/>
  <c r="B34" i="21"/>
  <c r="D29" i="21"/>
  <c r="C29" i="21"/>
  <c r="B29" i="21"/>
  <c r="D24" i="21"/>
  <c r="C24" i="21"/>
  <c r="B24" i="21"/>
  <c r="D19" i="21"/>
  <c r="C19" i="21"/>
  <c r="B19" i="21"/>
  <c r="D14" i="21"/>
  <c r="C14" i="21"/>
  <c r="B14" i="21"/>
  <c r="D9" i="21"/>
  <c r="C9" i="21"/>
  <c r="B9" i="21"/>
  <c r="F8" i="21"/>
  <c r="E8" i="21"/>
  <c r="F7" i="21"/>
  <c r="E7" i="21"/>
  <c r="Q7" i="21" s="1"/>
  <c r="S7" i="21" s="1"/>
  <c r="F6" i="21"/>
  <c r="E6" i="21"/>
  <c r="F5" i="21"/>
  <c r="E5" i="21"/>
  <c r="Q5" i="21" s="1"/>
  <c r="S5" i="21" s="1"/>
  <c r="D4" i="21"/>
  <c r="C4" i="21"/>
  <c r="B4" i="21"/>
  <c r="AA64" i="21" l="1"/>
  <c r="AE64" i="21"/>
  <c r="AY64" i="21"/>
  <c r="BC64" i="21"/>
  <c r="AM64" i="21"/>
  <c r="W64" i="21"/>
  <c r="AI64" i="21"/>
  <c r="AA63" i="21"/>
  <c r="AI63" i="21"/>
  <c r="AE63" i="21"/>
  <c r="W63" i="21"/>
  <c r="BC63" i="21"/>
  <c r="AY63" i="21"/>
  <c r="AM63" i="21"/>
  <c r="Y26" i="21"/>
  <c r="AA25" i="21"/>
  <c r="AA31" i="21"/>
  <c r="Y32" i="21"/>
  <c r="AA62" i="21"/>
  <c r="BC62" i="21"/>
  <c r="AE62" i="21"/>
  <c r="AI62" i="21"/>
  <c r="AM62" i="21"/>
  <c r="AY62" i="21"/>
  <c r="H8" i="7" s="1" a="1"/>
  <c r="W62" i="21"/>
  <c r="L35" i="30"/>
  <c r="L36" i="30"/>
  <c r="L37" i="30" s="1"/>
  <c r="L38" i="30" s="1"/>
  <c r="M36" i="30"/>
  <c r="M37" i="30" s="1"/>
  <c r="M38" i="30" s="1"/>
  <c r="M35" i="30"/>
  <c r="U31" i="21"/>
  <c r="W30" i="21"/>
  <c r="Y7" i="21"/>
  <c r="AA7" i="21" s="1"/>
  <c r="AC7" i="21"/>
  <c r="AE7" i="21" s="1"/>
  <c r="AC5" i="21"/>
  <c r="AE5" i="21" s="1"/>
  <c r="Y5" i="21"/>
  <c r="AA5" i="21" s="1"/>
  <c r="G6" i="21"/>
  <c r="Q6" i="21"/>
  <c r="S6" i="21" s="1"/>
  <c r="G8" i="21"/>
  <c r="Q8" i="21"/>
  <c r="S8" i="21" s="1"/>
  <c r="G7" i="21"/>
  <c r="G5" i="21"/>
  <c r="B2" i="9"/>
  <c r="X11" i="1" s="1"/>
  <c r="AD11" i="1" s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4" i="1"/>
  <c r="W23" i="1"/>
  <c r="AC23" i="1" s="1"/>
  <c r="W24" i="1"/>
  <c r="AC24" i="1" s="1"/>
  <c r="W43" i="1"/>
  <c r="AC43" i="1" s="1"/>
  <c r="B27" i="10"/>
  <c r="B31" i="10"/>
  <c r="W20" i="1" s="1"/>
  <c r="AC20" i="1" s="1"/>
  <c r="B28" i="10"/>
  <c r="T18" i="1" s="1"/>
  <c r="U11" i="1"/>
  <c r="W63" i="1" l="1"/>
  <c r="AC63" i="1" s="1"/>
  <c r="W64" i="1"/>
  <c r="AC64" i="1" s="1"/>
  <c r="W44" i="1"/>
  <c r="AC44" i="1" s="1"/>
  <c r="X4" i="1"/>
  <c r="AD4" i="1" s="1"/>
  <c r="X16" i="1"/>
  <c r="AD16" i="1" s="1"/>
  <c r="J60" i="21"/>
  <c r="O60" i="21" s="1"/>
  <c r="J55" i="21"/>
  <c r="O55" i="21" s="1"/>
  <c r="J50" i="21"/>
  <c r="O50" i="21" s="1"/>
  <c r="J25" i="21"/>
  <c r="O25" i="21" s="1"/>
  <c r="J38" i="21"/>
  <c r="O38" i="21" s="1"/>
  <c r="J24" i="21"/>
  <c r="O24" i="21" s="1"/>
  <c r="J13" i="21"/>
  <c r="O13" i="21" s="1"/>
  <c r="J4" i="21"/>
  <c r="O4" i="21" s="1"/>
  <c r="J37" i="21"/>
  <c r="O37" i="21" s="1"/>
  <c r="J36" i="21"/>
  <c r="O36" i="21" s="1"/>
  <c r="J48" i="21"/>
  <c r="O48" i="21" s="1"/>
  <c r="J9" i="21"/>
  <c r="O9" i="21" s="1"/>
  <c r="J47" i="21"/>
  <c r="O47" i="21" s="1"/>
  <c r="J58" i="21"/>
  <c r="O58" i="21" s="1"/>
  <c r="J20" i="21"/>
  <c r="O20" i="21" s="1"/>
  <c r="J19" i="21"/>
  <c r="O19" i="21" s="1"/>
  <c r="J32" i="21"/>
  <c r="O32" i="21" s="1"/>
  <c r="J52" i="21"/>
  <c r="O52" i="21" s="1"/>
  <c r="J30" i="21"/>
  <c r="O30" i="21" s="1"/>
  <c r="J14" i="21"/>
  <c r="O14" i="21" s="1"/>
  <c r="J49" i="21"/>
  <c r="O49" i="21" s="1"/>
  <c r="J34" i="21"/>
  <c r="O34" i="21" s="1"/>
  <c r="J21" i="21"/>
  <c r="O21" i="21" s="1"/>
  <c r="J63" i="21"/>
  <c r="O63" i="21" s="1"/>
  <c r="J44" i="21"/>
  <c r="O44" i="21" s="1"/>
  <c r="J62" i="21"/>
  <c r="O62" i="21" s="1"/>
  <c r="J29" i="21"/>
  <c r="O29" i="21" s="1"/>
  <c r="J12" i="21"/>
  <c r="O12" i="21" s="1"/>
  <c r="J11" i="21"/>
  <c r="O11" i="21" s="1"/>
  <c r="J53" i="21"/>
  <c r="O53" i="21" s="1"/>
  <c r="J33" i="21"/>
  <c r="O33" i="21" s="1"/>
  <c r="J7" i="21"/>
  <c r="O7" i="21" s="1"/>
  <c r="J17" i="21"/>
  <c r="O17" i="21" s="1"/>
  <c r="J16" i="21"/>
  <c r="O16" i="21" s="1"/>
  <c r="J56" i="21"/>
  <c r="O56" i="21" s="1"/>
  <c r="J28" i="21"/>
  <c r="O28" i="21" s="1"/>
  <c r="J5" i="21"/>
  <c r="O5" i="21" s="1"/>
  <c r="J57" i="21"/>
  <c r="O57" i="21" s="1"/>
  <c r="J39" i="21"/>
  <c r="O39" i="21" s="1"/>
  <c r="J64" i="21"/>
  <c r="O64" i="21" s="1"/>
  <c r="J59" i="21"/>
  <c r="O59" i="21" s="1"/>
  <c r="J54" i="21"/>
  <c r="O54" i="21" s="1"/>
  <c r="J35" i="21"/>
  <c r="O35" i="21" s="1"/>
  <c r="J10" i="21"/>
  <c r="O10" i="21" s="1"/>
  <c r="J23" i="21"/>
  <c r="O23" i="21" s="1"/>
  <c r="J46" i="21"/>
  <c r="O46" i="21" s="1"/>
  <c r="J42" i="21"/>
  <c r="O42" i="21" s="1"/>
  <c r="J61" i="21"/>
  <c r="O61" i="21" s="1"/>
  <c r="J27" i="21"/>
  <c r="O27" i="21" s="1"/>
  <c r="J26" i="21"/>
  <c r="O26" i="21" s="1"/>
  <c r="J31" i="21"/>
  <c r="O31" i="21" s="1"/>
  <c r="J18" i="21"/>
  <c r="O18" i="21" s="1"/>
  <c r="J6" i="21"/>
  <c r="O6" i="21" s="1"/>
  <c r="J22" i="21"/>
  <c r="O22" i="21" s="1"/>
  <c r="J8" i="21"/>
  <c r="O8" i="21" s="1"/>
  <c r="J43" i="21"/>
  <c r="O43" i="21" s="1"/>
  <c r="J15" i="21"/>
  <c r="O15" i="21" s="1"/>
  <c r="J40" i="21"/>
  <c r="O40" i="21" s="1"/>
  <c r="J45" i="21"/>
  <c r="O45" i="21" s="1"/>
  <c r="J41" i="21"/>
  <c r="O41" i="21" s="1"/>
  <c r="J51" i="21"/>
  <c r="O51" i="21" s="1"/>
  <c r="W41" i="1"/>
  <c r="AC41" i="1" s="1"/>
  <c r="W18" i="1"/>
  <c r="AC18" i="1" s="1"/>
  <c r="W17" i="1"/>
  <c r="AC17" i="1" s="1"/>
  <c r="W36" i="1"/>
  <c r="AC36" i="1" s="1"/>
  <c r="X32" i="1"/>
  <c r="AD32" i="1" s="1"/>
  <c r="W55" i="1"/>
  <c r="AC55" i="1" s="1"/>
  <c r="W54" i="1"/>
  <c r="AC54" i="1" s="1"/>
  <c r="W34" i="1"/>
  <c r="AC34" i="1" s="1"/>
  <c r="W14" i="1"/>
  <c r="AC14" i="1" s="1"/>
  <c r="W53" i="1"/>
  <c r="AC53" i="1" s="1"/>
  <c r="W33" i="1"/>
  <c r="AC33" i="1" s="1"/>
  <c r="W13" i="1"/>
  <c r="AC13" i="1" s="1"/>
  <c r="X8" i="1"/>
  <c r="AD8" i="1" s="1"/>
  <c r="Y27" i="21"/>
  <c r="AA26" i="21"/>
  <c r="W58" i="1"/>
  <c r="AC58" i="1" s="1"/>
  <c r="W21" i="1"/>
  <c r="AC21" i="1" s="1"/>
  <c r="W50" i="1"/>
  <c r="AC50" i="1" s="1"/>
  <c r="W30" i="1"/>
  <c r="AC30" i="1" s="1"/>
  <c r="W10" i="1"/>
  <c r="AC10" i="1" s="1"/>
  <c r="AA32" i="21"/>
  <c r="Y33" i="21"/>
  <c r="X64" i="1"/>
  <c r="AD64" i="1" s="1"/>
  <c r="W22" i="1"/>
  <c r="AC22" i="1" s="1"/>
  <c r="W61" i="1"/>
  <c r="AC61" i="1" s="1"/>
  <c r="W57" i="1"/>
  <c r="AC57" i="1" s="1"/>
  <c r="W35" i="1"/>
  <c r="AC35" i="1" s="1"/>
  <c r="X24" i="1"/>
  <c r="AD24" i="1" s="1"/>
  <c r="W12" i="1"/>
  <c r="AC12" i="1" s="1"/>
  <c r="W11" i="1"/>
  <c r="AC11" i="1" s="1"/>
  <c r="W48" i="1"/>
  <c r="AC48" i="1" s="1"/>
  <c r="W28" i="1"/>
  <c r="AC28" i="1" s="1"/>
  <c r="W8" i="1"/>
  <c r="AC8" i="1" s="1"/>
  <c r="W42" i="1"/>
  <c r="AC42" i="1" s="1"/>
  <c r="W60" i="1"/>
  <c r="AC60" i="1" s="1"/>
  <c r="W19" i="1"/>
  <c r="AC19" i="1" s="1"/>
  <c r="W16" i="1"/>
  <c r="AC16" i="1" s="1"/>
  <c r="W32" i="1"/>
  <c r="AC32" i="1" s="1"/>
  <c r="W51" i="1"/>
  <c r="AC51" i="1" s="1"/>
  <c r="W29" i="1"/>
  <c r="AC29" i="1" s="1"/>
  <c r="W47" i="1"/>
  <c r="AC47" i="1" s="1"/>
  <c r="W27" i="1"/>
  <c r="AC27" i="1" s="1"/>
  <c r="W7" i="1"/>
  <c r="AC7" i="1" s="1"/>
  <c r="W39" i="1"/>
  <c r="AC39" i="1" s="1"/>
  <c r="X48" i="1"/>
  <c r="AD48" i="1" s="1"/>
  <c r="W37" i="1"/>
  <c r="AC37" i="1" s="1"/>
  <c r="X40" i="1"/>
  <c r="AD40" i="1" s="1"/>
  <c r="W15" i="1"/>
  <c r="AC15" i="1" s="1"/>
  <c r="W9" i="1"/>
  <c r="AC9" i="1" s="1"/>
  <c r="W46" i="1"/>
  <c r="AC46" i="1" s="1"/>
  <c r="W26" i="1"/>
  <c r="AC26" i="1" s="1"/>
  <c r="W6" i="1"/>
  <c r="AC6" i="1" s="1"/>
  <c r="W62" i="1"/>
  <c r="AC62" i="1" s="1"/>
  <c r="W40" i="1"/>
  <c r="AC40" i="1" s="1"/>
  <c r="W59" i="1"/>
  <c r="AC59" i="1" s="1"/>
  <c r="X56" i="1"/>
  <c r="AD56" i="1" s="1"/>
  <c r="W38" i="1"/>
  <c r="AC38" i="1" s="1"/>
  <c r="W56" i="1"/>
  <c r="AC56" i="1" s="1"/>
  <c r="W52" i="1"/>
  <c r="AC52" i="1" s="1"/>
  <c r="W31" i="1"/>
  <c r="AC31" i="1" s="1"/>
  <c r="W49" i="1"/>
  <c r="AC49" i="1" s="1"/>
  <c r="W4" i="1"/>
  <c r="AC4" i="1" s="1"/>
  <c r="W45" i="1"/>
  <c r="AC45" i="1" s="1"/>
  <c r="W25" i="1"/>
  <c r="AC25" i="1" s="1"/>
  <c r="W5" i="1"/>
  <c r="AC5" i="1" s="1"/>
  <c r="H6" i="7" a="1"/>
  <c r="H6" i="7" s="1"/>
  <c r="H9" i="7" a="1"/>
  <c r="BK9" i="7" s="1"/>
  <c r="H7" i="7" a="1"/>
  <c r="BA7" i="7" s="1"/>
  <c r="H8" i="7"/>
  <c r="AE8" i="7"/>
  <c r="BK8" i="7"/>
  <c r="AL8" i="7"/>
  <c r="AM8" i="7"/>
  <c r="N8" i="7"/>
  <c r="AT8" i="7"/>
  <c r="W8" i="7"/>
  <c r="O8" i="7"/>
  <c r="AU8" i="7"/>
  <c r="BC8" i="7"/>
  <c r="V8" i="7"/>
  <c r="BB8" i="7"/>
  <c r="AD8" i="7"/>
  <c r="BJ8" i="7"/>
  <c r="BI8" i="7"/>
  <c r="BH8" i="7"/>
  <c r="BG8" i="7"/>
  <c r="BF8" i="7"/>
  <c r="BE8" i="7"/>
  <c r="BD8" i="7"/>
  <c r="Z8" i="7"/>
  <c r="T8" i="7"/>
  <c r="BA8" i="7"/>
  <c r="AZ8" i="7"/>
  <c r="AY8" i="7"/>
  <c r="AX8" i="7"/>
  <c r="AW8" i="7"/>
  <c r="AV8" i="7"/>
  <c r="AB8" i="7"/>
  <c r="Y8" i="7"/>
  <c r="S8" i="7"/>
  <c r="P8" i="7"/>
  <c r="K8" i="7"/>
  <c r="AS8" i="7"/>
  <c r="AR8" i="7"/>
  <c r="AQ8" i="7"/>
  <c r="AP8" i="7"/>
  <c r="AO8" i="7"/>
  <c r="AN8" i="7"/>
  <c r="AA8" i="7"/>
  <c r="U8" i="7"/>
  <c r="R8" i="7"/>
  <c r="L8" i="7"/>
  <c r="I8" i="7"/>
  <c r="BO8" i="7"/>
  <c r="BM8" i="7"/>
  <c r="AK8" i="7"/>
  <c r="AJ8" i="7"/>
  <c r="AI8" i="7"/>
  <c r="AH8" i="7"/>
  <c r="AG8" i="7"/>
  <c r="AF8" i="7"/>
  <c r="AC8" i="7"/>
  <c r="X8" i="7"/>
  <c r="Q8" i="7"/>
  <c r="M8" i="7"/>
  <c r="J8" i="7"/>
  <c r="BP8" i="7"/>
  <c r="BN8" i="7"/>
  <c r="BL8" i="7"/>
  <c r="U32" i="21"/>
  <c r="W31" i="21"/>
  <c r="Y8" i="21"/>
  <c r="AA8" i="21" s="1"/>
  <c r="AC8" i="21"/>
  <c r="AE8" i="21" s="1"/>
  <c r="Y6" i="21"/>
  <c r="AA6" i="21" s="1"/>
  <c r="AC6" i="21"/>
  <c r="AE6" i="21" s="1"/>
  <c r="X63" i="1"/>
  <c r="AD63" i="1" s="1"/>
  <c r="X55" i="1"/>
  <c r="AD55" i="1" s="1"/>
  <c r="X47" i="1"/>
  <c r="AD47" i="1" s="1"/>
  <c r="X39" i="1"/>
  <c r="AD39" i="1" s="1"/>
  <c r="X31" i="1"/>
  <c r="AD31" i="1" s="1"/>
  <c r="X23" i="1"/>
  <c r="AD23" i="1" s="1"/>
  <c r="X15" i="1"/>
  <c r="AD15" i="1" s="1"/>
  <c r="X7" i="1"/>
  <c r="AD7" i="1" s="1"/>
  <c r="X62" i="1"/>
  <c r="AD62" i="1" s="1"/>
  <c r="X54" i="1"/>
  <c r="AD54" i="1" s="1"/>
  <c r="X46" i="1"/>
  <c r="AD46" i="1" s="1"/>
  <c r="X38" i="1"/>
  <c r="AD38" i="1" s="1"/>
  <c r="X30" i="1"/>
  <c r="AD30" i="1" s="1"/>
  <c r="X22" i="1"/>
  <c r="AD22" i="1" s="1"/>
  <c r="X14" i="1"/>
  <c r="AD14" i="1" s="1"/>
  <c r="X6" i="1"/>
  <c r="AD6" i="1" s="1"/>
  <c r="X61" i="1"/>
  <c r="AD61" i="1" s="1"/>
  <c r="X53" i="1"/>
  <c r="AD53" i="1" s="1"/>
  <c r="X45" i="1"/>
  <c r="AD45" i="1" s="1"/>
  <c r="X37" i="1"/>
  <c r="AD37" i="1" s="1"/>
  <c r="X29" i="1"/>
  <c r="AD29" i="1" s="1"/>
  <c r="X21" i="1"/>
  <c r="AD21" i="1" s="1"/>
  <c r="X13" i="1"/>
  <c r="AD13" i="1" s="1"/>
  <c r="X5" i="1"/>
  <c r="AD5" i="1" s="1"/>
  <c r="X60" i="1"/>
  <c r="AD60" i="1" s="1"/>
  <c r="X52" i="1"/>
  <c r="AD52" i="1" s="1"/>
  <c r="X44" i="1"/>
  <c r="AD44" i="1" s="1"/>
  <c r="X36" i="1"/>
  <c r="AD36" i="1" s="1"/>
  <c r="X28" i="1"/>
  <c r="AD28" i="1" s="1"/>
  <c r="X20" i="1"/>
  <c r="AD20" i="1" s="1"/>
  <c r="X12" i="1"/>
  <c r="AD12" i="1" s="1"/>
  <c r="X59" i="1"/>
  <c r="AD59" i="1" s="1"/>
  <c r="X51" i="1"/>
  <c r="AD51" i="1" s="1"/>
  <c r="X43" i="1"/>
  <c r="AD43" i="1" s="1"/>
  <c r="X35" i="1"/>
  <c r="AD35" i="1" s="1"/>
  <c r="X27" i="1"/>
  <c r="AD27" i="1" s="1"/>
  <c r="X19" i="1"/>
  <c r="AD19" i="1" s="1"/>
  <c r="L64" i="21"/>
  <c r="L63" i="21"/>
  <c r="L62" i="21"/>
  <c r="L61" i="21"/>
  <c r="L60" i="21"/>
  <c r="L59" i="21"/>
  <c r="L58" i="21"/>
  <c r="L57" i="21"/>
  <c r="L56" i="21"/>
  <c r="L55" i="21"/>
  <c r="L54" i="21"/>
  <c r="L53" i="21"/>
  <c r="L52" i="21"/>
  <c r="L51" i="21"/>
  <c r="L50" i="21"/>
  <c r="L40" i="21"/>
  <c r="L36" i="21"/>
  <c r="L26" i="21"/>
  <c r="L29" i="21"/>
  <c r="L18" i="21"/>
  <c r="L44" i="21"/>
  <c r="L43" i="21"/>
  <c r="L30" i="21"/>
  <c r="L20" i="21"/>
  <c r="L10" i="21"/>
  <c r="L5" i="21"/>
  <c r="L7" i="21"/>
  <c r="L38" i="21"/>
  <c r="L47" i="21"/>
  <c r="L34" i="21"/>
  <c r="L33" i="21"/>
  <c r="L24" i="21"/>
  <c r="L23" i="21"/>
  <c r="L14" i="21"/>
  <c r="L13" i="21"/>
  <c r="L4" i="21"/>
  <c r="L6" i="21"/>
  <c r="L35" i="21"/>
  <c r="L9" i="21"/>
  <c r="L41" i="21"/>
  <c r="L37" i="21"/>
  <c r="L27" i="21"/>
  <c r="L17" i="21"/>
  <c r="L21" i="21"/>
  <c r="L25" i="21"/>
  <c r="L42" i="21"/>
  <c r="L8" i="21"/>
  <c r="L45" i="21"/>
  <c r="L31" i="21"/>
  <c r="L11" i="21"/>
  <c r="L39" i="21"/>
  <c r="L28" i="21"/>
  <c r="L49" i="21"/>
  <c r="L48" i="21"/>
  <c r="L46" i="21"/>
  <c r="L32" i="21"/>
  <c r="L22" i="21"/>
  <c r="L12" i="21"/>
  <c r="L16" i="21"/>
  <c r="L15" i="21"/>
  <c r="L19" i="21"/>
  <c r="X58" i="1"/>
  <c r="AD58" i="1" s="1"/>
  <c r="X50" i="1"/>
  <c r="AD50" i="1" s="1"/>
  <c r="X42" i="1"/>
  <c r="AD42" i="1" s="1"/>
  <c r="X34" i="1"/>
  <c r="AD34" i="1" s="1"/>
  <c r="X26" i="1"/>
  <c r="AD26" i="1" s="1"/>
  <c r="X18" i="1"/>
  <c r="AD18" i="1" s="1"/>
  <c r="X10" i="1"/>
  <c r="AD10" i="1" s="1"/>
  <c r="X57" i="1"/>
  <c r="AD57" i="1" s="1"/>
  <c r="X49" i="1"/>
  <c r="AD49" i="1" s="1"/>
  <c r="X41" i="1"/>
  <c r="AD41" i="1" s="1"/>
  <c r="X33" i="1"/>
  <c r="AD33" i="1" s="1"/>
  <c r="X25" i="1"/>
  <c r="AD25" i="1" s="1"/>
  <c r="X17" i="1"/>
  <c r="AD17" i="1" s="1"/>
  <c r="X9" i="1"/>
  <c r="AD9" i="1" s="1"/>
  <c r="H2" i="7" a="1"/>
  <c r="U4" i="1"/>
  <c r="BK4" i="1" s="1"/>
  <c r="U8" i="1"/>
  <c r="U18" i="1"/>
  <c r="U25" i="1"/>
  <c r="U48" i="1"/>
  <c r="U24" i="1"/>
  <c r="U63" i="1"/>
  <c r="U55" i="1"/>
  <c r="U47" i="1"/>
  <c r="U39" i="1"/>
  <c r="U31" i="1"/>
  <c r="U23" i="1"/>
  <c r="U15" i="1"/>
  <c r="U7" i="1"/>
  <c r="U42" i="1"/>
  <c r="U57" i="1"/>
  <c r="U9" i="1"/>
  <c r="U32" i="1"/>
  <c r="U16" i="1"/>
  <c r="U62" i="1"/>
  <c r="U54" i="1"/>
  <c r="U46" i="1"/>
  <c r="U38" i="1"/>
  <c r="U30" i="1"/>
  <c r="U22" i="1"/>
  <c r="U14" i="1"/>
  <c r="U6" i="1"/>
  <c r="U58" i="1"/>
  <c r="U26" i="1"/>
  <c r="U33" i="1"/>
  <c r="U40" i="1"/>
  <c r="U61" i="1"/>
  <c r="U53" i="1"/>
  <c r="U45" i="1"/>
  <c r="U37" i="1"/>
  <c r="U29" i="1"/>
  <c r="U21" i="1"/>
  <c r="U13" i="1"/>
  <c r="U5" i="1"/>
  <c r="U34" i="1"/>
  <c r="U49" i="1"/>
  <c r="U17" i="1"/>
  <c r="U56" i="1"/>
  <c r="U60" i="1"/>
  <c r="U44" i="1"/>
  <c r="U36" i="1"/>
  <c r="U28" i="1"/>
  <c r="U20" i="1"/>
  <c r="U12" i="1"/>
  <c r="U50" i="1"/>
  <c r="U10" i="1"/>
  <c r="U41" i="1"/>
  <c r="U64" i="1"/>
  <c r="U52" i="1"/>
  <c r="U59" i="1"/>
  <c r="U51" i="1"/>
  <c r="U43" i="1"/>
  <c r="U35" i="1"/>
  <c r="U27" i="1"/>
  <c r="U19" i="1"/>
  <c r="T58" i="1"/>
  <c r="T42" i="1"/>
  <c r="T10" i="1"/>
  <c r="T4" i="1"/>
  <c r="BJ4" i="1" s="1"/>
  <c r="T57" i="1"/>
  <c r="T49" i="1"/>
  <c r="T41" i="1"/>
  <c r="T33" i="1"/>
  <c r="T25" i="1"/>
  <c r="T17" i="1"/>
  <c r="T9" i="1"/>
  <c r="T64" i="1"/>
  <c r="T56" i="1"/>
  <c r="T48" i="1"/>
  <c r="T40" i="1"/>
  <c r="T32" i="1"/>
  <c r="T24" i="1"/>
  <c r="T16" i="1"/>
  <c r="T8" i="1"/>
  <c r="T63" i="1"/>
  <c r="T55" i="1"/>
  <c r="T47" i="1"/>
  <c r="T39" i="1"/>
  <c r="T31" i="1"/>
  <c r="T23" i="1"/>
  <c r="T15" i="1"/>
  <c r="T7" i="1"/>
  <c r="T62" i="1"/>
  <c r="T54" i="1"/>
  <c r="T46" i="1"/>
  <c r="T38" i="1"/>
  <c r="T30" i="1"/>
  <c r="T22" i="1"/>
  <c r="T14" i="1"/>
  <c r="T6" i="1"/>
  <c r="T61" i="1"/>
  <c r="T53" i="1"/>
  <c r="T45" i="1"/>
  <c r="T37" i="1"/>
  <c r="T29" i="1"/>
  <c r="T21" i="1"/>
  <c r="T13" i="1"/>
  <c r="T5" i="1"/>
  <c r="T34" i="1"/>
  <c r="T60" i="1"/>
  <c r="T52" i="1"/>
  <c r="T44" i="1"/>
  <c r="T36" i="1"/>
  <c r="T28" i="1"/>
  <c r="T20" i="1"/>
  <c r="T12" i="1"/>
  <c r="T26" i="1"/>
  <c r="T59" i="1"/>
  <c r="T51" i="1"/>
  <c r="T43" i="1"/>
  <c r="T35" i="1"/>
  <c r="T27" i="1"/>
  <c r="T19" i="1"/>
  <c r="T11" i="1"/>
  <c r="T50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4" i="1"/>
  <c r="AU4" i="1" s="1"/>
  <c r="AA33" i="21" l="1"/>
  <c r="Y34" i="21"/>
  <c r="Y28" i="21"/>
  <c r="AA28" i="21" s="1"/>
  <c r="AA27" i="21"/>
  <c r="AM9" i="7"/>
  <c r="N9" i="7"/>
  <c r="J9" i="7"/>
  <c r="BA9" i="7"/>
  <c r="P9" i="7"/>
  <c r="X9" i="7"/>
  <c r="BM9" i="7"/>
  <c r="U9" i="7"/>
  <c r="S9" i="7"/>
  <c r="AD9" i="7"/>
  <c r="L9" i="7"/>
  <c r="AU9" i="7"/>
  <c r="P6" i="7"/>
  <c r="BP6" i="7"/>
  <c r="BH6" i="7"/>
  <c r="M6" i="7"/>
  <c r="AL6" i="7"/>
  <c r="Q6" i="7"/>
  <c r="BI6" i="7"/>
  <c r="BL6" i="7"/>
  <c r="AF6" i="7"/>
  <c r="AV9" i="7"/>
  <c r="AS9" i="7"/>
  <c r="M9" i="7"/>
  <c r="AP9" i="7"/>
  <c r="AC9" i="7"/>
  <c r="I6" i="7"/>
  <c r="BF6" i="7"/>
  <c r="AB6" i="7"/>
  <c r="AK6" i="7"/>
  <c r="AE6" i="7"/>
  <c r="AT6" i="7"/>
  <c r="BM6" i="7"/>
  <c r="AL9" i="7"/>
  <c r="Y9" i="7"/>
  <c r="BO9" i="7"/>
  <c r="AN9" i="7"/>
  <c r="AE9" i="7"/>
  <c r="R6" i="7"/>
  <c r="K6" i="7"/>
  <c r="J6" i="7"/>
  <c r="AN6" i="7"/>
  <c r="W6" i="7"/>
  <c r="AZ9" i="7"/>
  <c r="V9" i="7"/>
  <c r="AT9" i="7"/>
  <c r="R9" i="7"/>
  <c r="K9" i="7"/>
  <c r="W9" i="7"/>
  <c r="AW6" i="7"/>
  <c r="S6" i="7"/>
  <c r="X6" i="7"/>
  <c r="L6" i="7"/>
  <c r="AO6" i="7"/>
  <c r="BB6" i="7"/>
  <c r="AF9" i="7"/>
  <c r="AH9" i="7"/>
  <c r="BB9" i="7"/>
  <c r="AV6" i="7"/>
  <c r="AR6" i="7"/>
  <c r="BH9" i="7"/>
  <c r="BF9" i="7"/>
  <c r="AA9" i="7"/>
  <c r="BL9" i="7"/>
  <c r="BE9" i="7"/>
  <c r="H9" i="7"/>
  <c r="BA6" i="7"/>
  <c r="AX6" i="7"/>
  <c r="Z6" i="7"/>
  <c r="AG6" i="7"/>
  <c r="AS6" i="7"/>
  <c r="AU6" i="7"/>
  <c r="BK6" i="7"/>
  <c r="BJ9" i="7"/>
  <c r="BP9" i="7"/>
  <c r="BC9" i="7"/>
  <c r="AY6" i="7"/>
  <c r="Y6" i="7"/>
  <c r="V6" i="7"/>
  <c r="BI9" i="7"/>
  <c r="BN9" i="7"/>
  <c r="T9" i="7"/>
  <c r="AW9" i="7"/>
  <c r="AJ9" i="7"/>
  <c r="BO6" i="7"/>
  <c r="AZ6" i="7"/>
  <c r="AA6" i="7"/>
  <c r="AJ6" i="7"/>
  <c r="AM6" i="7"/>
  <c r="O6" i="7"/>
  <c r="AA7" i="7"/>
  <c r="AU7" i="7"/>
  <c r="X7" i="7"/>
  <c r="AI7" i="7"/>
  <c r="AC7" i="7"/>
  <c r="AJ7" i="7"/>
  <c r="I7" i="7"/>
  <c r="AY7" i="7"/>
  <c r="AY9" i="7"/>
  <c r="AG9" i="7"/>
  <c r="AR9" i="7"/>
  <c r="BD9" i="7"/>
  <c r="BG9" i="7"/>
  <c r="AI9" i="7"/>
  <c r="AX9" i="7"/>
  <c r="O9" i="7"/>
  <c r="AS7" i="7"/>
  <c r="BD6" i="7"/>
  <c r="T6" i="7"/>
  <c r="BN6" i="7"/>
  <c r="AC6" i="7"/>
  <c r="AH6" i="7"/>
  <c r="AP6" i="7"/>
  <c r="AD6" i="7"/>
  <c r="N6" i="7"/>
  <c r="AD7" i="7"/>
  <c r="AK9" i="7"/>
  <c r="Z9" i="7"/>
  <c r="I9" i="7"/>
  <c r="AO9" i="7"/>
  <c r="Q9" i="7"/>
  <c r="AB9" i="7"/>
  <c r="AQ9" i="7"/>
  <c r="P7" i="7"/>
  <c r="V7" i="7"/>
  <c r="BG6" i="7"/>
  <c r="U6" i="7"/>
  <c r="BJ6" i="7"/>
  <c r="BE6" i="7"/>
  <c r="AI6" i="7"/>
  <c r="AQ6" i="7"/>
  <c r="BC6" i="7"/>
  <c r="AB7" i="7"/>
  <c r="AP7" i="7"/>
  <c r="AM7" i="7"/>
  <c r="BD7" i="7"/>
  <c r="AQ7" i="7"/>
  <c r="U7" i="7"/>
  <c r="T7" i="7"/>
  <c r="S7" i="7"/>
  <c r="O7" i="7"/>
  <c r="AF7" i="7"/>
  <c r="AV7" i="7"/>
  <c r="BC7" i="7"/>
  <c r="BO7" i="7"/>
  <c r="AG7" i="7"/>
  <c r="AW7" i="7"/>
  <c r="AE7" i="7"/>
  <c r="BG7" i="7"/>
  <c r="BH7" i="7"/>
  <c r="R7" i="7"/>
  <c r="AZ7" i="7"/>
  <c r="AK7" i="7"/>
  <c r="BL7" i="7"/>
  <c r="BN7" i="7"/>
  <c r="AN7" i="7"/>
  <c r="BK7" i="7"/>
  <c r="BB7" i="7"/>
  <c r="J7" i="7"/>
  <c r="BF7" i="7"/>
  <c r="AH7" i="7"/>
  <c r="AO7" i="7"/>
  <c r="AX7" i="7"/>
  <c r="BJ7" i="7"/>
  <c r="N7" i="7"/>
  <c r="H7" i="7"/>
  <c r="Y7" i="7"/>
  <c r="K7" i="7"/>
  <c r="BM7" i="7"/>
  <c r="AR7" i="7"/>
  <c r="AT7" i="7"/>
  <c r="BI7" i="7"/>
  <c r="M7" i="7"/>
  <c r="BE7" i="7"/>
  <c r="Z7" i="7"/>
  <c r="Q7" i="7"/>
  <c r="BP7" i="7"/>
  <c r="L7" i="7"/>
  <c r="W7" i="7"/>
  <c r="AL7" i="7"/>
  <c r="U33" i="21"/>
  <c r="W32" i="21"/>
  <c r="H2" i="7"/>
  <c r="N2" i="7"/>
  <c r="O2" i="7"/>
  <c r="T2" i="7"/>
  <c r="AQ2" i="7"/>
  <c r="BF2" i="7"/>
  <c r="V2" i="7"/>
  <c r="I2" i="7"/>
  <c r="X2" i="7"/>
  <c r="BI2" i="7"/>
  <c r="AL2" i="7"/>
  <c r="L2" i="7"/>
  <c r="AI2" i="7"/>
  <c r="AX2" i="7"/>
  <c r="BM2" i="7"/>
  <c r="AU2" i="7"/>
  <c r="P2" i="7"/>
  <c r="AY2" i="7"/>
  <c r="BA2" i="7"/>
  <c r="BP2" i="7"/>
  <c r="BK2" i="7"/>
  <c r="AA2" i="7"/>
  <c r="AP2" i="7"/>
  <c r="BE2" i="7"/>
  <c r="BB2" i="7"/>
  <c r="W2" i="7"/>
  <c r="U2" i="7"/>
  <c r="AT2" i="7"/>
  <c r="J2" i="7"/>
  <c r="AN2" i="7"/>
  <c r="AF2" i="7"/>
  <c r="AS2" i="7"/>
  <c r="BH2" i="7"/>
  <c r="AE2" i="7"/>
  <c r="S2" i="7"/>
  <c r="AH2" i="7"/>
  <c r="AW2" i="7"/>
  <c r="BL2" i="7"/>
  <c r="AM2" i="7"/>
  <c r="AK2" i="7"/>
  <c r="AZ2" i="7"/>
  <c r="AD2" i="7"/>
  <c r="K2" i="7"/>
  <c r="Z2" i="7"/>
  <c r="AO2" i="7"/>
  <c r="BD2" i="7"/>
  <c r="AJ2" i="7"/>
  <c r="Y2" i="7"/>
  <c r="BJ2" i="7"/>
  <c r="M2" i="7"/>
  <c r="BN2" i="7"/>
  <c r="AC2" i="7"/>
  <c r="AR2" i="7"/>
  <c r="BO2" i="7"/>
  <c r="BC2" i="7"/>
  <c r="R2" i="7"/>
  <c r="AG2" i="7"/>
  <c r="AV2" i="7"/>
  <c r="BG2" i="7"/>
  <c r="AB2" i="7"/>
  <c r="Q2" i="7"/>
  <c r="AT42" i="1"/>
  <c r="AU42" i="1"/>
  <c r="AT4" i="1"/>
  <c r="AT57" i="1"/>
  <c r="AU57" i="1"/>
  <c r="AT49" i="1"/>
  <c r="AU49" i="1"/>
  <c r="AT41" i="1"/>
  <c r="AU41" i="1"/>
  <c r="AT33" i="1"/>
  <c r="AU33" i="1"/>
  <c r="AT25" i="1"/>
  <c r="AU25" i="1"/>
  <c r="AT17" i="1"/>
  <c r="AU17" i="1"/>
  <c r="AT9" i="1"/>
  <c r="AU9" i="1"/>
  <c r="AT26" i="1"/>
  <c r="AU26" i="1"/>
  <c r="AT56" i="1"/>
  <c r="AU56" i="1"/>
  <c r="AT48" i="1"/>
  <c r="AU48" i="1"/>
  <c r="AT40" i="1"/>
  <c r="AU40" i="1"/>
  <c r="AT32" i="1"/>
  <c r="AU32" i="1"/>
  <c r="AT24" i="1"/>
  <c r="AU24" i="1"/>
  <c r="AT16" i="1"/>
  <c r="AU16" i="1"/>
  <c r="AU23" i="1"/>
  <c r="AT23" i="1"/>
  <c r="AT58" i="1"/>
  <c r="AU58" i="1"/>
  <c r="AU10" i="1"/>
  <c r="AT10" i="1"/>
  <c r="AT54" i="1"/>
  <c r="AU54" i="1"/>
  <c r="AT46" i="1"/>
  <c r="AU46" i="1"/>
  <c r="AT38" i="1"/>
  <c r="AU38" i="1"/>
  <c r="AT30" i="1"/>
  <c r="AU30" i="1"/>
  <c r="AT22" i="1"/>
  <c r="AU22" i="1"/>
  <c r="AT14" i="1"/>
  <c r="AU14" i="1"/>
  <c r="AT18" i="1"/>
  <c r="AU18" i="1"/>
  <c r="AT39" i="1"/>
  <c r="AU39" i="1"/>
  <c r="AT31" i="1"/>
  <c r="AU31" i="1"/>
  <c r="AT15" i="1"/>
  <c r="AU15" i="1"/>
  <c r="AT61" i="1"/>
  <c r="AU61" i="1"/>
  <c r="AT53" i="1"/>
  <c r="AU53" i="1"/>
  <c r="AT45" i="1"/>
  <c r="AU45" i="1"/>
  <c r="AT37" i="1"/>
  <c r="AU37" i="1"/>
  <c r="AT29" i="1"/>
  <c r="AU29" i="1"/>
  <c r="AU21" i="1"/>
  <c r="AT21" i="1"/>
  <c r="AT13" i="1"/>
  <c r="AU13" i="1"/>
  <c r="AT50" i="1"/>
  <c r="AU50" i="1"/>
  <c r="AU47" i="1"/>
  <c r="AT47" i="1"/>
  <c r="AT60" i="1"/>
  <c r="AU60" i="1"/>
  <c r="AT52" i="1"/>
  <c r="AU52" i="1"/>
  <c r="AT44" i="1"/>
  <c r="AU44" i="1"/>
  <c r="AT36" i="1"/>
  <c r="AU36" i="1"/>
  <c r="AT28" i="1"/>
  <c r="AU28" i="1"/>
  <c r="AT20" i="1"/>
  <c r="AU20" i="1"/>
  <c r="AT12" i="1"/>
  <c r="AU12" i="1"/>
  <c r="AU34" i="1"/>
  <c r="AT34" i="1"/>
  <c r="AT55" i="1"/>
  <c r="AU55" i="1"/>
  <c r="AU59" i="1"/>
  <c r="AT59" i="1"/>
  <c r="AU51" i="1"/>
  <c r="AT51" i="1"/>
  <c r="AU43" i="1"/>
  <c r="AT43" i="1"/>
  <c r="AU35" i="1"/>
  <c r="AT35" i="1"/>
  <c r="AU27" i="1"/>
  <c r="AT27" i="1"/>
  <c r="AU19" i="1"/>
  <c r="AT19" i="1"/>
  <c r="AU11" i="1"/>
  <c r="AT11" i="1"/>
  <c r="B8" i="8"/>
  <c r="B5" i="8"/>
  <c r="AA34" i="21" l="1"/>
  <c r="Y35" i="21"/>
  <c r="O4" i="1"/>
  <c r="O16" i="1"/>
  <c r="O7" i="1"/>
  <c r="O49" i="1"/>
  <c r="O5" i="1"/>
  <c r="O15" i="1"/>
  <c r="O25" i="1"/>
  <c r="O35" i="1"/>
  <c r="O45" i="1"/>
  <c r="O55" i="1"/>
  <c r="O36" i="1"/>
  <c r="O27" i="1"/>
  <c r="O29" i="1"/>
  <c r="O59" i="1"/>
  <c r="O26" i="1"/>
  <c r="O56" i="1"/>
  <c r="O37" i="1"/>
  <c r="O57" i="1"/>
  <c r="O19" i="1"/>
  <c r="O39" i="1"/>
  <c r="O10" i="1"/>
  <c r="O12" i="1"/>
  <c r="O52" i="1"/>
  <c r="O44" i="1"/>
  <c r="O6" i="1"/>
  <c r="O46" i="1"/>
  <c r="O17" i="1"/>
  <c r="O9" i="1"/>
  <c r="O50" i="1"/>
  <c r="O21" i="1"/>
  <c r="O62" i="1"/>
  <c r="O23" i="1"/>
  <c r="O34" i="1"/>
  <c r="O47" i="1"/>
  <c r="O14" i="1"/>
  <c r="O60" i="1"/>
  <c r="O42" i="1"/>
  <c r="O8" i="1"/>
  <c r="O18" i="1"/>
  <c r="O28" i="1"/>
  <c r="O38" i="1"/>
  <c r="O48" i="1"/>
  <c r="O58" i="1"/>
  <c r="O40" i="1"/>
  <c r="O11" i="1"/>
  <c r="O33" i="1"/>
  <c r="O20" i="1"/>
  <c r="O51" i="1"/>
  <c r="O63" i="1"/>
  <c r="O54" i="1"/>
  <c r="O30" i="1"/>
  <c r="O41" i="1"/>
  <c r="O22" i="1"/>
  <c r="O43" i="1"/>
  <c r="O24" i="1"/>
  <c r="O31" i="1"/>
  <c r="O61" i="1"/>
  <c r="O32" i="1"/>
  <c r="O13" i="1"/>
  <c r="O53" i="1"/>
  <c r="O64" i="1"/>
  <c r="N5" i="1"/>
  <c r="N15" i="1"/>
  <c r="N25" i="1"/>
  <c r="N35" i="1"/>
  <c r="N45" i="1"/>
  <c r="N55" i="1"/>
  <c r="N27" i="1"/>
  <c r="N47" i="1"/>
  <c r="N41" i="1"/>
  <c r="N32" i="1"/>
  <c r="N44" i="1"/>
  <c r="N4" i="1"/>
  <c r="N37" i="1"/>
  <c r="N22" i="1"/>
  <c r="N43" i="1"/>
  <c r="N6" i="1"/>
  <c r="N16" i="1"/>
  <c r="N26" i="1"/>
  <c r="N36" i="1"/>
  <c r="N46" i="1"/>
  <c r="N56" i="1"/>
  <c r="N17" i="1"/>
  <c r="N57" i="1"/>
  <c r="N38" i="1"/>
  <c r="N48" i="1"/>
  <c r="N21" i="1"/>
  <c r="N23" i="1"/>
  <c r="N61" i="1"/>
  <c r="N7" i="1"/>
  <c r="N13" i="1"/>
  <c r="N54" i="1"/>
  <c r="N8" i="1"/>
  <c r="N18" i="1"/>
  <c r="N28" i="1"/>
  <c r="N58" i="1"/>
  <c r="N51" i="1"/>
  <c r="N42" i="1"/>
  <c r="N53" i="1"/>
  <c r="N24" i="1"/>
  <c r="N12" i="1"/>
  <c r="N9" i="1"/>
  <c r="N19" i="1"/>
  <c r="N29" i="1"/>
  <c r="N39" i="1"/>
  <c r="N49" i="1"/>
  <c r="N59" i="1"/>
  <c r="N31" i="1"/>
  <c r="N52" i="1"/>
  <c r="N33" i="1"/>
  <c r="N63" i="1"/>
  <c r="N34" i="1"/>
  <c r="N11" i="1"/>
  <c r="N62" i="1"/>
  <c r="N10" i="1"/>
  <c r="N20" i="1"/>
  <c r="N30" i="1"/>
  <c r="N40" i="1"/>
  <c r="N50" i="1"/>
  <c r="N60" i="1"/>
  <c r="N14" i="1"/>
  <c r="N64" i="1"/>
  <c r="W33" i="21"/>
  <c r="U34" i="21"/>
  <c r="D53" i="1"/>
  <c r="B2" i="8"/>
  <c r="J5" i="1"/>
  <c r="K5" i="1"/>
  <c r="L5" i="1"/>
  <c r="J6" i="1"/>
  <c r="K6" i="1"/>
  <c r="L6" i="1"/>
  <c r="J7" i="1"/>
  <c r="K7" i="1"/>
  <c r="L7" i="1"/>
  <c r="J8" i="1"/>
  <c r="K8" i="1"/>
  <c r="L8" i="1"/>
  <c r="J9" i="1"/>
  <c r="Z9" i="1" s="1"/>
  <c r="AF9" i="1" s="1"/>
  <c r="K9" i="1"/>
  <c r="AA9" i="1" s="1"/>
  <c r="AG9" i="1" s="1"/>
  <c r="L9" i="1"/>
  <c r="J10" i="1"/>
  <c r="Z10" i="1" s="1"/>
  <c r="AF10" i="1" s="1"/>
  <c r="K10" i="1"/>
  <c r="AA10" i="1" s="1"/>
  <c r="AG10" i="1" s="1"/>
  <c r="L10" i="1"/>
  <c r="J11" i="1"/>
  <c r="Z11" i="1" s="1"/>
  <c r="AF11" i="1" s="1"/>
  <c r="K11" i="1"/>
  <c r="AA11" i="1" s="1"/>
  <c r="AG11" i="1" s="1"/>
  <c r="L11" i="1"/>
  <c r="J12" i="1"/>
  <c r="Z12" i="1" s="1"/>
  <c r="AF12" i="1" s="1"/>
  <c r="K12" i="1"/>
  <c r="AA12" i="1" s="1"/>
  <c r="AG12" i="1" s="1"/>
  <c r="L12" i="1"/>
  <c r="J13" i="1"/>
  <c r="Z13" i="1" s="1"/>
  <c r="AF13" i="1" s="1"/>
  <c r="K13" i="1"/>
  <c r="AA13" i="1" s="1"/>
  <c r="AG13" i="1" s="1"/>
  <c r="L13" i="1"/>
  <c r="J14" i="1"/>
  <c r="Z14" i="1" s="1"/>
  <c r="AF14" i="1" s="1"/>
  <c r="K14" i="1"/>
  <c r="AA14" i="1" s="1"/>
  <c r="AG14" i="1" s="1"/>
  <c r="L14" i="1"/>
  <c r="J15" i="1"/>
  <c r="Z15" i="1" s="1"/>
  <c r="AF15" i="1" s="1"/>
  <c r="K15" i="1"/>
  <c r="AA15" i="1" s="1"/>
  <c r="AG15" i="1" s="1"/>
  <c r="L15" i="1"/>
  <c r="J16" i="1"/>
  <c r="Z16" i="1" s="1"/>
  <c r="AF16" i="1" s="1"/>
  <c r="K16" i="1"/>
  <c r="AA16" i="1" s="1"/>
  <c r="AG16" i="1" s="1"/>
  <c r="L16" i="1"/>
  <c r="J17" i="1"/>
  <c r="Z17" i="1" s="1"/>
  <c r="AF17" i="1" s="1"/>
  <c r="K17" i="1"/>
  <c r="AA17" i="1" s="1"/>
  <c r="AG17" i="1" s="1"/>
  <c r="L17" i="1"/>
  <c r="J18" i="1"/>
  <c r="Z18" i="1" s="1"/>
  <c r="AF18" i="1" s="1"/>
  <c r="K18" i="1"/>
  <c r="AA18" i="1" s="1"/>
  <c r="AG18" i="1" s="1"/>
  <c r="L18" i="1"/>
  <c r="J19" i="1"/>
  <c r="Z19" i="1" s="1"/>
  <c r="AF19" i="1" s="1"/>
  <c r="K19" i="1"/>
  <c r="AA19" i="1" s="1"/>
  <c r="AG19" i="1" s="1"/>
  <c r="L19" i="1"/>
  <c r="J20" i="1"/>
  <c r="Z20" i="1" s="1"/>
  <c r="AF20" i="1" s="1"/>
  <c r="K20" i="1"/>
  <c r="AA20" i="1" s="1"/>
  <c r="AG20" i="1" s="1"/>
  <c r="L20" i="1"/>
  <c r="J21" i="1"/>
  <c r="Z21" i="1" s="1"/>
  <c r="AF21" i="1" s="1"/>
  <c r="K21" i="1"/>
  <c r="AA21" i="1" s="1"/>
  <c r="AG21" i="1" s="1"/>
  <c r="L21" i="1"/>
  <c r="J22" i="1"/>
  <c r="Z22" i="1" s="1"/>
  <c r="AF22" i="1" s="1"/>
  <c r="K22" i="1"/>
  <c r="AA22" i="1" s="1"/>
  <c r="AG22" i="1" s="1"/>
  <c r="L22" i="1"/>
  <c r="J23" i="1"/>
  <c r="Z23" i="1" s="1"/>
  <c r="AF23" i="1" s="1"/>
  <c r="K23" i="1"/>
  <c r="AA23" i="1" s="1"/>
  <c r="AG23" i="1" s="1"/>
  <c r="L23" i="1"/>
  <c r="J24" i="1"/>
  <c r="Z24" i="1" s="1"/>
  <c r="AF24" i="1" s="1"/>
  <c r="K24" i="1"/>
  <c r="AA24" i="1" s="1"/>
  <c r="AG24" i="1" s="1"/>
  <c r="L24" i="1"/>
  <c r="J25" i="1"/>
  <c r="Z25" i="1" s="1"/>
  <c r="AF25" i="1" s="1"/>
  <c r="K25" i="1"/>
  <c r="AA25" i="1" s="1"/>
  <c r="AG25" i="1" s="1"/>
  <c r="L25" i="1"/>
  <c r="J26" i="1"/>
  <c r="Z26" i="1" s="1"/>
  <c r="AF26" i="1" s="1"/>
  <c r="K26" i="1"/>
  <c r="AA26" i="1" s="1"/>
  <c r="AG26" i="1" s="1"/>
  <c r="L26" i="1"/>
  <c r="J27" i="1"/>
  <c r="Z27" i="1" s="1"/>
  <c r="AF27" i="1" s="1"/>
  <c r="K27" i="1"/>
  <c r="AA27" i="1" s="1"/>
  <c r="AG27" i="1" s="1"/>
  <c r="L27" i="1"/>
  <c r="J28" i="1"/>
  <c r="Z28" i="1" s="1"/>
  <c r="AF28" i="1" s="1"/>
  <c r="K28" i="1"/>
  <c r="AA28" i="1" s="1"/>
  <c r="AG28" i="1" s="1"/>
  <c r="L28" i="1"/>
  <c r="J29" i="1"/>
  <c r="Z29" i="1" s="1"/>
  <c r="AF29" i="1" s="1"/>
  <c r="K29" i="1"/>
  <c r="AA29" i="1" s="1"/>
  <c r="AG29" i="1" s="1"/>
  <c r="L29" i="1"/>
  <c r="J30" i="1"/>
  <c r="Z30" i="1" s="1"/>
  <c r="AF30" i="1" s="1"/>
  <c r="K30" i="1"/>
  <c r="AA30" i="1" s="1"/>
  <c r="AG30" i="1" s="1"/>
  <c r="L30" i="1"/>
  <c r="J31" i="1"/>
  <c r="Z31" i="1" s="1"/>
  <c r="AF31" i="1" s="1"/>
  <c r="K31" i="1"/>
  <c r="AA31" i="1" s="1"/>
  <c r="AG31" i="1" s="1"/>
  <c r="L31" i="1"/>
  <c r="J32" i="1"/>
  <c r="Z32" i="1" s="1"/>
  <c r="AF32" i="1" s="1"/>
  <c r="K32" i="1"/>
  <c r="AA32" i="1" s="1"/>
  <c r="AG32" i="1" s="1"/>
  <c r="L32" i="1"/>
  <c r="J33" i="1"/>
  <c r="Z33" i="1" s="1"/>
  <c r="AF33" i="1" s="1"/>
  <c r="K33" i="1"/>
  <c r="AA33" i="1" s="1"/>
  <c r="AG33" i="1" s="1"/>
  <c r="L33" i="1"/>
  <c r="J34" i="1"/>
  <c r="Z34" i="1" s="1"/>
  <c r="AF34" i="1" s="1"/>
  <c r="K34" i="1"/>
  <c r="AA34" i="1" s="1"/>
  <c r="AG34" i="1" s="1"/>
  <c r="L34" i="1"/>
  <c r="J35" i="1"/>
  <c r="Z35" i="1" s="1"/>
  <c r="AF35" i="1" s="1"/>
  <c r="K35" i="1"/>
  <c r="AA35" i="1" s="1"/>
  <c r="AG35" i="1" s="1"/>
  <c r="L35" i="1"/>
  <c r="J36" i="1"/>
  <c r="Z36" i="1" s="1"/>
  <c r="AF36" i="1" s="1"/>
  <c r="K36" i="1"/>
  <c r="AA36" i="1" s="1"/>
  <c r="AG36" i="1" s="1"/>
  <c r="L36" i="1"/>
  <c r="J37" i="1"/>
  <c r="Z37" i="1" s="1"/>
  <c r="AF37" i="1" s="1"/>
  <c r="K37" i="1"/>
  <c r="AA37" i="1" s="1"/>
  <c r="AG37" i="1" s="1"/>
  <c r="L37" i="1"/>
  <c r="J38" i="1"/>
  <c r="Z38" i="1" s="1"/>
  <c r="AF38" i="1" s="1"/>
  <c r="K38" i="1"/>
  <c r="AA38" i="1" s="1"/>
  <c r="AG38" i="1" s="1"/>
  <c r="L38" i="1"/>
  <c r="J39" i="1"/>
  <c r="Z39" i="1" s="1"/>
  <c r="AF39" i="1" s="1"/>
  <c r="K39" i="1"/>
  <c r="AA39" i="1" s="1"/>
  <c r="AG39" i="1" s="1"/>
  <c r="L39" i="1"/>
  <c r="J40" i="1"/>
  <c r="Z40" i="1" s="1"/>
  <c r="AF40" i="1" s="1"/>
  <c r="K40" i="1"/>
  <c r="AA40" i="1" s="1"/>
  <c r="AG40" i="1" s="1"/>
  <c r="L40" i="1"/>
  <c r="J41" i="1"/>
  <c r="Z41" i="1" s="1"/>
  <c r="AF41" i="1" s="1"/>
  <c r="K41" i="1"/>
  <c r="AA41" i="1" s="1"/>
  <c r="AG41" i="1" s="1"/>
  <c r="L41" i="1"/>
  <c r="J42" i="1"/>
  <c r="Z42" i="1" s="1"/>
  <c r="AF42" i="1" s="1"/>
  <c r="K42" i="1"/>
  <c r="AA42" i="1" s="1"/>
  <c r="AG42" i="1" s="1"/>
  <c r="L42" i="1"/>
  <c r="J43" i="1"/>
  <c r="Z43" i="1" s="1"/>
  <c r="AF43" i="1" s="1"/>
  <c r="K43" i="1"/>
  <c r="AA43" i="1" s="1"/>
  <c r="AG43" i="1" s="1"/>
  <c r="L43" i="1"/>
  <c r="J44" i="1"/>
  <c r="Z44" i="1" s="1"/>
  <c r="AF44" i="1" s="1"/>
  <c r="K44" i="1"/>
  <c r="AA44" i="1" s="1"/>
  <c r="AG44" i="1" s="1"/>
  <c r="L44" i="1"/>
  <c r="J45" i="1"/>
  <c r="Z45" i="1" s="1"/>
  <c r="AF45" i="1" s="1"/>
  <c r="K45" i="1"/>
  <c r="AA45" i="1" s="1"/>
  <c r="AG45" i="1" s="1"/>
  <c r="L45" i="1"/>
  <c r="J46" i="1"/>
  <c r="Z46" i="1" s="1"/>
  <c r="AF46" i="1" s="1"/>
  <c r="K46" i="1"/>
  <c r="AA46" i="1" s="1"/>
  <c r="AG46" i="1" s="1"/>
  <c r="L46" i="1"/>
  <c r="J47" i="1"/>
  <c r="Z47" i="1" s="1"/>
  <c r="AF47" i="1" s="1"/>
  <c r="K47" i="1"/>
  <c r="AA47" i="1" s="1"/>
  <c r="AG47" i="1" s="1"/>
  <c r="L47" i="1"/>
  <c r="J48" i="1"/>
  <c r="Z48" i="1" s="1"/>
  <c r="AF48" i="1" s="1"/>
  <c r="K48" i="1"/>
  <c r="AA48" i="1" s="1"/>
  <c r="AG48" i="1" s="1"/>
  <c r="L48" i="1"/>
  <c r="J49" i="1"/>
  <c r="Z49" i="1" s="1"/>
  <c r="AF49" i="1" s="1"/>
  <c r="K49" i="1"/>
  <c r="AA49" i="1" s="1"/>
  <c r="AG49" i="1" s="1"/>
  <c r="L49" i="1"/>
  <c r="J50" i="1"/>
  <c r="Z50" i="1" s="1"/>
  <c r="AF50" i="1" s="1"/>
  <c r="K50" i="1"/>
  <c r="AA50" i="1" s="1"/>
  <c r="AG50" i="1" s="1"/>
  <c r="L50" i="1"/>
  <c r="J51" i="1"/>
  <c r="Z51" i="1" s="1"/>
  <c r="AF51" i="1" s="1"/>
  <c r="K51" i="1"/>
  <c r="AA51" i="1" s="1"/>
  <c r="AG51" i="1" s="1"/>
  <c r="L51" i="1"/>
  <c r="J52" i="1"/>
  <c r="Z52" i="1" s="1"/>
  <c r="AF52" i="1" s="1"/>
  <c r="K52" i="1"/>
  <c r="AA52" i="1" s="1"/>
  <c r="AG52" i="1" s="1"/>
  <c r="L52" i="1"/>
  <c r="J53" i="1"/>
  <c r="Z53" i="1" s="1"/>
  <c r="AF53" i="1" s="1"/>
  <c r="K53" i="1"/>
  <c r="AA53" i="1" s="1"/>
  <c r="AG53" i="1" s="1"/>
  <c r="L53" i="1"/>
  <c r="J54" i="1"/>
  <c r="Z54" i="1" s="1"/>
  <c r="AF54" i="1" s="1"/>
  <c r="K54" i="1"/>
  <c r="AA54" i="1" s="1"/>
  <c r="AG54" i="1" s="1"/>
  <c r="L54" i="1"/>
  <c r="J55" i="1"/>
  <c r="Z55" i="1" s="1"/>
  <c r="AF55" i="1" s="1"/>
  <c r="K55" i="1"/>
  <c r="AA55" i="1" s="1"/>
  <c r="AG55" i="1" s="1"/>
  <c r="L55" i="1"/>
  <c r="J56" i="1"/>
  <c r="Z56" i="1" s="1"/>
  <c r="AF56" i="1" s="1"/>
  <c r="K56" i="1"/>
  <c r="AA56" i="1" s="1"/>
  <c r="AG56" i="1" s="1"/>
  <c r="L56" i="1"/>
  <c r="J57" i="1"/>
  <c r="Z57" i="1" s="1"/>
  <c r="AF57" i="1" s="1"/>
  <c r="K57" i="1"/>
  <c r="AA57" i="1" s="1"/>
  <c r="AG57" i="1" s="1"/>
  <c r="L57" i="1"/>
  <c r="J58" i="1"/>
  <c r="Z58" i="1" s="1"/>
  <c r="AF58" i="1" s="1"/>
  <c r="K58" i="1"/>
  <c r="AA58" i="1" s="1"/>
  <c r="AG58" i="1" s="1"/>
  <c r="L58" i="1"/>
  <c r="J59" i="1"/>
  <c r="Z59" i="1" s="1"/>
  <c r="AF59" i="1" s="1"/>
  <c r="K59" i="1"/>
  <c r="AA59" i="1" s="1"/>
  <c r="AG59" i="1" s="1"/>
  <c r="L59" i="1"/>
  <c r="J60" i="1"/>
  <c r="Z60" i="1" s="1"/>
  <c r="AF60" i="1" s="1"/>
  <c r="K60" i="1"/>
  <c r="AA60" i="1" s="1"/>
  <c r="AG60" i="1" s="1"/>
  <c r="L60" i="1"/>
  <c r="J61" i="1"/>
  <c r="Z61" i="1" s="1"/>
  <c r="AF61" i="1" s="1"/>
  <c r="K61" i="1"/>
  <c r="AA61" i="1" s="1"/>
  <c r="AG61" i="1" s="1"/>
  <c r="L61" i="1"/>
  <c r="J62" i="1"/>
  <c r="K62" i="1"/>
  <c r="L62" i="1"/>
  <c r="J63" i="1"/>
  <c r="K63" i="1"/>
  <c r="L63" i="1"/>
  <c r="J64" i="1"/>
  <c r="K64" i="1"/>
  <c r="L64" i="1"/>
  <c r="L4" i="1"/>
  <c r="K4" i="1"/>
  <c r="J4" i="1"/>
  <c r="Z4" i="1" s="1"/>
  <c r="AF4" i="1" s="1"/>
  <c r="Y36" i="21" l="1"/>
  <c r="AA35" i="21"/>
  <c r="W34" i="21"/>
  <c r="U35" i="21"/>
  <c r="BK12" i="1"/>
  <c r="BJ12" i="1"/>
  <c r="BK59" i="1"/>
  <c r="BJ59" i="1"/>
  <c r="BK37" i="1"/>
  <c r="BJ37" i="1"/>
  <c r="BJ18" i="1"/>
  <c r="BK18" i="1"/>
  <c r="BJ58" i="1"/>
  <c r="BK58" i="1"/>
  <c r="BK35" i="1"/>
  <c r="BJ35" i="1"/>
  <c r="BK13" i="1"/>
  <c r="BJ13" i="1"/>
  <c r="BK21" i="1"/>
  <c r="BJ21" i="1"/>
  <c r="BK53" i="1"/>
  <c r="BJ53" i="1"/>
  <c r="BJ34" i="1"/>
  <c r="BK34" i="1"/>
  <c r="BK11" i="1"/>
  <c r="BJ11" i="1"/>
  <c r="BK61" i="1"/>
  <c r="BJ61" i="1"/>
  <c r="BK51" i="1"/>
  <c r="BJ51" i="1"/>
  <c r="BK29" i="1"/>
  <c r="BJ29" i="1"/>
  <c r="BJ10" i="1"/>
  <c r="BK10" i="1"/>
  <c r="BK43" i="1"/>
  <c r="BJ43" i="1"/>
  <c r="BK19" i="1"/>
  <c r="BJ19" i="1"/>
  <c r="BJ50" i="1"/>
  <c r="BK50" i="1"/>
  <c r="BK27" i="1"/>
  <c r="BJ27" i="1"/>
  <c r="BJ42" i="1"/>
  <c r="BK42" i="1"/>
  <c r="BK45" i="1"/>
  <c r="BJ45" i="1"/>
  <c r="BJ26" i="1"/>
  <c r="BK26" i="1"/>
  <c r="AW61" i="1"/>
  <c r="AZ61" i="1" s="1"/>
  <c r="AX61" i="1"/>
  <c r="BA61" i="1" s="1"/>
  <c r="AX42" i="1"/>
  <c r="BA42" i="1" s="1"/>
  <c r="AW42" i="1"/>
  <c r="AZ42" i="1" s="1"/>
  <c r="AW19" i="1"/>
  <c r="AZ19" i="1" s="1"/>
  <c r="AX19" i="1"/>
  <c r="BA19" i="1" s="1"/>
  <c r="AW59" i="1"/>
  <c r="AZ59" i="1" s="1"/>
  <c r="AX59" i="1"/>
  <c r="BA59" i="1" s="1"/>
  <c r="AW37" i="1"/>
  <c r="AZ37" i="1" s="1"/>
  <c r="AX37" i="1"/>
  <c r="BA37" i="1" s="1"/>
  <c r="AX18" i="1"/>
  <c r="BA18" i="1" s="1"/>
  <c r="AW18" i="1"/>
  <c r="AZ18" i="1" s="1"/>
  <c r="AW12" i="1"/>
  <c r="AZ12" i="1" s="1"/>
  <c r="AX12" i="1"/>
  <c r="BA12" i="1" s="1"/>
  <c r="AX58" i="1"/>
  <c r="BA58" i="1" s="1"/>
  <c r="AW58" i="1"/>
  <c r="AZ58" i="1" s="1"/>
  <c r="AW35" i="1"/>
  <c r="AZ35" i="1" s="1"/>
  <c r="AX35" i="1"/>
  <c r="BA35" i="1" s="1"/>
  <c r="AW13" i="1"/>
  <c r="AZ13" i="1" s="1"/>
  <c r="AX13" i="1"/>
  <c r="BA13" i="1" s="1"/>
  <c r="AW43" i="1"/>
  <c r="AZ43" i="1" s="1"/>
  <c r="AX43" i="1"/>
  <c r="BA43" i="1" s="1"/>
  <c r="AX53" i="1"/>
  <c r="BA53" i="1" s="1"/>
  <c r="AW53" i="1"/>
  <c r="AZ53" i="1" s="1"/>
  <c r="AX34" i="1"/>
  <c r="BA34" i="1" s="1"/>
  <c r="AW34" i="1"/>
  <c r="AZ34" i="1" s="1"/>
  <c r="AW11" i="1"/>
  <c r="AZ11" i="1" s="1"/>
  <c r="AX11" i="1"/>
  <c r="BA11" i="1" s="1"/>
  <c r="AW21" i="1"/>
  <c r="AZ21" i="1" s="1"/>
  <c r="AX21" i="1"/>
  <c r="BA21" i="1" s="1"/>
  <c r="AK4" i="1"/>
  <c r="AA4" i="1"/>
  <c r="AG4" i="1" s="1"/>
  <c r="AW51" i="1"/>
  <c r="AZ51" i="1" s="1"/>
  <c r="AX51" i="1"/>
  <c r="BA51" i="1" s="1"/>
  <c r="AW29" i="1"/>
  <c r="AZ29" i="1" s="1"/>
  <c r="AX29" i="1"/>
  <c r="BA29" i="1" s="1"/>
  <c r="AX10" i="1"/>
  <c r="BA10" i="1" s="1"/>
  <c r="AW10" i="1"/>
  <c r="AZ10" i="1" s="1"/>
  <c r="AW50" i="1"/>
  <c r="AZ50" i="1" s="1"/>
  <c r="AX50" i="1"/>
  <c r="BA50" i="1" s="1"/>
  <c r="AW27" i="1"/>
  <c r="AZ27" i="1" s="1"/>
  <c r="AX27" i="1"/>
  <c r="BA27" i="1" s="1"/>
  <c r="AW5" i="1"/>
  <c r="AX5" i="1"/>
  <c r="AX4" i="1"/>
  <c r="BA4" i="1" s="1"/>
  <c r="AM4" i="1"/>
  <c r="AW4" i="1"/>
  <c r="AZ4" i="1" s="1"/>
  <c r="AN4" i="1"/>
  <c r="AX45" i="1"/>
  <c r="BA45" i="1" s="1"/>
  <c r="AW45" i="1"/>
  <c r="AZ45" i="1" s="1"/>
  <c r="AX26" i="1"/>
  <c r="BA26" i="1" s="1"/>
  <c r="AW26" i="1"/>
  <c r="AZ26" i="1" s="1"/>
  <c r="AM58" i="1"/>
  <c r="AN58" i="1"/>
  <c r="AM50" i="1"/>
  <c r="AN50" i="1"/>
  <c r="AM42" i="1"/>
  <c r="AN42" i="1"/>
  <c r="AM34" i="1"/>
  <c r="AN34" i="1"/>
  <c r="AM26" i="1"/>
  <c r="AN26" i="1"/>
  <c r="AM18" i="1"/>
  <c r="AN18" i="1"/>
  <c r="AM10" i="1"/>
  <c r="AN10" i="1"/>
  <c r="AN32" i="1"/>
  <c r="AM61" i="1"/>
  <c r="AN61" i="1"/>
  <c r="AM53" i="1"/>
  <c r="AN53" i="1"/>
  <c r="AM45" i="1"/>
  <c r="AN45" i="1"/>
  <c r="AM37" i="1"/>
  <c r="AN37" i="1"/>
  <c r="AM29" i="1"/>
  <c r="AN29" i="1"/>
  <c r="AM21" i="1"/>
  <c r="AN21" i="1"/>
  <c r="AM13" i="1"/>
  <c r="AN13" i="1"/>
  <c r="AM5" i="1"/>
  <c r="AN5" i="1"/>
  <c r="AN12" i="1"/>
  <c r="AM12" i="1"/>
  <c r="AM59" i="1"/>
  <c r="AN59" i="1"/>
  <c r="AM51" i="1"/>
  <c r="AN51" i="1"/>
  <c r="AM43" i="1"/>
  <c r="AN43" i="1"/>
  <c r="AM35" i="1"/>
  <c r="AN35" i="1"/>
  <c r="AM27" i="1"/>
  <c r="AN27" i="1"/>
  <c r="AM19" i="1"/>
  <c r="AN19" i="1"/>
  <c r="AM11" i="1"/>
  <c r="AN11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4" i="1"/>
  <c r="Y37" i="21" l="1"/>
  <c r="AA36" i="21"/>
  <c r="W35" i="21"/>
  <c r="U36" i="21"/>
  <c r="AQ4" i="1"/>
  <c r="BJ33" i="1"/>
  <c r="BK33" i="1"/>
  <c r="BJ40" i="1"/>
  <c r="BK40" i="1"/>
  <c r="BK44" i="1"/>
  <c r="BJ44" i="1"/>
  <c r="BJ49" i="1"/>
  <c r="BK49" i="1"/>
  <c r="BK52" i="1"/>
  <c r="BJ52" i="1"/>
  <c r="BJ54" i="1"/>
  <c r="BK54" i="1"/>
  <c r="BJ55" i="1"/>
  <c r="BK55" i="1"/>
  <c r="BJ56" i="1"/>
  <c r="BK56" i="1"/>
  <c r="BK57" i="1"/>
  <c r="BJ57" i="1"/>
  <c r="BJ30" i="1"/>
  <c r="BK30" i="1"/>
  <c r="AQ10" i="1"/>
  <c r="BK60" i="1"/>
  <c r="BJ60" i="1"/>
  <c r="BK62" i="1"/>
  <c r="BJ63" i="1"/>
  <c r="BJ31" i="1"/>
  <c r="BK31" i="1"/>
  <c r="BJ38" i="1"/>
  <c r="BK38" i="1"/>
  <c r="BJ48" i="1"/>
  <c r="BK48" i="1"/>
  <c r="BJ9" i="1"/>
  <c r="BK9" i="1"/>
  <c r="BK28" i="1"/>
  <c r="BJ28" i="1"/>
  <c r="BK41" i="1"/>
  <c r="BJ41" i="1"/>
  <c r="BJ46" i="1"/>
  <c r="BK46" i="1"/>
  <c r="AN31" i="1"/>
  <c r="AQ31" i="1" s="1"/>
  <c r="BJ14" i="1"/>
  <c r="BK14" i="1"/>
  <c r="BJ15" i="1"/>
  <c r="BK15" i="1"/>
  <c r="BJ16" i="1"/>
  <c r="BK16" i="1"/>
  <c r="BJ17" i="1"/>
  <c r="BK17" i="1"/>
  <c r="BJ32" i="1"/>
  <c r="BK32" i="1"/>
  <c r="BK36" i="1"/>
  <c r="BJ36" i="1"/>
  <c r="BJ39" i="1"/>
  <c r="BK39" i="1"/>
  <c r="BJ47" i="1"/>
  <c r="BK47" i="1"/>
  <c r="AN30" i="1"/>
  <c r="AQ30" i="1" s="1"/>
  <c r="BJ20" i="1"/>
  <c r="BK20" i="1"/>
  <c r="BJ22" i="1"/>
  <c r="BK22" i="1"/>
  <c r="BJ23" i="1"/>
  <c r="BK23" i="1"/>
  <c r="BJ24" i="1"/>
  <c r="BK24" i="1"/>
  <c r="BK25" i="1"/>
  <c r="BJ25" i="1"/>
  <c r="AM36" i="1"/>
  <c r="AP36" i="1" s="1"/>
  <c r="AM38" i="1"/>
  <c r="AP38" i="1" s="1"/>
  <c r="AM40" i="1"/>
  <c r="AP40" i="1" s="1"/>
  <c r="AM52" i="1"/>
  <c r="AN54" i="1"/>
  <c r="AQ54" i="1" s="1"/>
  <c r="AM55" i="1"/>
  <c r="AP55" i="1" s="1"/>
  <c r="AM56" i="1"/>
  <c r="AP56" i="1" s="1"/>
  <c r="AN28" i="1"/>
  <c r="AQ28" i="1" s="1"/>
  <c r="AQ21" i="1"/>
  <c r="AP61" i="1"/>
  <c r="AP51" i="1"/>
  <c r="AN49" i="1"/>
  <c r="AQ49" i="1" s="1"/>
  <c r="AM49" i="1"/>
  <c r="AP49" i="1" s="1"/>
  <c r="AN39" i="1"/>
  <c r="AQ39" i="1" s="1"/>
  <c r="AX39" i="1"/>
  <c r="BA39" i="1" s="1"/>
  <c r="AW39" i="1"/>
  <c r="AZ39" i="1" s="1"/>
  <c r="AW40" i="1"/>
  <c r="AZ40" i="1" s="1"/>
  <c r="AX40" i="1"/>
  <c r="BA40" i="1" s="1"/>
  <c r="AW41" i="1"/>
  <c r="AZ41" i="1" s="1"/>
  <c r="AX41" i="1"/>
  <c r="BA41" i="1" s="1"/>
  <c r="AM44" i="1"/>
  <c r="AP44" i="1" s="1"/>
  <c r="AW44" i="1"/>
  <c r="AZ44" i="1" s="1"/>
  <c r="AX44" i="1"/>
  <c r="BA44" i="1" s="1"/>
  <c r="AM46" i="1"/>
  <c r="AP46" i="1" s="1"/>
  <c r="AW46" i="1"/>
  <c r="AZ46" i="1" s="1"/>
  <c r="AX46" i="1"/>
  <c r="BA46" i="1" s="1"/>
  <c r="AM47" i="1"/>
  <c r="AP47" i="1" s="1"/>
  <c r="AW47" i="1"/>
  <c r="AZ47" i="1" s="1"/>
  <c r="AX47" i="1"/>
  <c r="BA47" i="1" s="1"/>
  <c r="AN48" i="1"/>
  <c r="AQ48" i="1" s="1"/>
  <c r="AW48" i="1"/>
  <c r="AZ48" i="1" s="1"/>
  <c r="AX48" i="1"/>
  <c r="BA48" i="1" s="1"/>
  <c r="AX49" i="1"/>
  <c r="BA49" i="1" s="1"/>
  <c r="AW49" i="1"/>
  <c r="AZ49" i="1" s="1"/>
  <c r="AW57" i="1"/>
  <c r="AZ57" i="1" s="1"/>
  <c r="AX57" i="1"/>
  <c r="BA57" i="1" s="1"/>
  <c r="AN36" i="1"/>
  <c r="AW36" i="1"/>
  <c r="AZ36" i="1" s="1"/>
  <c r="AX36" i="1"/>
  <c r="BA36" i="1" s="1"/>
  <c r="AX56" i="1"/>
  <c r="BA56" i="1" s="1"/>
  <c r="AW56" i="1"/>
  <c r="AZ56" i="1" s="1"/>
  <c r="AN56" i="1"/>
  <c r="AQ56" i="1" s="1"/>
  <c r="AN52" i="1"/>
  <c r="AQ52" i="1" s="1"/>
  <c r="AN55" i="1"/>
  <c r="AQ55" i="1" s="1"/>
  <c r="AM54" i="1"/>
  <c r="AP54" i="1" s="1"/>
  <c r="AN57" i="1"/>
  <c r="AQ57" i="1" s="1"/>
  <c r="AM60" i="1"/>
  <c r="AP60" i="1" s="1"/>
  <c r="AW60" i="1"/>
  <c r="AZ60" i="1" s="1"/>
  <c r="AX60" i="1"/>
  <c r="BA60" i="1" s="1"/>
  <c r="AM62" i="1"/>
  <c r="AW62" i="1"/>
  <c r="AX62" i="1"/>
  <c r="AM63" i="1"/>
  <c r="AW63" i="1"/>
  <c r="AX63" i="1"/>
  <c r="AX64" i="1"/>
  <c r="AW64" i="1"/>
  <c r="AM57" i="1"/>
  <c r="AP57" i="1" s="1"/>
  <c r="AW6" i="1"/>
  <c r="AX6" i="1"/>
  <c r="AN7" i="1"/>
  <c r="AX7" i="1"/>
  <c r="AW7" i="1"/>
  <c r="AN8" i="1"/>
  <c r="AW8" i="1"/>
  <c r="AX8" i="1"/>
  <c r="AW9" i="1"/>
  <c r="AZ9" i="1" s="1"/>
  <c r="AX9" i="1"/>
  <c r="BA9" i="1" s="1"/>
  <c r="AX52" i="1"/>
  <c r="BA52" i="1" s="1"/>
  <c r="AW52" i="1"/>
  <c r="AZ52" i="1" s="1"/>
  <c r="AN41" i="1"/>
  <c r="AQ41" i="1" s="1"/>
  <c r="AM14" i="1"/>
  <c r="AP14" i="1" s="1"/>
  <c r="AW14" i="1"/>
  <c r="AZ14" i="1" s="1"/>
  <c r="AX14" i="1"/>
  <c r="BA14" i="1" s="1"/>
  <c r="AM15" i="1"/>
  <c r="AP15" i="1" s="1"/>
  <c r="AW15" i="1"/>
  <c r="AZ15" i="1" s="1"/>
  <c r="AX15" i="1"/>
  <c r="BA15" i="1" s="1"/>
  <c r="AN16" i="1"/>
  <c r="AQ16" i="1" s="1"/>
  <c r="AW16" i="1"/>
  <c r="AZ16" i="1" s="1"/>
  <c r="AX16" i="1"/>
  <c r="BA16" i="1" s="1"/>
  <c r="AX17" i="1"/>
  <c r="BA17" i="1" s="1"/>
  <c r="AW17" i="1"/>
  <c r="AZ17" i="1" s="1"/>
  <c r="AN40" i="1"/>
  <c r="AQ40" i="1" s="1"/>
  <c r="AW54" i="1"/>
  <c r="AZ54" i="1" s="1"/>
  <c r="AX54" i="1"/>
  <c r="BA54" i="1" s="1"/>
  <c r="AM41" i="1"/>
  <c r="AP41" i="1" s="1"/>
  <c r="AM39" i="1"/>
  <c r="AP39" i="1" s="1"/>
  <c r="AN20" i="1"/>
  <c r="AQ20" i="1" s="1"/>
  <c r="AW20" i="1"/>
  <c r="AZ20" i="1" s="1"/>
  <c r="AX20" i="1"/>
  <c r="BA20" i="1" s="1"/>
  <c r="AN22" i="1"/>
  <c r="AQ22" i="1" s="1"/>
  <c r="AW22" i="1"/>
  <c r="AZ22" i="1" s="1"/>
  <c r="AX22" i="1"/>
  <c r="BA22" i="1" s="1"/>
  <c r="AX23" i="1"/>
  <c r="BA23" i="1" s="1"/>
  <c r="AW23" i="1"/>
  <c r="AZ23" i="1" s="1"/>
  <c r="AN24" i="1"/>
  <c r="AQ24" i="1" s="1"/>
  <c r="AW24" i="1"/>
  <c r="AZ24" i="1" s="1"/>
  <c r="AX24" i="1"/>
  <c r="BA24" i="1" s="1"/>
  <c r="AN25" i="1"/>
  <c r="AQ25" i="1" s="1"/>
  <c r="AW25" i="1"/>
  <c r="AZ25" i="1" s="1"/>
  <c r="AX25" i="1"/>
  <c r="BA25" i="1" s="1"/>
  <c r="AW38" i="1"/>
  <c r="AZ38" i="1" s="1"/>
  <c r="AX38" i="1"/>
  <c r="BA38" i="1" s="1"/>
  <c r="AW55" i="1"/>
  <c r="AZ55" i="1" s="1"/>
  <c r="AX55" i="1"/>
  <c r="BA55" i="1" s="1"/>
  <c r="AN38" i="1"/>
  <c r="AQ38" i="1" s="1"/>
  <c r="AW28" i="1"/>
  <c r="AZ28" i="1" s="1"/>
  <c r="AX28" i="1"/>
  <c r="BA28" i="1" s="1"/>
  <c r="AM30" i="1"/>
  <c r="AP30" i="1" s="1"/>
  <c r="AW30" i="1"/>
  <c r="AZ30" i="1" s="1"/>
  <c r="AX30" i="1"/>
  <c r="BA30" i="1" s="1"/>
  <c r="AM31" i="1"/>
  <c r="AP31" i="1" s="1"/>
  <c r="AW31" i="1"/>
  <c r="AZ31" i="1" s="1"/>
  <c r="AX31" i="1"/>
  <c r="BA31" i="1" s="1"/>
  <c r="AW32" i="1"/>
  <c r="AZ32" i="1" s="1"/>
  <c r="AX32" i="1"/>
  <c r="BA32" i="1" s="1"/>
  <c r="AM33" i="1"/>
  <c r="AP33" i="1" s="1"/>
  <c r="AX33" i="1"/>
  <c r="BA33" i="1" s="1"/>
  <c r="AW33" i="1"/>
  <c r="AZ33" i="1" s="1"/>
  <c r="AM28" i="1"/>
  <c r="AP28" i="1" s="1"/>
  <c r="AN33" i="1"/>
  <c r="AQ33" i="1" s="1"/>
  <c r="AQ18" i="1"/>
  <c r="AN15" i="1"/>
  <c r="AQ15" i="1" s="1"/>
  <c r="AP58" i="1"/>
  <c r="AM48" i="1"/>
  <c r="AP48" i="1" s="1"/>
  <c r="AN46" i="1"/>
  <c r="AQ46" i="1" s="1"/>
  <c r="AP11" i="1"/>
  <c r="AN44" i="1"/>
  <c r="AQ44" i="1" s="1"/>
  <c r="AM23" i="1"/>
  <c r="AP23" i="1" s="1"/>
  <c r="AM16" i="1"/>
  <c r="AP16" i="1" s="1"/>
  <c r="AQ42" i="1"/>
  <c r="AP4" i="1"/>
  <c r="AM22" i="1"/>
  <c r="AP22" i="1" s="1"/>
  <c r="AM24" i="1"/>
  <c r="AP24" i="1" s="1"/>
  <c r="AP42" i="1"/>
  <c r="AP37" i="1"/>
  <c r="AP13" i="1"/>
  <c r="AP19" i="1"/>
  <c r="AQ43" i="1"/>
  <c r="AM20" i="1"/>
  <c r="AP20" i="1" s="1"/>
  <c r="AM32" i="1"/>
  <c r="AP32" i="1" s="1"/>
  <c r="AM64" i="1"/>
  <c r="AP50" i="1"/>
  <c r="AN17" i="1"/>
  <c r="AQ17" i="1" s="1"/>
  <c r="AP27" i="1"/>
  <c r="AQ32" i="1"/>
  <c r="AQ37" i="1"/>
  <c r="AQ29" i="1"/>
  <c r="AQ13" i="1"/>
  <c r="AM17" i="1"/>
  <c r="AP17" i="1" s="1"/>
  <c r="AN23" i="1"/>
  <c r="AQ23" i="1" s="1"/>
  <c r="AN14" i="1"/>
  <c r="AQ14" i="1" s="1"/>
  <c r="AQ51" i="1"/>
  <c r="AM25" i="1"/>
  <c r="AP25" i="1" s="1"/>
  <c r="AQ12" i="1"/>
  <c r="AM6" i="1"/>
  <c r="AM7" i="1"/>
  <c r="AP26" i="1"/>
  <c r="AP43" i="1"/>
  <c r="AN6" i="1"/>
  <c r="AN64" i="1"/>
  <c r="AN63" i="1"/>
  <c r="AN9" i="1"/>
  <c r="AQ9" i="1" s="1"/>
  <c r="AQ19" i="1"/>
  <c r="AP53" i="1"/>
  <c r="AP29" i="1"/>
  <c r="AQ58" i="1"/>
  <c r="AQ34" i="1"/>
  <c r="AM8" i="1"/>
  <c r="AN62" i="1"/>
  <c r="AM9" i="1"/>
  <c r="AP9" i="1" s="1"/>
  <c r="AQ53" i="1"/>
  <c r="AQ59" i="1"/>
  <c r="AN47" i="1"/>
  <c r="AQ47" i="1" s="1"/>
  <c r="AN60" i="1"/>
  <c r="AQ60" i="1" s="1"/>
  <c r="AP59" i="1"/>
  <c r="AP35" i="1"/>
  <c r="AP34" i="1"/>
  <c r="AP10" i="1"/>
  <c r="AP52" i="1"/>
  <c r="AP12" i="1"/>
  <c r="AP18" i="1"/>
  <c r="AQ61" i="1"/>
  <c r="AQ27" i="1"/>
  <c r="AP45" i="1"/>
  <c r="AP21" i="1"/>
  <c r="AQ50" i="1"/>
  <c r="AQ26" i="1"/>
  <c r="AQ45" i="1"/>
  <c r="AQ36" i="1"/>
  <c r="AQ35" i="1"/>
  <c r="AQ11" i="1"/>
  <c r="G63" i="1"/>
  <c r="G64" i="1"/>
  <c r="G62" i="1"/>
  <c r="F63" i="1"/>
  <c r="BK63" i="1" s="1"/>
  <c r="F64" i="1"/>
  <c r="BK64" i="1" s="1"/>
  <c r="F62" i="1"/>
  <c r="E63" i="1"/>
  <c r="E64" i="1"/>
  <c r="BJ64" i="1" s="1"/>
  <c r="E62" i="1"/>
  <c r="BJ62" i="1" s="1"/>
  <c r="C9" i="1"/>
  <c r="C14" i="1"/>
  <c r="F6" i="1"/>
  <c r="BK6" i="1" s="1"/>
  <c r="F7" i="1"/>
  <c r="BK7" i="1" s="1"/>
  <c r="F8" i="1"/>
  <c r="BK8" i="1" s="1"/>
  <c r="F5" i="1"/>
  <c r="BK5" i="1" s="1"/>
  <c r="E7" i="1"/>
  <c r="BJ7" i="1" s="1"/>
  <c r="E8" i="1"/>
  <c r="BJ8" i="1" s="1"/>
  <c r="E6" i="1"/>
  <c r="BJ6" i="1" s="1"/>
  <c r="E5" i="1"/>
  <c r="BJ5" i="1" s="1"/>
  <c r="B52" i="1"/>
  <c r="C52" i="1"/>
  <c r="D52" i="1"/>
  <c r="B53" i="1"/>
  <c r="C53" i="1"/>
  <c r="B54" i="1"/>
  <c r="C54" i="1"/>
  <c r="D54" i="1"/>
  <c r="B55" i="1"/>
  <c r="C55" i="1"/>
  <c r="D55" i="1"/>
  <c r="B56" i="1"/>
  <c r="C56" i="1"/>
  <c r="D56" i="1"/>
  <c r="B57" i="1"/>
  <c r="C57" i="1"/>
  <c r="D57" i="1"/>
  <c r="B58" i="1"/>
  <c r="C58" i="1"/>
  <c r="D58" i="1"/>
  <c r="B59" i="1"/>
  <c r="C59" i="1"/>
  <c r="D59" i="1"/>
  <c r="B60" i="1"/>
  <c r="C60" i="1"/>
  <c r="D60" i="1"/>
  <c r="B61" i="1"/>
  <c r="C61" i="1"/>
  <c r="D61" i="1"/>
  <c r="C51" i="1"/>
  <c r="D51" i="1"/>
  <c r="B51" i="1"/>
  <c r="C49" i="1"/>
  <c r="D49" i="1"/>
  <c r="B49" i="1"/>
  <c r="C44" i="1"/>
  <c r="D44" i="1"/>
  <c r="B44" i="1"/>
  <c r="C39" i="1"/>
  <c r="D39" i="1"/>
  <c r="B39" i="1"/>
  <c r="C34" i="1"/>
  <c r="D34" i="1"/>
  <c r="B34" i="1"/>
  <c r="C29" i="1"/>
  <c r="D29" i="1"/>
  <c r="B29" i="1"/>
  <c r="C24" i="1"/>
  <c r="D24" i="1"/>
  <c r="B24" i="1"/>
  <c r="C19" i="1"/>
  <c r="D19" i="1"/>
  <c r="B19" i="1"/>
  <c r="D14" i="1"/>
  <c r="B14" i="1"/>
  <c r="D9" i="1"/>
  <c r="B9" i="1"/>
  <c r="C4" i="1"/>
  <c r="D4" i="1"/>
  <c r="B4" i="1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Y38" i="21" l="1"/>
  <c r="AA37" i="21"/>
  <c r="U37" i="21"/>
  <c r="W36" i="21"/>
  <c r="AJ64" i="1"/>
  <c r="AT64" i="1"/>
  <c r="AZ64" i="1" s="1"/>
  <c r="Z64" i="1"/>
  <c r="AF64" i="1" s="1"/>
  <c r="AJ6" i="1"/>
  <c r="AP6" i="1" s="1"/>
  <c r="AT6" i="1"/>
  <c r="AZ6" i="1" s="1"/>
  <c r="Z6" i="1"/>
  <c r="AF6" i="1" s="1"/>
  <c r="AJ63" i="1"/>
  <c r="AP63" i="1" s="1"/>
  <c r="AT63" i="1"/>
  <c r="AZ63" i="1" s="1"/>
  <c r="Z63" i="1"/>
  <c r="AF63" i="1" s="1"/>
  <c r="AK5" i="1"/>
  <c r="AQ5" i="1" s="1"/>
  <c r="AU5" i="1"/>
  <c r="BA5" i="1" s="1"/>
  <c r="AA5" i="1"/>
  <c r="AG5" i="1" s="1"/>
  <c r="AK8" i="1"/>
  <c r="AQ8" i="1" s="1"/>
  <c r="AU8" i="1"/>
  <c r="BA8" i="1" s="1"/>
  <c r="AA8" i="1"/>
  <c r="AG8" i="1" s="1"/>
  <c r="AK62" i="1"/>
  <c r="AQ62" i="1" s="1"/>
  <c r="AU62" i="1"/>
  <c r="BA62" i="1" s="1"/>
  <c r="AA62" i="1"/>
  <c r="AG62" i="1" s="1"/>
  <c r="AJ8" i="1"/>
  <c r="AP8" i="1" s="1"/>
  <c r="AT8" i="1"/>
  <c r="AZ8" i="1" s="1"/>
  <c r="Z8" i="1"/>
  <c r="AF8" i="1" s="1"/>
  <c r="AK7" i="1"/>
  <c r="AQ7" i="1" s="1"/>
  <c r="AU7" i="1"/>
  <c r="BA7" i="1" s="1"/>
  <c r="AA7" i="1"/>
  <c r="AG7" i="1" s="1"/>
  <c r="AK64" i="1"/>
  <c r="AQ64" i="1" s="1"/>
  <c r="AU64" i="1"/>
  <c r="BA64" i="1" s="1"/>
  <c r="AA64" i="1"/>
  <c r="AG64" i="1" s="1"/>
  <c r="AJ62" i="1"/>
  <c r="AP62" i="1" s="1"/>
  <c r="AT62" i="1"/>
  <c r="AZ62" i="1" s="1"/>
  <c r="Z62" i="1"/>
  <c r="AF62" i="1" s="1"/>
  <c r="AK6" i="1"/>
  <c r="AQ6" i="1" s="1"/>
  <c r="AU6" i="1"/>
  <c r="BA6" i="1" s="1"/>
  <c r="AA6" i="1"/>
  <c r="AG6" i="1" s="1"/>
  <c r="AK63" i="1"/>
  <c r="AQ63" i="1" s="1"/>
  <c r="AU63" i="1"/>
  <c r="BA63" i="1" s="1"/>
  <c r="AA63" i="1"/>
  <c r="AG63" i="1" s="1"/>
  <c r="AJ7" i="1"/>
  <c r="AP7" i="1" s="1"/>
  <c r="AT7" i="1"/>
  <c r="AZ7" i="1" s="1"/>
  <c r="Z7" i="1"/>
  <c r="AF7" i="1" s="1"/>
  <c r="AJ5" i="1"/>
  <c r="AP5" i="1" s="1"/>
  <c r="AT5" i="1"/>
  <c r="AZ5" i="1" s="1"/>
  <c r="Z5" i="1"/>
  <c r="AF5" i="1" s="1"/>
  <c r="AP64" i="1"/>
  <c r="G6" i="1"/>
  <c r="G5" i="1"/>
  <c r="G8" i="1"/>
  <c r="G7" i="1"/>
  <c r="AA38" i="21" l="1"/>
  <c r="Y39" i="21"/>
  <c r="W37" i="21"/>
  <c r="U38" i="21"/>
  <c r="AC25" i="21"/>
  <c r="AC26" i="21" l="1"/>
  <c r="AE25" i="21"/>
  <c r="AA39" i="21"/>
  <c r="Y40" i="21"/>
  <c r="U39" i="21"/>
  <c r="W38" i="21"/>
  <c r="AA30" i="21"/>
  <c r="AA40" i="21" l="1"/>
  <c r="Y41" i="21"/>
  <c r="AC27" i="21"/>
  <c r="AE26" i="21"/>
  <c r="U40" i="21"/>
  <c r="W39" i="21"/>
  <c r="AC28" i="21" l="1"/>
  <c r="AE28" i="21" s="1"/>
  <c r="AE27" i="21"/>
  <c r="AA41" i="21"/>
  <c r="Y42" i="21"/>
  <c r="U41" i="21"/>
  <c r="W40" i="21"/>
  <c r="Y43" i="21" l="1"/>
  <c r="AA42" i="21"/>
  <c r="W41" i="21"/>
  <c r="U42" i="21"/>
  <c r="AA43" i="21" l="1"/>
  <c r="Y44" i="21"/>
  <c r="W42" i="21"/>
  <c r="U43" i="21"/>
  <c r="Y45" i="21" l="1"/>
  <c r="AA44" i="21"/>
  <c r="W43" i="21"/>
  <c r="U44" i="21"/>
  <c r="H5" i="7" a="1"/>
  <c r="AA45" i="21" l="1"/>
  <c r="Y46" i="21"/>
  <c r="U45" i="21"/>
  <c r="W44" i="21"/>
  <c r="H5" i="7"/>
  <c r="AE5" i="7"/>
  <c r="BK5" i="7"/>
  <c r="AL5" i="7"/>
  <c r="AM5" i="7"/>
  <c r="N5" i="7"/>
  <c r="AT5" i="7"/>
  <c r="O5" i="7"/>
  <c r="AU5" i="7"/>
  <c r="W5" i="7"/>
  <c r="AD5" i="7"/>
  <c r="BJ5" i="7"/>
  <c r="V5" i="7"/>
  <c r="BB5" i="7"/>
  <c r="BC5" i="7"/>
  <c r="U5" i="7"/>
  <c r="T5" i="7"/>
  <c r="S5" i="7"/>
  <c r="R5" i="7"/>
  <c r="Q5" i="7"/>
  <c r="P5" i="7"/>
  <c r="BO5" i="7"/>
  <c r="BN5" i="7"/>
  <c r="BM5" i="7"/>
  <c r="BL5" i="7"/>
  <c r="BH5" i="7"/>
  <c r="BG5" i="7"/>
  <c r="BF5" i="7"/>
  <c r="BE5" i="7"/>
  <c r="BD5" i="7"/>
  <c r="AJ5" i="7"/>
  <c r="AF5" i="7"/>
  <c r="Y5" i="7"/>
  <c r="M5" i="7"/>
  <c r="L5" i="7"/>
  <c r="K5" i="7"/>
  <c r="J5" i="7"/>
  <c r="I5" i="7"/>
  <c r="BP5" i="7"/>
  <c r="BI5" i="7"/>
  <c r="AK5" i="7"/>
  <c r="AI5" i="7"/>
  <c r="AH5" i="7"/>
  <c r="AG5" i="7"/>
  <c r="AC5" i="7"/>
  <c r="AB5" i="7"/>
  <c r="AA5" i="7"/>
  <c r="Z5" i="7"/>
  <c r="X5" i="7"/>
  <c r="BA5" i="7"/>
  <c r="AZ5" i="7"/>
  <c r="AY5" i="7"/>
  <c r="AX5" i="7"/>
  <c r="AW5" i="7"/>
  <c r="AV5" i="7"/>
  <c r="AS5" i="7"/>
  <c r="AR5" i="7"/>
  <c r="AQ5" i="7"/>
  <c r="AP5" i="7"/>
  <c r="AO5" i="7"/>
  <c r="AN5" i="7"/>
  <c r="Y47" i="21" l="1"/>
  <c r="AA46" i="21"/>
  <c r="W45" i="21"/>
  <c r="U46" i="21"/>
  <c r="Y48" i="21" l="1"/>
  <c r="AA47" i="21"/>
  <c r="W46" i="21"/>
  <c r="U47" i="21"/>
  <c r="AA48" i="21" l="1"/>
  <c r="Y49" i="21"/>
  <c r="U48" i="21"/>
  <c r="W47" i="21"/>
  <c r="Y50" i="21" l="1"/>
  <c r="AA49" i="21"/>
  <c r="W48" i="21"/>
  <c r="U49" i="21"/>
  <c r="Y51" i="21" l="1"/>
  <c r="AA50" i="21"/>
  <c r="U50" i="21"/>
  <c r="W49" i="21"/>
  <c r="AA51" i="21" l="1"/>
  <c r="Y52" i="21"/>
  <c r="W50" i="21"/>
  <c r="U51" i="21"/>
  <c r="Y53" i="21" l="1"/>
  <c r="AA52" i="21"/>
  <c r="W51" i="21"/>
  <c r="U52" i="21"/>
  <c r="Y54" i="21" l="1"/>
  <c r="AA53" i="21"/>
  <c r="U53" i="21"/>
  <c r="W53" i="21" s="1"/>
  <c r="W52" i="21"/>
  <c r="H3" i="7" s="1" a="1"/>
  <c r="Y55" i="21" l="1"/>
  <c r="AA55" i="21" s="1"/>
  <c r="AA54" i="21"/>
  <c r="H4" i="7" s="1" a="1"/>
  <c r="AD3" i="7"/>
  <c r="W3" i="7"/>
  <c r="AE3" i="7"/>
  <c r="AA3" i="7"/>
  <c r="X3" i="7"/>
  <c r="BH3" i="7"/>
  <c r="BP3" i="7"/>
  <c r="AT3" i="7"/>
  <c r="AJ3" i="7"/>
  <c r="Q3" i="7"/>
  <c r="AM3" i="7"/>
  <c r="M3" i="7"/>
  <c r="BE3" i="7"/>
  <c r="N3" i="7"/>
  <c r="U3" i="7"/>
  <c r="BN3" i="7"/>
  <c r="H3" i="7"/>
  <c r="BB3" i="7"/>
  <c r="AS3" i="7"/>
  <c r="BM3" i="7"/>
  <c r="AP3" i="7"/>
  <c r="BD3" i="7"/>
  <c r="V3" i="7"/>
  <c r="Z3" i="7"/>
  <c r="R3" i="7"/>
  <c r="Y3" i="7"/>
  <c r="BK3" i="7"/>
  <c r="AY3" i="7"/>
  <c r="AV3" i="7"/>
  <c r="K3" i="7"/>
  <c r="AO3" i="7"/>
  <c r="P3" i="7"/>
  <c r="AU3" i="7"/>
  <c r="AB3" i="7"/>
  <c r="BL3" i="7"/>
  <c r="AI3" i="7"/>
  <c r="J3" i="7"/>
  <c r="L3" i="7"/>
  <c r="BJ3" i="7"/>
  <c r="BA3" i="7"/>
  <c r="AR3" i="7"/>
  <c r="AH3" i="7"/>
  <c r="BC3" i="7"/>
  <c r="AZ3" i="7"/>
  <c r="T3" i="7"/>
  <c r="AX3" i="7"/>
  <c r="BO3" i="7"/>
  <c r="AN3" i="7"/>
  <c r="AC3" i="7"/>
  <c r="O3" i="7"/>
  <c r="AW3" i="7"/>
  <c r="AQ3" i="7"/>
  <c r="S3" i="7"/>
  <c r="BG3" i="7"/>
  <c r="AK3" i="7"/>
  <c r="AF3" i="7"/>
  <c r="BI3" i="7"/>
  <c r="I3" i="7"/>
  <c r="BF3" i="7"/>
  <c r="AG3" i="7"/>
  <c r="AL3" i="7"/>
  <c r="BI4" i="7" l="1"/>
  <c r="AM4" i="7"/>
  <c r="AR4" i="7"/>
  <c r="AF4" i="7"/>
  <c r="I4" i="7"/>
  <c r="BK4" i="7"/>
  <c r="L4" i="7"/>
  <c r="AD4" i="7"/>
  <c r="S4" i="7"/>
  <c r="Z4" i="7"/>
  <c r="K4" i="7"/>
  <c r="AH4" i="7"/>
  <c r="BL4" i="7"/>
  <c r="AO4" i="7"/>
  <c r="AW4" i="7"/>
  <c r="H4" i="7"/>
  <c r="BD4" i="7"/>
  <c r="AE4" i="7"/>
  <c r="AJ4" i="7"/>
  <c r="W4" i="7"/>
  <c r="BA4" i="7"/>
  <c r="V4" i="7"/>
  <c r="N4" i="7"/>
  <c r="O4" i="7"/>
  <c r="BO4" i="7"/>
  <c r="BG4" i="7"/>
  <c r="U4" i="7"/>
  <c r="AC4" i="7"/>
  <c r="T4" i="7"/>
  <c r="AY4" i="7"/>
  <c r="R4" i="7"/>
  <c r="J4" i="7"/>
  <c r="BN4" i="7"/>
  <c r="AG4" i="7"/>
  <c r="Y4" i="7"/>
  <c r="AK4" i="7"/>
  <c r="BC4" i="7"/>
  <c r="AV4" i="7"/>
  <c r="Q4" i="7"/>
  <c r="AT4" i="7"/>
  <c r="AN4" i="7"/>
  <c r="AQ4" i="7"/>
  <c r="AS4" i="7"/>
  <c r="AB4" i="7"/>
  <c r="BP4" i="7"/>
  <c r="BF4" i="7"/>
  <c r="P4" i="7"/>
  <c r="AX4" i="7"/>
  <c r="BJ4" i="7"/>
  <c r="AA4" i="7"/>
  <c r="AP4" i="7"/>
  <c r="BE4" i="7"/>
  <c r="M4" i="7"/>
  <c r="AI4" i="7"/>
  <c r="AU4" i="7"/>
  <c r="AL4" i="7"/>
  <c r="BB4" i="7"/>
  <c r="BM4" i="7"/>
  <c r="AZ4" i="7"/>
  <c r="BH4" i="7"/>
  <c r="X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Zeke Marshall</author>
  </authors>
  <commentList>
    <comment ref="E2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OHF taken to be the same as BF - BOF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Zeke Marshall</author>
  </authors>
  <commentList>
    <comment ref="D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Meyers values are higher than Mernier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Zeke Marshall</author>
  </authors>
  <commentList>
    <comment ref="D5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Values seem too low compared to other sources incl. World Steel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Zeke Marshall</author>
  </authors>
  <commentList>
    <comment ref="A2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burned to iron(III) oxide</t>
        </r>
      </text>
    </comment>
  </commentList>
</comments>
</file>

<file path=xl/sharedStrings.xml><?xml version="1.0" encoding="utf-8"?>
<sst xmlns="http://schemas.openxmlformats.org/spreadsheetml/2006/main" count="1448" uniqueCount="424">
  <si>
    <t>Global Index (%)</t>
  </si>
  <si>
    <t>Global Average</t>
  </si>
  <si>
    <t>Year</t>
  </si>
  <si>
    <t>Energy consumption (%)</t>
  </si>
  <si>
    <t>Energy intensity global GJ/tCS</t>
  </si>
  <si>
    <t>https://www.worldsteel.org/en/dam/jcr:2306a7a7-331c-491a-99a6-a093fb6ca96a/Position_paper_climate_2020_vfinal.pdf</t>
  </si>
  <si>
    <t>Description</t>
  </si>
  <si>
    <t>Data Method/Source</t>
  </si>
  <si>
    <t>WorldSteel</t>
  </si>
  <si>
    <t>Interpolated</t>
  </si>
  <si>
    <t>Global average energy intensity</t>
  </si>
  <si>
    <t>BF-BOF
GJ/tCS</t>
  </si>
  <si>
    <t>EAF scrap
GJ/tCS</t>
  </si>
  <si>
    <t>OHF
GJ/tCS</t>
  </si>
  <si>
    <t>BF - BOF Energy Intensity [GJ/t] (from WS)</t>
  </si>
  <si>
    <t>BF - BOF Energy Intensity [GJ/t] (filled)</t>
  </si>
  <si>
    <t>EAF Energy Intensity [GJ/t] (from WS)</t>
  </si>
  <si>
    <t>EAF Energy Intensity [GJ/t] (filled)</t>
  </si>
  <si>
    <t>OHF Energy Intensity [GJ/t] (from WS)</t>
  </si>
  <si>
    <t>OHF Energy Intensity [GJ/t] (filled)</t>
  </si>
  <si>
    <t>Extrapolated (2008-2017 trend)</t>
  </si>
  <si>
    <t>BF - BOF</t>
  </si>
  <si>
    <t>EAF</t>
  </si>
  <si>
    <t>OHF</t>
  </si>
  <si>
    <t>https://www.energy.gov/sites/prod/files/2013/11/f4/theoretical_minimum_energies.pdf</t>
  </si>
  <si>
    <t>Country</t>
  </si>
  <si>
    <t>Machine</t>
  </si>
  <si>
    <t>Eu.product</t>
  </si>
  <si>
    <t>World</t>
  </si>
  <si>
    <t>Blast oxygen furnace</t>
  </si>
  <si>
    <t>Electric arc furnace</t>
  </si>
  <si>
    <t>Eta.fu</t>
  </si>
  <si>
    <t>Theoretical Minimum BF-BOF [GJ/t]</t>
  </si>
  <si>
    <t>Theoretical Minimum EAF [GJ/t]</t>
  </si>
  <si>
    <t>Theoretical Minimum OHF [GJ/t]</t>
  </si>
  <si>
    <t>Chemical Exergy Steel [GJ/ton]</t>
  </si>
  <si>
    <t>https://exergy-calculator.herokuapp.com/</t>
  </si>
  <si>
    <t>Michalakakis et al (In publication) - Calculating the Chemical Exergy of Materials</t>
  </si>
  <si>
    <t>Phi.u</t>
  </si>
  <si>
    <t>Chemical Exergy Scrap Steel [GJ/ton]</t>
  </si>
  <si>
    <t>Chemical Exergy Iron Ore [GJ/ton]</t>
  </si>
  <si>
    <t>https://www.sciencedirect.com/science/article/pii/S2666278720300167</t>
  </si>
  <si>
    <t>Kumar et al (2020) - Comparative exergy analysis between rotary hearth furnace-electric arc furnace and blast furnace-basic oxygen furnace steelmaking routes</t>
  </si>
  <si>
    <t>https://www.annualreviews.org/doi/pdf/10.1146/annurev.energy.23.1.123</t>
  </si>
  <si>
    <t>de Beer et al (1998) - Future technologies for energy-efficient iron and steel making</t>
  </si>
  <si>
    <t>Chemical Exergy Scrap Steel [GJ/t]</t>
  </si>
  <si>
    <t>Chemical Exergy Iron ore [GJ/t]</t>
  </si>
  <si>
    <t>Chemical Exergy Rolled Steel [GJ/t]</t>
  </si>
  <si>
    <t>Chemical Exergy Steel [kJ/kg]</t>
  </si>
  <si>
    <t>Chemical Exergy Steel  [GJ/ton]</t>
  </si>
  <si>
    <t>Chemical Exergy Hematite Ore [GJ/ton]</t>
  </si>
  <si>
    <t>Chemical Exergy Iron Ore [kJ/kg]</t>
  </si>
  <si>
    <t>Chemical Exergy Hematite Ore [kJ/kg]</t>
  </si>
  <si>
    <t>Specific energy Iron [MJ/kg]</t>
  </si>
  <si>
    <t>https://en.wikipedia.org/wiki/Energy_density#:~:text=Energy%20density%20is%20the%20amount,(or%20gravimetric%20energy%20density).</t>
  </si>
  <si>
    <t>Specfic Energy (LHV) Iron [GJ/ton]</t>
  </si>
  <si>
    <t>Hernandez et al (2018) - How resource-efficient is the global steel industry?</t>
  </si>
  <si>
    <t>https://www.sciencedirect.com/science/article/pii/S0921344918300557</t>
  </si>
  <si>
    <t>?</t>
  </si>
  <si>
    <t>Energy Intensity data</t>
  </si>
  <si>
    <t>Theoretical Minimum (Freuhan et al, 2000)</t>
  </si>
  <si>
    <t>Energy and Exergy values</t>
  </si>
  <si>
    <t>Eta.X.fu</t>
  </si>
  <si>
    <t>Original method</t>
  </si>
  <si>
    <t>Theoretical Minimum Method</t>
  </si>
  <si>
    <t>Chemical Energy method</t>
  </si>
  <si>
    <t>Full Exergy Analysis method</t>
  </si>
  <si>
    <t>Chemical exergy [GJ/ton cs]</t>
  </si>
  <si>
    <t>Substance</t>
  </si>
  <si>
    <t>Process</t>
  </si>
  <si>
    <t>In/Out</t>
  </si>
  <si>
    <t>Out</t>
  </si>
  <si>
    <t>Crude Steel</t>
  </si>
  <si>
    <t>In</t>
  </si>
  <si>
    <t>DRI</t>
  </si>
  <si>
    <t>Scrap</t>
  </si>
  <si>
    <t>FeSi</t>
  </si>
  <si>
    <t>FeMn</t>
  </si>
  <si>
    <t>Lime</t>
  </si>
  <si>
    <t>Electrode</t>
  </si>
  <si>
    <t>Oxygen</t>
  </si>
  <si>
    <t>Air blast</t>
  </si>
  <si>
    <t>BOF</t>
  </si>
  <si>
    <t>Both</t>
  </si>
  <si>
    <t>EAF Total In</t>
  </si>
  <si>
    <t>EAF Chem Exergy Inputs [GJ/ton]</t>
  </si>
  <si>
    <t>Chemical Exergy Inputs (Kumar et al, 2020)</t>
  </si>
  <si>
    <t>Process temperatures</t>
  </si>
  <si>
    <t>BF</t>
  </si>
  <si>
    <t>Sinter</t>
  </si>
  <si>
    <t>Iron Ore</t>
  </si>
  <si>
    <t>"Hot metal"</t>
  </si>
  <si>
    <t>PCI</t>
  </si>
  <si>
    <t>Coke</t>
  </si>
  <si>
    <t>Air Blast</t>
  </si>
  <si>
    <t>BF-BOF Total In</t>
  </si>
  <si>
    <t>9.848.91</t>
  </si>
  <si>
    <t>Crude Steel Temp [C]</t>
  </si>
  <si>
    <t>Crude Steel Temp [K]</t>
  </si>
  <si>
    <t>BF - BOF Chem Exergy Inputs [GJ/ton]</t>
  </si>
  <si>
    <t>BF - BOF [Kelvin]</t>
  </si>
  <si>
    <t>EAF [Kelvin]</t>
  </si>
  <si>
    <t>Chemical Exergy Iron/Steel, scrap with tin [GJ/t]</t>
  </si>
  <si>
    <t>EAF Temperature [C]</t>
  </si>
  <si>
    <t>EAF Temperature [Kelvin]</t>
  </si>
  <si>
    <t>Energy Intensities</t>
  </si>
  <si>
    <t>Exergy Efficiencies</t>
  </si>
  <si>
    <t>Energy Efficiencies</t>
  </si>
  <si>
    <t>Exergy-to-Energy Ratios</t>
  </si>
  <si>
    <t>DOE (2015) - Bandwidth Study on Energy Use and Potential Energy Saving Opportunities in U.S. Iron and Steel Manufacturing</t>
  </si>
  <si>
    <t>https://www.energy.gov/eere/amo/downloads/bandwidth-study-us-iron-and-steel-manufacturing</t>
  </si>
  <si>
    <t>https://beeindia.gov.in/sites/default/files/Iron%20and%20Steel.pdf</t>
  </si>
  <si>
    <t>Indian Ministry of Power (2015) - Steel</t>
  </si>
  <si>
    <t>Sargsyan &amp; Gorbatenko (2008) - Energy Efficiency in Russia Untapped Reserves</t>
  </si>
  <si>
    <t>https://documents.worldbank.org/en/publication/documents-reports/documentdetail/573971468107682519/energy-efficiency-in-russia-untapped-reserves</t>
  </si>
  <si>
    <t>Energy Intensity [GJ/ton]</t>
  </si>
  <si>
    <t>Source</t>
  </si>
  <si>
    <t>Energy intensity [GJ/ton]</t>
  </si>
  <si>
    <t>https://www.undp.org/content/undp/en/home/librarypage/environment-energy/sustainable_energy/world_energy_assessmentenergyandthechallengeofsustainability.html</t>
  </si>
  <si>
    <t>Steel</t>
  </si>
  <si>
    <t>Cement</t>
  </si>
  <si>
    <t>Pulp and paper</t>
  </si>
  <si>
    <t>India</t>
  </si>
  <si>
    <t>China</t>
  </si>
  <si>
    <t>United States</t>
  </si>
  <si>
    <t>Sweden</t>
  </si>
  <si>
    <t>Japan</t>
  </si>
  <si>
    <t>Meunier &amp; Kops (1984) - Energy Efficiency in the Steel Industry with Emphasis on Developing Countries</t>
  </si>
  <si>
    <t>https://www.osti.gov/biblio/5915160</t>
  </si>
  <si>
    <t>Energy Intensity [Gcal/ton]</t>
  </si>
  <si>
    <t>JPN</t>
  </si>
  <si>
    <t>USA</t>
  </si>
  <si>
    <t>DEU</t>
  </si>
  <si>
    <t>ITA</t>
  </si>
  <si>
    <t>FRA</t>
  </si>
  <si>
    <t>ESP</t>
  </si>
  <si>
    <t>GBR</t>
  </si>
  <si>
    <t>CHN</t>
  </si>
  <si>
    <t>BRA</t>
  </si>
  <si>
    <t>KOR</t>
  </si>
  <si>
    <t>IND</t>
  </si>
  <si>
    <t>MEX</t>
  </si>
  <si>
    <t>YGS</t>
  </si>
  <si>
    <t>TUR</t>
  </si>
  <si>
    <t>PRT</t>
  </si>
  <si>
    <t>COL</t>
  </si>
  <si>
    <t>-</t>
  </si>
  <si>
    <t>Eta.fu [%]</t>
  </si>
  <si>
    <t>Source/Method</t>
  </si>
  <si>
    <t>(Meunier &amp; Kops, 1984)</t>
  </si>
  <si>
    <t>RUS</t>
  </si>
  <si>
    <t>Open hearth furnace</t>
  </si>
  <si>
    <t>Johansson et al (2012) - Global Energy Assesment (GEA)</t>
  </si>
  <si>
    <t>https://iiasa.ac.at/web/home/research/Flagship-Projects/Global-Energy-Assessment/Global_Energy_Assessment_FullReport.pdf</t>
  </si>
  <si>
    <t>EU</t>
  </si>
  <si>
    <t>ZAF</t>
  </si>
  <si>
    <t>Meyers et al (1993) - Energy Use in Poland, 1970-1991 Sectoral Analysis and International Comparison</t>
  </si>
  <si>
    <t>https://www.osti.gov/biblio/10182246</t>
  </si>
  <si>
    <t>TWN</t>
  </si>
  <si>
    <t>POL</t>
  </si>
  <si>
    <t>Blast oxygen furnaces</t>
  </si>
  <si>
    <t>Quantity</t>
  </si>
  <si>
    <t>Energy.type</t>
  </si>
  <si>
    <t>Last.stage</t>
  </si>
  <si>
    <t>Method</t>
  </si>
  <si>
    <t>E</t>
  </si>
  <si>
    <t>Final</t>
  </si>
  <si>
    <t>PCM</t>
  </si>
  <si>
    <t>Bravard et al (1972) - Energy Expenditures Associated With The Production and Recycle of Metals</t>
  </si>
  <si>
    <t>https://www.google.co.uk/books/edition/Energy_Expenditures_Associated_with_the/LPTgx-mhGPoC?hl=en&amp;gbpv=1&amp;dq=alumina+bayer+energy+intensity&amp;pg=PA1&amp;printsec=frontcover</t>
  </si>
  <si>
    <t>Ef.product</t>
  </si>
  <si>
    <t>Units</t>
  </si>
  <si>
    <t>Energy Intensity</t>
  </si>
  <si>
    <t>GJ/ton</t>
  </si>
  <si>
    <t>Coal and coal products</t>
  </si>
  <si>
    <t>Basic oxygen furnace</t>
  </si>
  <si>
    <t>Coke oven-blast furnace complex</t>
  </si>
  <si>
    <t>kWh/ton</t>
  </si>
  <si>
    <t>Btu_to_GJ</t>
  </si>
  <si>
    <t>lb_to_metrictonne</t>
  </si>
  <si>
    <t>kWh_to_GJ</t>
  </si>
  <si>
    <t>eta.fu</t>
  </si>
  <si>
    <t>https://ideas.repec.org/p/ess/wpaper/id11333.html</t>
  </si>
  <si>
    <t>Krishnan et al (2013) - A Study of Energy Efficiency in the Indian Iron and Steel Industry</t>
  </si>
  <si>
    <t>Specific energy consumption</t>
  </si>
  <si>
    <t>Table 4</t>
  </si>
  <si>
    <t>BF-BOF</t>
  </si>
  <si>
    <t>Krishnan et al (2013)</t>
  </si>
  <si>
    <t>Mcal/ton CS</t>
  </si>
  <si>
    <t>mcal_to_GJ</t>
  </si>
  <si>
    <t>GJ/ton CS</t>
  </si>
  <si>
    <t>Indexed to World</t>
  </si>
  <si>
    <t>Energy Intensity [GJ/tonne]</t>
  </si>
  <si>
    <t>DOE (2015)</t>
  </si>
  <si>
    <t>Theoretical Minimum</t>
  </si>
  <si>
    <t>HTH.1600.C</t>
  </si>
  <si>
    <t>This page produces the time-series exergy conversion efficiencies for all MTH and HTH categories</t>
  </si>
  <si>
    <t>Heat is split into MTH1, MTH2, HTH</t>
  </si>
  <si>
    <t>How this page works</t>
  </si>
  <si>
    <t>Central England temperature data records input for 1960-2010</t>
  </si>
  <si>
    <t>temperature data split into average yearly values for HTH, MTH, which are assumed to be all year round</t>
  </si>
  <si>
    <t>thermal input reservoir T2 temperatures input for MTH1 (100'C), MTH2 (200'C) and HTH (600'C) based on application of heat</t>
  </si>
  <si>
    <t xml:space="preserve">HTH energy efficiency: = weighted average of steel and ammonia energy efficiencies, being two most representative industries </t>
  </si>
  <si>
    <t>HTH - steel energy efficiency - min energy GJ/tes  / actual energy used GJ/tes</t>
  </si>
  <si>
    <t>HTH - ammonia exergy efficiency = min energy GJ/tes vs actual energy used GJ/tes 1960-2010</t>
  </si>
  <si>
    <t>HTH exergy efficiency = av energy efficiency (steel + ammonia) x carnot efficiency ratio</t>
  </si>
  <si>
    <t>MTH exergy efficiency: pro-rata based on carnot temperature ration vs HTH exergy efficiency resutls</t>
  </si>
  <si>
    <t>Actions still to do</t>
  </si>
  <si>
    <t>add in upstream transf losses</t>
  </si>
  <si>
    <t>data sources</t>
  </si>
  <si>
    <t>ECUK Table 3.16</t>
  </si>
  <si>
    <t>internal and external domestic temperatures 1970-2010</t>
  </si>
  <si>
    <t>Central England Temperature Record</t>
  </si>
  <si>
    <t>CET Hadley dataset</t>
  </si>
  <si>
    <t>Ayres &amp; Warr papers</t>
  </si>
  <si>
    <t>low, medium and high temperatures (100, 200, 600'C)</t>
  </si>
  <si>
    <t>steel industry data (HTH)</t>
  </si>
  <si>
    <t>excel sheet from ISSB: ISSB steel production data: EAF, BOF production 1920-2010 Mtes</t>
  </si>
  <si>
    <t>http://www.nass.org.uk/publications/</t>
  </si>
  <si>
    <t>IEA - steel industry energy consumption</t>
  </si>
  <si>
    <t>Energy for steel consumption GJ 1960-2010 to calculate GJ/tes</t>
  </si>
  <si>
    <t>Phil Hunt at ISSB</t>
  </si>
  <si>
    <t>steel industry consumption 1960-1971</t>
  </si>
  <si>
    <t>PDfs from Phil Hunt</t>
  </si>
  <si>
    <t>steel industry calculation steps high temp heat min exergy / act exergy</t>
  </si>
  <si>
    <t>paper on ammonia</t>
  </si>
  <si>
    <t>minimum exergy requirement also EU-27 exergy averages</t>
  </si>
  <si>
    <t>ammonia GJ/tes data UK 1990-2010</t>
  </si>
  <si>
    <t>Ammonia production, UK GHG inventory, p275 ricardo-aea PDF</t>
  </si>
  <si>
    <t>http://uk-air.defra.gov.uk/reports/cat07/1109061103_DA_GHGI_report_2009_Main_text_Issue_1.pdf</t>
  </si>
  <si>
    <t>Table 4.10, page 276</t>
  </si>
  <si>
    <t>UK Greenhouse Gas Inventory, 1990 to 2011</t>
  </si>
  <si>
    <t>Annual Report for Submission under the Framework Convention on Climate Change</t>
  </si>
  <si>
    <t>https://www.gov.uk/government/uploads/system/uploads/attachment_data/file/207605/UK_GHG_Inventory_1990-2011-_Report.pdf</t>
  </si>
  <si>
    <t>Results</t>
  </si>
  <si>
    <t>energy efficiency</t>
  </si>
  <si>
    <t>600'C</t>
  </si>
  <si>
    <t>HTH - steel 1st law (final energy) efficiency</t>
  </si>
  <si>
    <t>HTH - ammonia 1st law (final energy) efficiency</t>
  </si>
  <si>
    <t>HTH - simple average 1st law (final energy) efficiency</t>
  </si>
  <si>
    <t>HTH - weighted average 1st law (final energy) efficiency</t>
  </si>
  <si>
    <t>exergy eff = energy efficiency x carnot</t>
  </si>
  <si>
    <t>600'C HTH 1st law x carnot ratio efficiency</t>
  </si>
  <si>
    <t xml:space="preserve">200'C MTH2 </t>
  </si>
  <si>
    <t>100'C MTH1 - from page 4a</t>
  </si>
  <si>
    <t>p. 2 IEA mapping</t>
  </si>
  <si>
    <t>this is missing coke so underestimates</t>
  </si>
  <si>
    <t>enegry sue for iron &amp; steel making</t>
  </si>
  <si>
    <t xml:space="preserve">Final energy </t>
  </si>
  <si>
    <t>ktoe</t>
  </si>
  <si>
    <t>50% High Temp Heat</t>
  </si>
  <si>
    <t>Iron and steel</t>
  </si>
  <si>
    <t>100% HTH</t>
  </si>
  <si>
    <t>Chemical and petrochemical</t>
  </si>
  <si>
    <t>50% HTH</t>
  </si>
  <si>
    <t>Non-ferrous metals</t>
  </si>
  <si>
    <t>Non-metallic minerals</t>
  </si>
  <si>
    <t>Transport equipment</t>
  </si>
  <si>
    <t>Machinery</t>
  </si>
  <si>
    <t>Mining and quarrying</t>
  </si>
  <si>
    <t>Non-specified (industry)</t>
  </si>
  <si>
    <t>Total</t>
  </si>
  <si>
    <t>HTH</t>
  </si>
  <si>
    <t>total industry MTH2+HTH</t>
  </si>
  <si>
    <t xml:space="preserve">HTH - steel </t>
  </si>
  <si>
    <t>weighting</t>
  </si>
  <si>
    <t>%</t>
  </si>
  <si>
    <t>insert data cells</t>
  </si>
  <si>
    <t>results cells</t>
  </si>
  <si>
    <t>HTH - 600'C</t>
  </si>
  <si>
    <t>MTH2 - 200'C</t>
  </si>
  <si>
    <t>MTH1 - 100'C</t>
  </si>
  <si>
    <r>
      <t>T</t>
    </r>
    <r>
      <rPr>
        <sz val="8"/>
        <color theme="1"/>
        <rFont val="Calibri"/>
        <family val="2"/>
        <scheme val="minor"/>
      </rPr>
      <t>0A</t>
    </r>
  </si>
  <si>
    <t>environmental reference temperature</t>
  </si>
  <si>
    <r>
      <t>T</t>
    </r>
    <r>
      <rPr>
        <sz val="8"/>
        <color theme="1"/>
        <rFont val="Calibri"/>
        <family val="2"/>
        <scheme val="minor"/>
      </rPr>
      <t>2HTH</t>
    </r>
  </si>
  <si>
    <t>High temperature heat reservoir</t>
  </si>
  <si>
    <t>Central England Temperature (CET)</t>
  </si>
  <si>
    <t xml:space="preserve"> 'C</t>
  </si>
  <si>
    <t>average yearly  temperature</t>
  </si>
  <si>
    <t>K</t>
  </si>
  <si>
    <r>
      <t>T</t>
    </r>
    <r>
      <rPr>
        <sz val="8"/>
        <color theme="1"/>
        <rFont val="Calibri"/>
        <family val="2"/>
        <scheme val="minor"/>
      </rPr>
      <t>2MTH2</t>
    </r>
  </si>
  <si>
    <t>Med temperature heat reservoir</t>
  </si>
  <si>
    <r>
      <t>T</t>
    </r>
    <r>
      <rPr>
        <sz val="8"/>
        <color theme="1"/>
        <rFont val="Calibri"/>
        <family val="2"/>
        <scheme val="minor"/>
      </rPr>
      <t>2MTH1</t>
    </r>
  </si>
  <si>
    <t>Low1 temperature heat reservoir</t>
  </si>
  <si>
    <t>GJ</t>
  </si>
  <si>
    <t>UK iron &amp; steel production</t>
  </si>
  <si>
    <t>EAF Mtes</t>
  </si>
  <si>
    <t>non EAF Mtes</t>
  </si>
  <si>
    <t>% EAF</t>
  </si>
  <si>
    <t>total steel production Mtes</t>
  </si>
  <si>
    <t>(A) - min work GJ/tes</t>
  </si>
  <si>
    <t>(B) reported energy use GJ/tes</t>
  </si>
  <si>
    <t>actual iron / steel electricity (row 3446) ktoe</t>
  </si>
  <si>
    <t>electricity conversion grid efficiency (Sheet 5)</t>
  </si>
  <si>
    <t>upstream electricity energy GJ/tes</t>
  </si>
  <si>
    <t>(C) Actual work  GJ/tes</t>
  </si>
  <si>
    <t>final energy efficiency (A/B)</t>
  </si>
  <si>
    <t>final energy efficiency A/C including elect losses</t>
  </si>
  <si>
    <t>2019 data download</t>
  </si>
  <si>
    <t>http://www.issb.co.uk/news/news/uk.html</t>
  </si>
  <si>
    <t>ISSB data</t>
  </si>
  <si>
    <t>UK CRUDE STEEL PRODUCTION BY PROCESS</t>
  </si>
  <si>
    <t>Thousand tonnes</t>
  </si>
  <si>
    <t>TOTAL</t>
  </si>
  <si>
    <t>Million tonnes</t>
  </si>
  <si>
    <t>Electric arc steelmaking</t>
  </si>
  <si>
    <t>Basic Oxygen steelmaking</t>
  </si>
  <si>
    <t>Don’t use IEA based approach as not all steel energy reported in this, due to coke transformation in difff sector</t>
  </si>
  <si>
    <t>w</t>
  </si>
  <si>
    <t>Iron &amp; Steel sector energy inputs</t>
  </si>
  <si>
    <t>fossil fuels (Heat) (total-electricity)</t>
  </si>
  <si>
    <t>Electricity row 3455</t>
  </si>
  <si>
    <t>IEA data - GJ/tes</t>
  </si>
  <si>
    <t>ISSB reported energy use GJ/tes</t>
  </si>
  <si>
    <t>GJ/tes</t>
  </si>
  <si>
    <t>Difference GJ/tes</t>
  </si>
  <si>
    <t>unit</t>
  </si>
  <si>
    <t>Table ref in 1960s PDF</t>
  </si>
  <si>
    <t>Conv factor</t>
  </si>
  <si>
    <t>coke, other than for coking</t>
  </si>
  <si>
    <t>ktes</t>
  </si>
  <si>
    <t>Table 15</t>
  </si>
  <si>
    <t xml:space="preserve">Coke  </t>
  </si>
  <si>
    <t>Coke breeze</t>
  </si>
  <si>
    <t>Tar</t>
  </si>
  <si>
    <t>Table 23</t>
  </si>
  <si>
    <t>creosote pitch</t>
  </si>
  <si>
    <t>fuel oil</t>
  </si>
  <si>
    <t>gas &amp; diesel oil</t>
  </si>
  <si>
    <t>electricty</t>
  </si>
  <si>
    <t>GWh</t>
  </si>
  <si>
    <t>Table 24</t>
  </si>
  <si>
    <t>town gas</t>
  </si>
  <si>
    <t>Mtherms</t>
  </si>
  <si>
    <t>natural gas</t>
  </si>
  <si>
    <t>coke oven gas</t>
  </si>
  <si>
    <t>less</t>
  </si>
  <si>
    <t>Total (GJ)</t>
  </si>
  <si>
    <t>1961-1965 sheet</t>
  </si>
  <si>
    <t>sale of blast furnace gas</t>
  </si>
  <si>
    <t>sub-total</t>
  </si>
  <si>
    <t>final total</t>
  </si>
  <si>
    <t>Mtonnes</t>
  </si>
  <si>
    <t>single year fuel data sheets</t>
  </si>
  <si>
    <t>ISSB 1973-2010 graph</t>
  </si>
  <si>
    <t xml:space="preserve">ISSB - Final spliced results </t>
  </si>
  <si>
    <t>2016 made up as no key statistics exist</t>
  </si>
  <si>
    <t>downloaed 12 oct 2016</t>
  </si>
  <si>
    <t>http://www.nass.org.uk/Publications/Publication4077/UKSteelKeyStatisticsGuide2015.pdf</t>
  </si>
  <si>
    <t>total</t>
  </si>
  <si>
    <t>ISSB spreadsheet supplied by Phil Hunt via email</t>
  </si>
  <si>
    <t>2012-2014 taken from graph</t>
  </si>
  <si>
    <t>1. work out EAF % of total production</t>
  </si>
  <si>
    <t>EAF %</t>
  </si>
  <si>
    <t>BOF/OHF %</t>
  </si>
  <si>
    <t>BOF/OHFMtes</t>
  </si>
  <si>
    <t>Total Mtes</t>
  </si>
  <si>
    <r>
      <t xml:space="preserve">Price, L., Sinton, J., Worrell, E., Phylipsen, D., Xiulian, H. &amp; Ji, L., 2002. Energy use and carbon dioxide emissions from steel production in China. </t>
    </r>
    <r>
      <rPr>
        <i/>
        <sz val="10"/>
        <rFont val="Arial"/>
        <family val="2"/>
      </rPr>
      <t>Energy</t>
    </r>
    <r>
      <rPr>
        <sz val="10"/>
        <rFont val="Arial"/>
        <family val="2"/>
      </rPr>
      <t>, 27, pp.429–446.</t>
    </r>
  </si>
  <si>
    <t>Hasanbeigi, A., Price, L. &amp; Aden, N., 2011. A Comparison of Iron and Steel Production Energy Use and Energy Intensity in China and the U.S. Available at: http://china.lbl.gov/sites/all/files/lbl-5746e-steel-ei-comparisonjune-2012.pdf .</t>
  </si>
  <si>
    <t>Million tes</t>
  </si>
  <si>
    <t>Hasanbeigi, A., Jiang, Z. &amp; Price, L., 2013. Analysis of the Past and Future Trends of Energy Use in Key Medium- and Large-Sized Chinese Steel Enterprises, 2000-2030. Available at: http://china.lbl.gov/sites/all/files/steel_decom_analysis.pdf .</t>
  </si>
  <si>
    <t>2. work out total primary energy supply to steel sector</t>
  </si>
  <si>
    <t xml:space="preserve">BOF/OHF </t>
  </si>
  <si>
    <t>BOF/OHF</t>
  </si>
  <si>
    <t xml:space="preserve">estimated </t>
  </si>
  <si>
    <t>electricity</t>
  </si>
  <si>
    <t xml:space="preserve">primary </t>
  </si>
  <si>
    <t>PJ</t>
  </si>
  <si>
    <t>steel</t>
  </si>
  <si>
    <t>final energy</t>
  </si>
  <si>
    <t>energy PJ</t>
  </si>
  <si>
    <t>prim energy</t>
  </si>
  <si>
    <t>Mtes</t>
  </si>
  <si>
    <t>intensity</t>
  </si>
  <si>
    <t>primary equiv</t>
  </si>
  <si>
    <t>adjusted</t>
  </si>
  <si>
    <t>Coal&amp; Coal Products</t>
  </si>
  <si>
    <t>High Temp Heat</t>
  </si>
  <si>
    <t>Natural Gas</t>
  </si>
  <si>
    <t>Oil &amp; Oil Products</t>
  </si>
  <si>
    <t>WRLD</t>
  </si>
  <si>
    <t>CHNM</t>
  </si>
  <si>
    <t>@book{meunier1984energy,</t>
  </si>
  <si>
    <t xml:space="preserve">  title={Energy efficiency in the steel industry with emphasis on developing countries},</t>
  </si>
  <si>
    <t xml:space="preserve">  author={Meunier, Maurice Y and Kops, Oscar De Bruyn and Mundial, Banco},</t>
  </si>
  <si>
    <t xml:space="preserve">  year={1984},</t>
  </si>
  <si>
    <t xml:space="preserve">  publisher={World Bank}</t>
  </si>
  <si>
    <t>}</t>
  </si>
  <si>
    <t>@article{krishnan2013study,</t>
  </si>
  <si>
    <t xml:space="preserve">  title={A study of energy efficiency in the Indian iron and steel industry},</t>
  </si>
  <si>
    <t xml:space="preserve">  author={Krishnan, SS and Vunnam, Venkatesh and Sunder, P Shyam and Sunil, JV and Ramakrishnan, A Murali},</t>
  </si>
  <si>
    <t xml:space="preserve">  journal={Center for Study of Science, Technology and Policy: Bangalore, India},</t>
  </si>
  <si>
    <t xml:space="preserve">  pages={132},</t>
  </si>
  <si>
    <t xml:space="preserve">  year={2013}</t>
  </si>
  <si>
    <t>Goldenberg (2001) - World Energy Assessment energy and the challenge of sustainability</t>
  </si>
  <si>
    <t>@misc{goldemberg2001,</t>
  </si>
  <si>
    <t xml:space="preserve">  title = {World energy assessment. Energy and the challenge of sustainability},</t>
  </si>
  <si>
    <t xml:space="preserve">  author = {Goldemberg, J},</t>
  </si>
  <si>
    <t xml:space="preserve">  publisher = {United Nations},</t>
  </si>
  <si>
    <t xml:space="preserve">  year = {2001},</t>
  </si>
  <si>
    <t xml:space="preserve">  month = {Sep},</t>
  </si>
  <si>
    <t xml:space="preserve">  url = {https://www.osti.gov/etdeweb/biblio/20228512}</t>
  </si>
  <si>
    <t>(Goldemberg, 2001)</t>
  </si>
  <si>
    <t>Original link dead</t>
  </si>
  <si>
    <t>Data supplied by Clare Broadbent from World Steel (Broadbent@worldsteel.org), asociated with the report Steel’s Contribution to a Low Carbon Future and Climate Resilient Societies - but updated to include 2015-2017 data</t>
  </si>
  <si>
    <t>World Steel (2015) - Steel’s Contribution to a Low Carbon Future and Climate Resilient Societies</t>
  </si>
  <si>
    <t>@misc{worldsteel2015,</t>
  </si>
  <si>
    <t xml:space="preserve">  title = {Steel’s Contribution to a Low Carbon Future and Climate Resilient Societies},</t>
  </si>
  <si>
    <t xml:space="preserve">  author = {World Steel Association},</t>
  </si>
  <si>
    <t xml:space="preserve">  year = {2015},</t>
  </si>
  <si>
    <t xml:space="preserve">  isbn = {978-2-930069-83-8},</t>
  </si>
  <si>
    <t xml:space="preserve">  title = {Bandwidth Study on Energy Use and Potential Energy Saving Opportunities in U.S. Iron and Steel Manufacturing},</t>
  </si>
  <si>
    <t xml:space="preserve">  author = {Keith Jamison, Caroline Kramer, Sabine Brueske, Aaron Fisher},</t>
  </si>
  <si>
    <t xml:space="preserve">  url = {https://www.osti.gov/biblio/1248755},</t>
  </si>
  <si>
    <t xml:space="preserve">  place = {United States},</t>
  </si>
  <si>
    <t xml:space="preserve">  month = {6}</t>
  </si>
  <si>
    <t>@article{jamison2015,</t>
  </si>
  <si>
    <t>@article{freuhan2000,</t>
  </si>
  <si>
    <t xml:space="preserve">  title = {Theoretical minimum energies to produce steel for selected conditions},</t>
  </si>
  <si>
    <t xml:space="preserve">  author = {Fruehan, R. J. and Fortini, O. and Paxton, H. W. and Brindle, R.},</t>
  </si>
  <si>
    <t xml:space="preserve">  doi = {10.2172/1216249},</t>
  </si>
  <si>
    <t xml:space="preserve">  url = {https://www.osti.gov/biblio/1216249},</t>
  </si>
  <si>
    <t xml:space="preserve">  year = {2000},</t>
  </si>
  <si>
    <t xml:space="preserve">  month = {3}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</si>
</sst>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-* #,##0.00\ _€_-;\-* #,##0.00\ _€_-;_-* &quot;-&quot;??\ _€_-;_-@_-"/>
    <numFmt numFmtId="165" formatCode="0.0"/>
    <numFmt numFmtId="166" formatCode="0.000"/>
    <numFmt numFmtId="167" formatCode="0.00000000"/>
    <numFmt numFmtId="168" formatCode="0.0%"/>
    <numFmt numFmtId="169" formatCode="#,##0.0"/>
  </numFmts>
  <fonts count="29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Arial"/>
      <family val="2"/>
    </font>
    <font>
      <b/>
      <sz val="11"/>
      <name val="Calibri"/>
      <family val="2"/>
      <scheme val="minor"/>
    </font>
    <font>
      <sz val="12"/>
      <color theme="1"/>
      <name val="Times New Roman"/>
      <family val="1"/>
    </font>
    <font>
      <b/>
      <sz val="10"/>
      <color theme="1"/>
      <name val="Arial"/>
      <family val="2"/>
    </font>
    <font>
      <b/>
      <sz val="2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b/>
      <sz val="10"/>
      <name val="Arial"/>
      <family val="2"/>
    </font>
    <font>
      <u/>
      <sz val="8.1999999999999993"/>
      <color indexed="12"/>
      <name val="Times New Roman"/>
      <family val="1"/>
    </font>
    <font>
      <sz val="11"/>
      <name val="Calibri"/>
      <family val="2"/>
    </font>
    <font>
      <sz val="8"/>
      <color theme="1"/>
      <name val="Calibri"/>
      <family val="2"/>
      <scheme val="minor"/>
    </font>
    <font>
      <b/>
      <u/>
      <sz val="10"/>
      <name val="Arial"/>
      <family val="2"/>
    </font>
    <font>
      <i/>
      <sz val="10"/>
      <name val="Arial"/>
      <family val="2"/>
    </font>
    <font>
      <sz val="10"/>
      <color rgb="FF00B050"/>
      <name val="Arial"/>
      <family val="2"/>
    </font>
    <font>
      <sz val="10"/>
      <color theme="9" tint="-0.249977111117893"/>
      <name val="Arial Unicode MS"/>
    </font>
    <font>
      <sz val="11"/>
      <color theme="9" tint="-0.249977111117893"/>
      <name val="Calibri"/>
      <family val="2"/>
      <scheme val="minor"/>
    </font>
    <font>
      <sz val="11"/>
      <color theme="9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5">
    <xf numFmtId="0" fontId="0" fillId="0" borderId="0"/>
    <xf numFmtId="164" fontId="3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9" fillId="0" borderId="0"/>
    <xf numFmtId="0" fontId="2" fillId="0" borderId="0"/>
    <xf numFmtId="0" fontId="15" fillId="0" borderId="0"/>
    <xf numFmtId="0" fontId="16" fillId="0" borderId="0" applyNumberFormat="0" applyFill="0" applyBorder="0" applyAlignment="0" applyProtection="0">
      <alignment vertical="top"/>
      <protection locked="0"/>
    </xf>
    <xf numFmtId="43" fontId="15" fillId="0" borderId="0" applyFont="0" applyFill="0" applyBorder="0" applyAlignment="0" applyProtection="0"/>
    <xf numFmtId="0" fontId="15" fillId="0" borderId="0"/>
    <xf numFmtId="0" fontId="3" fillId="0" borderId="0"/>
    <xf numFmtId="0" fontId="20" fillId="0" borderId="0" applyNumberFormat="0" applyFill="0" applyBorder="0" applyAlignment="0" applyProtection="0">
      <alignment vertical="top"/>
      <protection locked="0"/>
    </xf>
    <xf numFmtId="9" fontId="15" fillId="0" borderId="0" applyFont="0" applyFill="0" applyBorder="0" applyAlignment="0" applyProtection="0"/>
    <xf numFmtId="0" fontId="3" fillId="0" borderId="0"/>
    <xf numFmtId="0" fontId="16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</cellStyleXfs>
  <cellXfs count="162">
    <xf numFmtId="0" fontId="0" fillId="0" borderId="0" xfId="0"/>
    <xf numFmtId="2" fontId="4" fillId="0" borderId="1" xfId="1" applyNumberFormat="1" applyFont="1" applyFill="1" applyBorder="1" applyAlignment="1">
      <alignment horizontal="center" vertical="center"/>
    </xf>
    <xf numFmtId="0" fontId="5" fillId="0" borderId="0" xfId="2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1" xfId="0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0" fontId="6" fillId="0" borderId="2" xfId="0" applyFont="1" applyBorder="1" applyAlignment="1">
      <alignment horizontal="center" wrapText="1"/>
    </xf>
    <xf numFmtId="0" fontId="6" fillId="0" borderId="2" xfId="0" applyFont="1" applyBorder="1" applyAlignment="1">
      <alignment wrapText="1"/>
    </xf>
    <xf numFmtId="0" fontId="6" fillId="0" borderId="0" xfId="0" applyFont="1" applyAlignment="1">
      <alignment horizontal="center"/>
    </xf>
    <xf numFmtId="0" fontId="6" fillId="0" borderId="0" xfId="0" applyFont="1"/>
    <xf numFmtId="10" fontId="0" fillId="0" borderId="0" xfId="0" applyNumberFormat="1" applyAlignment="1">
      <alignment horizontal="center"/>
    </xf>
    <xf numFmtId="10" fontId="0" fillId="0" borderId="0" xfId="0" applyNumberFormat="1"/>
    <xf numFmtId="0" fontId="11" fillId="0" borderId="0" xfId="0" applyFont="1"/>
    <xf numFmtId="166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165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165" fontId="4" fillId="0" borderId="1" xfId="0" applyNumberFormat="1" applyFont="1" applyFill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0" borderId="0" xfId="0" applyFont="1"/>
    <xf numFmtId="0" fontId="6" fillId="4" borderId="0" xfId="0" applyFont="1" applyFill="1" applyAlignment="1">
      <alignment horizontal="left"/>
    </xf>
    <xf numFmtId="0" fontId="0" fillId="4" borderId="0" xfId="0" applyFill="1" applyAlignment="1">
      <alignment horizontal="center"/>
    </xf>
    <xf numFmtId="0" fontId="12" fillId="5" borderId="0" xfId="4" applyFont="1" applyFill="1" applyAlignment="1">
      <alignment horizontal="left"/>
    </xf>
    <xf numFmtId="0" fontId="12" fillId="3" borderId="0" xfId="4" applyFont="1" applyFill="1" applyAlignment="1">
      <alignment horizontal="left"/>
    </xf>
    <xf numFmtId="0" fontId="12" fillId="2" borderId="0" xfId="4" applyFont="1" applyFill="1" applyBorder="1"/>
    <xf numFmtId="0" fontId="12" fillId="6" borderId="0" xfId="4" applyFont="1" applyFill="1"/>
    <xf numFmtId="0" fontId="6" fillId="0" borderId="2" xfId="0" applyFont="1" applyBorder="1" applyAlignment="1">
      <alignment horizontal="center"/>
    </xf>
    <xf numFmtId="0" fontId="6" fillId="4" borderId="0" xfId="0" applyFont="1" applyFill="1" applyAlignment="1"/>
    <xf numFmtId="0" fontId="0" fillId="0" borderId="0" xfId="0" applyFill="1" applyAlignment="1">
      <alignment horizontal="center"/>
    </xf>
    <xf numFmtId="0" fontId="0" fillId="0" borderId="3" xfId="0" applyBorder="1"/>
    <xf numFmtId="0" fontId="0" fillId="0" borderId="2" xfId="0" applyBorder="1"/>
    <xf numFmtId="0" fontId="12" fillId="0" borderId="0" xfId="4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2" xfId="0" applyFont="1" applyFill="1" applyBorder="1" applyAlignment="1">
      <alignment horizontal="center" wrapText="1"/>
    </xf>
    <xf numFmtId="0" fontId="6" fillId="0" borderId="2" xfId="0" applyFont="1" applyFill="1" applyBorder="1" applyAlignment="1">
      <alignment horizontal="center"/>
    </xf>
    <xf numFmtId="0" fontId="6" fillId="6" borderId="0" xfId="0" applyFont="1" applyFill="1"/>
    <xf numFmtId="0" fontId="0" fillId="6" borderId="0" xfId="0" applyFill="1"/>
    <xf numFmtId="0" fontId="6" fillId="8" borderId="0" xfId="0" applyFont="1" applyFill="1"/>
    <xf numFmtId="0" fontId="0" fillId="8" borderId="0" xfId="0" applyFill="1"/>
    <xf numFmtId="0" fontId="6" fillId="9" borderId="0" xfId="0" applyFont="1" applyFill="1"/>
    <xf numFmtId="0" fontId="0" fillId="9" borderId="0" xfId="0" applyFill="1"/>
    <xf numFmtId="0" fontId="6" fillId="0" borderId="2" xfId="0" applyFont="1" applyFill="1" applyBorder="1" applyAlignment="1">
      <alignment wrapText="1"/>
    </xf>
    <xf numFmtId="0" fontId="6" fillId="10" borderId="0" xfId="0" applyFont="1" applyFill="1"/>
    <xf numFmtId="0" fontId="0" fillId="10" borderId="0" xfId="0" applyFill="1"/>
    <xf numFmtId="0" fontId="6" fillId="11" borderId="0" xfId="0" applyFont="1" applyFill="1"/>
    <xf numFmtId="0" fontId="0" fillId="11" borderId="0" xfId="0" applyFill="1"/>
    <xf numFmtId="0" fontId="6" fillId="7" borderId="0" xfId="0" applyFont="1" applyFill="1"/>
    <xf numFmtId="0" fontId="0" fillId="7" borderId="0" xfId="0" applyFill="1"/>
    <xf numFmtId="0" fontId="6" fillId="2" borderId="0" xfId="0" applyFont="1" applyFill="1"/>
    <xf numFmtId="0" fontId="0" fillId="2" borderId="0" xfId="0" applyFill="1"/>
    <xf numFmtId="0" fontId="6" fillId="4" borderId="0" xfId="0" applyFont="1" applyFill="1"/>
    <xf numFmtId="2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2" fontId="0" fillId="0" borderId="0" xfId="0" applyNumberFormat="1" applyFill="1" applyAlignment="1">
      <alignment horizontal="center"/>
    </xf>
    <xf numFmtId="0" fontId="6" fillId="12" borderId="0" xfId="0" applyFont="1" applyFill="1"/>
    <xf numFmtId="0" fontId="0" fillId="12" borderId="0" xfId="0" applyFill="1"/>
    <xf numFmtId="0" fontId="6" fillId="13" borderId="0" xfId="0" applyFont="1" applyFill="1"/>
    <xf numFmtId="0" fontId="0" fillId="13" borderId="0" xfId="0" applyFill="1"/>
    <xf numFmtId="0" fontId="10" fillId="0" borderId="2" xfId="3" applyFont="1" applyBorder="1" applyAlignment="1">
      <alignment horizontal="center"/>
    </xf>
    <xf numFmtId="167" fontId="0" fillId="0" borderId="0" xfId="0" applyNumberFormat="1"/>
    <xf numFmtId="0" fontId="1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2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0" fontId="14" fillId="0" borderId="0" xfId="0" applyFont="1" applyAlignment="1">
      <alignment horizontal="left"/>
    </xf>
    <xf numFmtId="0" fontId="19" fillId="0" borderId="0" xfId="8" applyFont="1"/>
    <xf numFmtId="0" fontId="15" fillId="0" borderId="0" xfId="8"/>
    <xf numFmtId="0" fontId="3" fillId="0" borderId="0" xfId="9"/>
    <xf numFmtId="0" fontId="15" fillId="0" borderId="0" xfId="5"/>
    <xf numFmtId="0" fontId="15" fillId="0" borderId="0" xfId="8" applyFont="1"/>
    <xf numFmtId="0" fontId="15" fillId="0" borderId="0" xfId="8" applyFont="1" applyFill="1"/>
    <xf numFmtId="0" fontId="3" fillId="14" borderId="0" xfId="9" applyFont="1" applyFill="1"/>
    <xf numFmtId="0" fontId="3" fillId="0" borderId="0" xfId="9" applyFont="1" applyFill="1"/>
    <xf numFmtId="0" fontId="19" fillId="0" borderId="0" xfId="5" applyFont="1"/>
    <xf numFmtId="0" fontId="15" fillId="0" borderId="0" xfId="5" applyFont="1"/>
    <xf numFmtId="0" fontId="20" fillId="0" borderId="0" xfId="10" applyAlignment="1" applyProtection="1"/>
    <xf numFmtId="0" fontId="21" fillId="0" borderId="0" xfId="5" applyFont="1"/>
    <xf numFmtId="0" fontId="15" fillId="11" borderId="0" xfId="5" applyFont="1" applyFill="1" applyAlignment="1">
      <alignment horizontal="right"/>
    </xf>
    <xf numFmtId="0" fontId="15" fillId="11" borderId="0" xfId="5" applyFill="1"/>
    <xf numFmtId="0" fontId="15" fillId="11" borderId="0" xfId="8" applyFill="1"/>
    <xf numFmtId="0" fontId="15" fillId="11" borderId="0" xfId="5" applyFont="1" applyFill="1"/>
    <xf numFmtId="168" fontId="0" fillId="11" borderId="0" xfId="11" applyNumberFormat="1" applyFont="1" applyFill="1"/>
    <xf numFmtId="168" fontId="0" fillId="15" borderId="0" xfId="11" applyNumberFormat="1" applyFont="1" applyFill="1"/>
    <xf numFmtId="168" fontId="0" fillId="16" borderId="0" xfId="11" applyNumberFormat="1" applyFont="1" applyFill="1"/>
    <xf numFmtId="3" fontId="15" fillId="0" borderId="0" xfId="5" applyNumberFormat="1"/>
    <xf numFmtId="3" fontId="15" fillId="3" borderId="0" xfId="5" applyNumberFormat="1" applyFont="1" applyFill="1"/>
    <xf numFmtId="3" fontId="19" fillId="0" borderId="0" xfId="5" applyNumberFormat="1" applyFont="1"/>
    <xf numFmtId="9" fontId="0" fillId="0" borderId="0" xfId="11" applyFont="1"/>
    <xf numFmtId="3" fontId="15" fillId="0" borderId="0" xfId="5" applyNumberFormat="1" applyFont="1"/>
    <xf numFmtId="3" fontId="0" fillId="0" borderId="0" xfId="11" applyNumberFormat="1" applyFont="1"/>
    <xf numFmtId="9" fontId="0" fillId="11" borderId="0" xfId="11" applyFont="1" applyFill="1"/>
    <xf numFmtId="9" fontId="0" fillId="16" borderId="0" xfId="11" applyFont="1" applyFill="1"/>
    <xf numFmtId="0" fontId="15" fillId="3" borderId="0" xfId="5" applyFill="1"/>
    <xf numFmtId="0" fontId="15" fillId="0" borderId="0" xfId="5" applyFont="1" applyAlignment="1">
      <alignment horizontal="right"/>
    </xf>
    <xf numFmtId="2" fontId="0" fillId="11" borderId="0" xfId="11" applyNumberFormat="1" applyFont="1" applyFill="1"/>
    <xf numFmtId="2" fontId="0" fillId="16" borderId="0" xfId="11" applyNumberFormat="1" applyFont="1" applyFill="1"/>
    <xf numFmtId="0" fontId="15" fillId="0" borderId="0" xfId="5" quotePrefix="1"/>
    <xf numFmtId="1" fontId="15" fillId="0" borderId="0" xfId="5" applyNumberFormat="1"/>
    <xf numFmtId="165" fontId="15" fillId="0" borderId="0" xfId="5" applyNumberFormat="1"/>
    <xf numFmtId="165" fontId="15" fillId="16" borderId="0" xfId="5" applyNumberFormat="1" applyFill="1"/>
    <xf numFmtId="0" fontId="15" fillId="0" borderId="0" xfId="5" applyFont="1" applyAlignment="1">
      <alignment horizontal="left"/>
    </xf>
    <xf numFmtId="169" fontId="15" fillId="0" borderId="0" xfId="5" applyNumberFormat="1" applyFill="1" applyAlignment="1">
      <alignment horizontal="center"/>
    </xf>
    <xf numFmtId="165" fontId="15" fillId="0" borderId="0" xfId="5" applyNumberFormat="1" applyFont="1" applyAlignment="1">
      <alignment horizontal="left"/>
    </xf>
    <xf numFmtId="168" fontId="0" fillId="0" borderId="0" xfId="11" applyNumberFormat="1" applyFont="1" applyFill="1" applyAlignment="1">
      <alignment horizontal="center"/>
    </xf>
    <xf numFmtId="165" fontId="15" fillId="0" borderId="0" xfId="5" applyNumberFormat="1" applyAlignment="1">
      <alignment horizontal="center"/>
    </xf>
    <xf numFmtId="165" fontId="15" fillId="0" borderId="0" xfId="5" applyNumberFormat="1" applyFill="1" applyAlignment="1">
      <alignment horizontal="center"/>
    </xf>
    <xf numFmtId="165" fontId="15" fillId="2" borderId="0" xfId="5" applyNumberFormat="1" applyFill="1" applyAlignment="1">
      <alignment horizontal="center"/>
    </xf>
    <xf numFmtId="165" fontId="15" fillId="14" borderId="0" xfId="5" applyNumberFormat="1" applyFill="1" applyAlignment="1">
      <alignment horizontal="center"/>
    </xf>
    <xf numFmtId="168" fontId="0" fillId="0" borderId="0" xfId="11" applyNumberFormat="1" applyFont="1"/>
    <xf numFmtId="165" fontId="19" fillId="0" borderId="0" xfId="5" applyNumberFormat="1" applyFont="1" applyAlignment="1">
      <alignment horizontal="left"/>
    </xf>
    <xf numFmtId="9" fontId="19" fillId="0" borderId="0" xfId="11" applyFont="1"/>
    <xf numFmtId="0" fontId="23" fillId="0" borderId="0" xfId="5" applyFont="1"/>
    <xf numFmtId="0" fontId="19" fillId="0" borderId="0" xfId="5" applyFont="1" applyAlignment="1">
      <alignment horizontal="right"/>
    </xf>
    <xf numFmtId="3" fontId="15" fillId="15" borderId="0" xfId="5" applyNumberFormat="1" applyFill="1"/>
    <xf numFmtId="3" fontId="15" fillId="16" borderId="0" xfId="5" applyNumberFormat="1" applyFill="1"/>
    <xf numFmtId="0" fontId="15" fillId="15" borderId="0" xfId="5" applyFill="1"/>
    <xf numFmtId="0" fontId="15" fillId="16" borderId="0" xfId="5" applyFill="1"/>
    <xf numFmtId="3" fontId="19" fillId="15" borderId="0" xfId="5" applyNumberFormat="1" applyFont="1" applyFill="1"/>
    <xf numFmtId="3" fontId="19" fillId="16" borderId="0" xfId="5" applyNumberFormat="1" applyFont="1" applyFill="1"/>
    <xf numFmtId="0" fontId="19" fillId="15" borderId="0" xfId="5" applyFont="1" applyFill="1"/>
    <xf numFmtId="0" fontId="19" fillId="16" borderId="0" xfId="5" applyFont="1" applyFill="1"/>
    <xf numFmtId="169" fontId="15" fillId="0" borderId="0" xfId="5" applyNumberFormat="1"/>
    <xf numFmtId="169" fontId="15" fillId="15" borderId="0" xfId="5" applyNumberFormat="1" applyFill="1"/>
    <xf numFmtId="169" fontId="15" fillId="16" borderId="0" xfId="5" applyNumberFormat="1" applyFill="1"/>
    <xf numFmtId="169" fontId="19" fillId="0" borderId="0" xfId="5" applyNumberFormat="1" applyFont="1"/>
    <xf numFmtId="169" fontId="19" fillId="15" borderId="0" xfId="5" applyNumberFormat="1" applyFont="1" applyFill="1"/>
    <xf numFmtId="169" fontId="19" fillId="16" borderId="0" xfId="5" applyNumberFormat="1" applyFont="1" applyFill="1"/>
    <xf numFmtId="0" fontId="15" fillId="14" borderId="0" xfId="5" applyFont="1" applyFill="1" applyAlignment="1">
      <alignment wrapText="1"/>
    </xf>
    <xf numFmtId="0" fontId="15" fillId="14" borderId="0" xfId="5" applyFill="1" applyAlignment="1">
      <alignment wrapText="1"/>
    </xf>
    <xf numFmtId="1" fontId="19" fillId="0" borderId="0" xfId="5" applyNumberFormat="1" applyFont="1"/>
    <xf numFmtId="165" fontId="15" fillId="16" borderId="0" xfId="5" applyNumberFormat="1" applyFill="1" applyAlignment="1">
      <alignment horizontal="center"/>
    </xf>
    <xf numFmtId="0" fontId="15" fillId="0" borderId="0" xfId="5" applyFill="1"/>
    <xf numFmtId="3" fontId="15" fillId="0" borderId="0" xfId="5" applyNumberFormat="1" applyFill="1"/>
    <xf numFmtId="3" fontId="15" fillId="3" borderId="0" xfId="5" applyNumberFormat="1" applyFill="1"/>
    <xf numFmtId="165" fontId="15" fillId="3" borderId="0" xfId="5" applyNumberFormat="1" applyFill="1"/>
    <xf numFmtId="165" fontId="15" fillId="15" borderId="0" xfId="5" applyNumberFormat="1" applyFill="1"/>
    <xf numFmtId="0" fontId="15" fillId="17" borderId="0" xfId="5" applyFill="1"/>
    <xf numFmtId="0" fontId="15" fillId="17" borderId="0" xfId="5" applyFont="1" applyFill="1"/>
    <xf numFmtId="0" fontId="15" fillId="3" borderId="0" xfId="5" applyFont="1" applyFill="1"/>
    <xf numFmtId="0" fontId="25" fillId="0" borderId="0" xfId="5" applyFont="1"/>
    <xf numFmtId="168" fontId="15" fillId="0" borderId="0" xfId="5" applyNumberFormat="1"/>
    <xf numFmtId="165" fontId="25" fillId="0" borderId="0" xfId="5" applyNumberFormat="1" applyFont="1"/>
    <xf numFmtId="0" fontId="15" fillId="0" borderId="0" xfId="5" applyFont="1" applyAlignment="1">
      <alignment horizontal="left" vertical="center" indent="2"/>
    </xf>
    <xf numFmtId="1" fontId="0" fillId="0" borderId="0" xfId="11" applyNumberFormat="1" applyFont="1"/>
    <xf numFmtId="10" fontId="14" fillId="0" borderId="0" xfId="0" applyNumberFormat="1" applyFont="1" applyAlignment="1">
      <alignment horizontal="center"/>
    </xf>
    <xf numFmtId="0" fontId="0" fillId="18" borderId="0" xfId="0" applyFill="1"/>
    <xf numFmtId="0" fontId="14" fillId="0" borderId="0" xfId="0" applyFont="1"/>
    <xf numFmtId="0" fontId="26" fillId="18" borderId="0" xfId="0" applyFont="1" applyFill="1" applyAlignment="1">
      <alignment vertical="center"/>
    </xf>
    <xf numFmtId="0" fontId="27" fillId="18" borderId="0" xfId="0" applyFont="1" applyFill="1"/>
    <xf numFmtId="0" fontId="27" fillId="18" borderId="0" xfId="0" quotePrefix="1" applyFont="1" applyFill="1"/>
    <xf numFmtId="0" fontId="26" fillId="18" borderId="0" xfId="0" quotePrefix="1" applyFont="1" applyFill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3" fillId="0" borderId="2" xfId="0" applyFont="1" applyBorder="1" applyAlignment="1">
      <alignment horizontal="center"/>
    </xf>
    <xf numFmtId="0" fontId="28" fillId="18" borderId="0" xfId="0" applyFont="1" applyFill="1"/>
  </cellXfs>
  <cellStyles count="15">
    <cellStyle name="Comma 2" xfId="1" xr:uid="{00000000-0005-0000-0000-000000000000}"/>
    <cellStyle name="Comma 2 2" xfId="7" xr:uid="{00000000-0005-0000-0000-000001000000}"/>
    <cellStyle name="Comma 3" xfId="14" xr:uid="{00000000-0005-0000-0000-000002000000}"/>
    <cellStyle name="Hyperlink" xfId="2" builtinId="8"/>
    <cellStyle name="Hyperlink 2" xfId="10" xr:uid="{00000000-0005-0000-0000-000004000000}"/>
    <cellStyle name="Hyperlink 3" xfId="6" xr:uid="{00000000-0005-0000-0000-000005000000}"/>
    <cellStyle name="Hyperlink 3 2" xfId="13" xr:uid="{00000000-0005-0000-0000-000006000000}"/>
    <cellStyle name="Normal" xfId="0" builtinId="0"/>
    <cellStyle name="Normal 11" xfId="5" xr:uid="{00000000-0005-0000-0000-000008000000}"/>
    <cellStyle name="Normal 11 2" xfId="12" xr:uid="{00000000-0005-0000-0000-000009000000}"/>
    <cellStyle name="Normal 2" xfId="4" xr:uid="{00000000-0005-0000-0000-00000A000000}"/>
    <cellStyle name="Normal 2 2" xfId="8" xr:uid="{00000000-0005-0000-0000-00000B000000}"/>
    <cellStyle name="Normal 2 2 3" xfId="3" xr:uid="{00000000-0005-0000-0000-00000C000000}"/>
    <cellStyle name="Normal 7" xfId="9" xr:uid="{00000000-0005-0000-0000-00000D000000}"/>
    <cellStyle name="Percent 2" xfId="11" xr:uid="{00000000-0005-0000-0000-00000E000000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6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externalLink" Target="externalLinks/externalLink8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comparison of weighted vs simple</a:t>
            </a:r>
            <a:r>
              <a:rPr lang="en-GB" baseline="0"/>
              <a:t> average 1st law efficiency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'4b MTH2 HTH efficiencies'!#REF!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'4b MTH2 HTH efficiencies'!#REF!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'4b MTH2 HTH efficiencies'!#REF!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B15-408B-8488-8EF96E3D44BF}"/>
            </c:ext>
          </c:extLst>
        </c:ser>
        <c:ser>
          <c:idx val="1"/>
          <c:order val="1"/>
          <c:marker>
            <c:symbol val="none"/>
          </c:marker>
          <c:val>
            <c:numRef>
              <c:f>'4b MTH2 HTH efficiencies'!#REF!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'4b MTH2 HTH efficiencies'!#REF!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'4b MTH2 HTH efficiencies'!#REF!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B15-408B-8488-8EF96E3D44BF}"/>
            </c:ext>
          </c:extLst>
        </c:ser>
        <c:ser>
          <c:idx val="2"/>
          <c:order val="2"/>
          <c:marker>
            <c:symbol val="none"/>
          </c:marker>
          <c:val>
            <c:numRef>
              <c:f>'4b MTH2 HTH efficiencies'!#REF!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'4b MTH2 HTH efficiencies'!#REF!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FB15-408B-8488-8EF96E3D44BF}"/>
            </c:ext>
          </c:extLst>
        </c:ser>
        <c:ser>
          <c:idx val="3"/>
          <c:order val="3"/>
          <c:marker>
            <c:symbol val="none"/>
          </c:marker>
          <c:val>
            <c:numRef>
              <c:f>'4b MTH2 HTH efficiencies'!#REF!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'4b MTH2 HTH efficiencies'!#REF!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FB15-408B-8488-8EF96E3D4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124136"/>
        <c:axId val="540124528"/>
      </c:lineChart>
      <c:catAx>
        <c:axId val="540124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40124528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540124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012413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estimated  final energy intensity GJ/tes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'China PB data'!$Q$110:$Q$113</c:f>
              <c:strCache>
                <c:ptCount val="4"/>
                <c:pt idx="0">
                  <c:v>estimated </c:v>
                </c:pt>
                <c:pt idx="1">
                  <c:v>final energy</c:v>
                </c:pt>
                <c:pt idx="2">
                  <c:v>intensity</c:v>
                </c:pt>
                <c:pt idx="3">
                  <c:v>GJ/tes</c:v>
                </c:pt>
              </c:strCache>
            </c:strRef>
          </c:tx>
          <c:marker>
            <c:symbol val="none"/>
          </c:marker>
          <c:cat>
            <c:numRef>
              <c:f>'China PB data'!$J$114:$J$130</c:f>
              <c:numCache>
                <c:formatCode>General</c:formatCode>
                <c:ptCount val="1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</c:numCache>
            </c:numRef>
          </c:cat>
          <c:val>
            <c:numRef>
              <c:f>'China PB data'!$Q$114:$Q$130</c:f>
              <c:numCache>
                <c:formatCode>0.0</c:formatCode>
                <c:ptCount val="17"/>
                <c:pt idx="0">
                  <c:v>48.076923076923073</c:v>
                </c:pt>
                <c:pt idx="1">
                  <c:v>44.932432432432428</c:v>
                </c:pt>
                <c:pt idx="2">
                  <c:v>43.09210526315789</c:v>
                </c:pt>
                <c:pt idx="3">
                  <c:v>41.875</c:v>
                </c:pt>
                <c:pt idx="4">
                  <c:v>41.761363636363633</c:v>
                </c:pt>
                <c:pt idx="5">
                  <c:v>41.015624999999993</c:v>
                </c:pt>
                <c:pt idx="6">
                  <c:v>40.38461538461538</c:v>
                </c:pt>
                <c:pt idx="7">
                  <c:v>38.504464285714285</c:v>
                </c:pt>
                <c:pt idx="8">
                  <c:v>37.916666666666664</c:v>
                </c:pt>
                <c:pt idx="9">
                  <c:v>37.400793650793645</c:v>
                </c:pt>
                <c:pt idx="10">
                  <c:v>37.5</c:v>
                </c:pt>
                <c:pt idx="11">
                  <c:v>36.645962732919259</c:v>
                </c:pt>
                <c:pt idx="12">
                  <c:v>32.793209876543202</c:v>
                </c:pt>
                <c:pt idx="13">
                  <c:v>33.401499659168373</c:v>
                </c:pt>
                <c:pt idx="14">
                  <c:v>35.077366902701286</c:v>
                </c:pt>
                <c:pt idx="15">
                  <c:v>34.090909090909093</c:v>
                </c:pt>
                <c:pt idx="16">
                  <c:v>31.611594894429203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41-4731-99A4-9E2CEAD81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132368"/>
        <c:axId val="540132760"/>
      </c:lineChart>
      <c:catAx>
        <c:axId val="54013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4013276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540132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energy intensity GJ/tes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540132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UK MTH &amp; HTH Heat exergy efficiency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'ISSB UK data'!$C$37</c:f>
              <c:strCache>
                <c:ptCount val="1"/>
                <c:pt idx="0">
                  <c:v>600'C HTH 1st law x carnot ratio efficiency</c:v>
                </c:pt>
              </c:strCache>
            </c:strRef>
          </c:tx>
          <c:marker>
            <c:symbol val="none"/>
          </c:marker>
          <c:cat>
            <c:numRef>
              <c:f>'ISSB UK data'!$D$32:$BH$32</c:f>
              <c:numCache>
                <c:formatCode>General</c:formatCode>
                <c:ptCount val="57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</c:numCache>
            </c:numRef>
          </c:cat>
          <c:val>
            <c:numRef>
              <c:f>'ISSB UK data'!$D$37:$BH$37</c:f>
              <c:numCache>
                <c:formatCode>0.0%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5E-48EF-A96C-0927E782303D}"/>
            </c:ext>
          </c:extLst>
        </c:ser>
        <c:ser>
          <c:idx val="0"/>
          <c:order val="1"/>
          <c:tx>
            <c:strRef>
              <c:f>'ISSB UK data'!$C$38</c:f>
              <c:strCache>
                <c:ptCount val="1"/>
                <c:pt idx="0">
                  <c:v>200'C MTH2 </c:v>
                </c:pt>
              </c:strCache>
            </c:strRef>
          </c:tx>
          <c:marker>
            <c:symbol val="none"/>
          </c:marker>
          <c:cat>
            <c:numRef>
              <c:f>'ISSB UK data'!$D$32:$BH$32</c:f>
              <c:numCache>
                <c:formatCode>General</c:formatCode>
                <c:ptCount val="57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</c:numCache>
            </c:numRef>
          </c:cat>
          <c:val>
            <c:numRef>
              <c:f>'ISSB UK data'!$D$38:$BH$38</c:f>
              <c:numCache>
                <c:formatCode>0.0%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5E-48EF-A96C-0927E782303D}"/>
            </c:ext>
          </c:extLst>
        </c:ser>
        <c:ser>
          <c:idx val="4"/>
          <c:order val="2"/>
          <c:tx>
            <c:strRef>
              <c:f>'ISSB UK data'!$C$39</c:f>
              <c:strCache>
                <c:ptCount val="1"/>
                <c:pt idx="0">
                  <c:v>100'C MTH1 - from page 4a</c:v>
                </c:pt>
              </c:strCache>
            </c:strRef>
          </c:tx>
          <c:marker>
            <c:symbol val="none"/>
          </c:marker>
          <c:cat>
            <c:numRef>
              <c:f>'ISSB UK data'!$D$32:$BH$32</c:f>
              <c:numCache>
                <c:formatCode>General</c:formatCode>
                <c:ptCount val="57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</c:numCache>
            </c:numRef>
          </c:cat>
          <c:val>
            <c:numRef>
              <c:f>'ISSB UK data'!$D$39:$BH$39</c:f>
              <c:numCache>
                <c:formatCode>0.0%</c:formatCode>
                <c:ptCount val="57"/>
                <c:pt idx="0">
                  <c:v>0.12931346643440972</c:v>
                </c:pt>
                <c:pt idx="1">
                  <c:v>0.13082283746482651</c:v>
                </c:pt>
                <c:pt idx="2">
                  <c:v>0.13458333860377864</c:v>
                </c:pt>
                <c:pt idx="3">
                  <c:v>0.14211124373576317</c:v>
                </c:pt>
                <c:pt idx="4">
                  <c:v>0.13876138818169639</c:v>
                </c:pt>
                <c:pt idx="5">
                  <c:v>0.14111747286613965</c:v>
                </c:pt>
                <c:pt idx="6">
                  <c:v>0.14158689213453043</c:v>
                </c:pt>
                <c:pt idx="7">
                  <c:v>0.14263916333913981</c:v>
                </c:pt>
                <c:pt idx="8">
                  <c:v>0.14719825271338607</c:v>
                </c:pt>
                <c:pt idx="9">
                  <c:v>0.14984686694358848</c:v>
                </c:pt>
                <c:pt idx="10">
                  <c:v>0.15191086694358846</c:v>
                </c:pt>
                <c:pt idx="11">
                  <c:v>0.15240610156773426</c:v>
                </c:pt>
                <c:pt idx="12">
                  <c:v>0.15385021358702944</c:v>
                </c:pt>
                <c:pt idx="13">
                  <c:v>0.15612099209433214</c:v>
                </c:pt>
                <c:pt idx="14">
                  <c:v>0.15758841431059908</c:v>
                </c:pt>
                <c:pt idx="15">
                  <c:v>0.15821573093930072</c:v>
                </c:pt>
                <c:pt idx="16">
                  <c:v>0.16259616347313427</c:v>
                </c:pt>
                <c:pt idx="17">
                  <c:v>0.16828417365670653</c:v>
                </c:pt>
                <c:pt idx="18">
                  <c:v>0.16933089856626027</c:v>
                </c:pt>
                <c:pt idx="19">
                  <c:v>0.17627826664880078</c:v>
                </c:pt>
                <c:pt idx="20">
                  <c:v>0.17338946804234226</c:v>
                </c:pt>
                <c:pt idx="21">
                  <c:v>0.17608904997990099</c:v>
                </c:pt>
                <c:pt idx="22">
                  <c:v>0.18219059573897908</c:v>
                </c:pt>
                <c:pt idx="23">
                  <c:v>0.18159328259413116</c:v>
                </c:pt>
                <c:pt idx="24">
                  <c:v>0.18439811979096893</c:v>
                </c:pt>
                <c:pt idx="25">
                  <c:v>0.19034972531153696</c:v>
                </c:pt>
                <c:pt idx="26">
                  <c:v>0.19125954709902193</c:v>
                </c:pt>
                <c:pt idx="27">
                  <c:v>0.19214658984322655</c:v>
                </c:pt>
                <c:pt idx="28">
                  <c:v>0.19033900576175797</c:v>
                </c:pt>
                <c:pt idx="29">
                  <c:v>0.18968109339407743</c:v>
                </c:pt>
                <c:pt idx="30">
                  <c:v>0.1917979364866676</c:v>
                </c:pt>
                <c:pt idx="31">
                  <c:v>0.20016079324668362</c:v>
                </c:pt>
                <c:pt idx="32">
                  <c:v>0.19839313948814144</c:v>
                </c:pt>
                <c:pt idx="33">
                  <c:v>0.19971753986332574</c:v>
                </c:pt>
                <c:pt idx="34">
                  <c:v>0.20176068605118586</c:v>
                </c:pt>
                <c:pt idx="35">
                  <c:v>0.20098539461342635</c:v>
                </c:pt>
                <c:pt idx="36">
                  <c:v>0.20899906203939436</c:v>
                </c:pt>
                <c:pt idx="37">
                  <c:v>0.20838804770199659</c:v>
                </c:pt>
                <c:pt idx="38">
                  <c:v>0.20533940774487466</c:v>
                </c:pt>
                <c:pt idx="39">
                  <c:v>0.208137746214659</c:v>
                </c:pt>
                <c:pt idx="40">
                  <c:v>0.20940533297601502</c:v>
                </c:pt>
                <c:pt idx="41">
                  <c:v>0.21293313680825407</c:v>
                </c:pt>
                <c:pt idx="42">
                  <c:v>0.21219402385099828</c:v>
                </c:pt>
                <c:pt idx="43">
                  <c:v>0.21478574299879405</c:v>
                </c:pt>
                <c:pt idx="44">
                  <c:v>0.21490151413640626</c:v>
                </c:pt>
                <c:pt idx="45">
                  <c:v>0.21569127696636747</c:v>
                </c:pt>
                <c:pt idx="46">
                  <c:v>0.21896502746884625</c:v>
                </c:pt>
                <c:pt idx="47">
                  <c:v>0.21446603242663817</c:v>
                </c:pt>
                <c:pt idx="48">
                  <c:v>0.21705801956317833</c:v>
                </c:pt>
                <c:pt idx="49">
                  <c:v>0.22240385903792037</c:v>
                </c:pt>
                <c:pt idx="50">
                  <c:v>0.22546214658984326</c:v>
                </c:pt>
                <c:pt idx="51">
                  <c:v>0.22436446469248289</c:v>
                </c:pt>
                <c:pt idx="52">
                  <c:v>0.22024226182500334</c:v>
                </c:pt>
                <c:pt idx="53">
                  <c:v>0.22377488945464291</c:v>
                </c:pt>
                <c:pt idx="54">
                  <c:v>0.21892804502210905</c:v>
                </c:pt>
                <c:pt idx="55">
                  <c:v>0.22317030684711245</c:v>
                </c:pt>
                <c:pt idx="56">
                  <c:v>0.21840426102103716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5E-48EF-A96C-0927E7823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42616"/>
        <c:axId val="533343008"/>
      </c:lineChart>
      <c:catAx>
        <c:axId val="533342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3343008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5333430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Exergy efficiency %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533342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IEA steel UK GJ/tes - dont</a:t>
            </a:r>
            <a:r>
              <a:rPr lang="en-US" baseline="0"/>
              <a:t> use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'ISSB UK data'!$C$172</c:f>
              <c:strCache>
                <c:ptCount val="1"/>
                <c:pt idx="0">
                  <c:v>IEA data - GJ/tes</c:v>
                </c:pt>
              </c:strCache>
            </c:strRef>
          </c:tx>
          <c:marker>
            <c:symbol val="none"/>
          </c:marker>
          <c:cat>
            <c:numRef>
              <c:f>'ISSB UK data'!$D$166:$BC$166</c:f>
              <c:numCache>
                <c:formatCode>0</c:formatCode>
                <c:ptCount val="52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</c:numCache>
            </c:numRef>
          </c:cat>
          <c:val>
            <c:numRef>
              <c:f>'ISSB UK data'!$D$172:$BC$172</c:f>
              <c:numCache>
                <c:formatCode>0.0</c:formatCode>
                <c:ptCount val="52"/>
                <c:pt idx="0">
                  <c:v>18.673473031035599</c:v>
                </c:pt>
                <c:pt idx="1">
                  <c:v>17.121368542715533</c:v>
                </c:pt>
                <c:pt idx="2">
                  <c:v>17.622950961695921</c:v>
                </c:pt>
                <c:pt idx="3">
                  <c:v>17.291888513079591</c:v>
                </c:pt>
                <c:pt idx="4">
                  <c:v>16.474000669298164</c:v>
                </c:pt>
                <c:pt idx="5">
                  <c:v>17.181154306498996</c:v>
                </c:pt>
                <c:pt idx="6">
                  <c:v>17.341659840227475</c:v>
                </c:pt>
                <c:pt idx="7">
                  <c:v>17.138115424648817</c:v>
                </c:pt>
                <c:pt idx="8">
                  <c:v>17.036751659098844</c:v>
                </c:pt>
                <c:pt idx="9">
                  <c:v>16.782045162474759</c:v>
                </c:pt>
                <c:pt idx="10">
                  <c:v>15.93196481819157</c:v>
                </c:pt>
                <c:pt idx="11">
                  <c:v>17.645812797567949</c:v>
                </c:pt>
                <c:pt idx="12">
                  <c:v>15.697385107632329</c:v>
                </c:pt>
                <c:pt idx="13">
                  <c:v>15.1652432561797</c:v>
                </c:pt>
                <c:pt idx="14">
                  <c:v>13.96248861364016</c:v>
                </c:pt>
                <c:pt idx="15">
                  <c:v>15.642250919200071</c:v>
                </c:pt>
                <c:pt idx="16">
                  <c:v>13.691834335481436</c:v>
                </c:pt>
                <c:pt idx="17">
                  <c:v>14.27453512893196</c:v>
                </c:pt>
                <c:pt idx="18">
                  <c:v>13.89488204375391</c:v>
                </c:pt>
                <c:pt idx="19">
                  <c:v>14.420408087120771</c:v>
                </c:pt>
                <c:pt idx="20">
                  <c:v>17.862263008884117</c:v>
                </c:pt>
                <c:pt idx="21">
                  <c:v>17.067251290745162</c:v>
                </c:pt>
                <c:pt idx="22">
                  <c:v>17.759163772219139</c:v>
                </c:pt>
                <c:pt idx="23">
                  <c:v>15.547124059146959</c:v>
                </c:pt>
                <c:pt idx="24">
                  <c:v>15.320127240261888</c:v>
                </c:pt>
                <c:pt idx="25">
                  <c:v>15.522842150121804</c:v>
                </c:pt>
                <c:pt idx="26">
                  <c:v>14.387238030560273</c:v>
                </c:pt>
                <c:pt idx="27">
                  <c:v>12.644286510046689</c:v>
                </c:pt>
                <c:pt idx="28">
                  <c:v>11.760599683377309</c:v>
                </c:pt>
                <c:pt idx="29">
                  <c:v>11.333911280209607</c:v>
                </c:pt>
                <c:pt idx="30">
                  <c:v>11.60242546536851</c:v>
                </c:pt>
                <c:pt idx="31">
                  <c:v>11.731091147477295</c:v>
                </c:pt>
                <c:pt idx="32">
                  <c:v>10.252713130478229</c:v>
                </c:pt>
                <c:pt idx="33">
                  <c:v>10.700772465067038</c:v>
                </c:pt>
                <c:pt idx="34">
                  <c:v>11.136832776035819</c:v>
                </c:pt>
                <c:pt idx="35">
                  <c:v>10.593291826671816</c:v>
                </c:pt>
                <c:pt idx="36">
                  <c:v>9.9947575937355246</c:v>
                </c:pt>
                <c:pt idx="37">
                  <c:v>9.4460707548444649</c:v>
                </c:pt>
                <c:pt idx="38">
                  <c:v>8.9128295744874748</c:v>
                </c:pt>
                <c:pt idx="39">
                  <c:v>9.8351150541401466</c:v>
                </c:pt>
                <c:pt idx="40">
                  <c:v>9.6087517120200747</c:v>
                </c:pt>
                <c:pt idx="41">
                  <c:v>8.1246661645474276</c:v>
                </c:pt>
                <c:pt idx="42">
                  <c:v>8.6555788051422837</c:v>
                </c:pt>
                <c:pt idx="43">
                  <c:v>7.6427585330534935</c:v>
                </c:pt>
                <c:pt idx="44">
                  <c:v>7.3785917341597136</c:v>
                </c:pt>
                <c:pt idx="45">
                  <c:v>7.0240028437788142</c:v>
                </c:pt>
                <c:pt idx="46">
                  <c:v>7.6027831715210361</c:v>
                </c:pt>
                <c:pt idx="47">
                  <c:v>7.0604249583101728</c:v>
                </c:pt>
                <c:pt idx="48">
                  <c:v>7.6019480807632567</c:v>
                </c:pt>
                <c:pt idx="49">
                  <c:v>7.1310658064516135</c:v>
                </c:pt>
                <c:pt idx="50">
                  <c:v>7.2453893695920888</c:v>
                </c:pt>
                <c:pt idx="51">
                  <c:v>6.9176290356615322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85-41A6-A818-A2E718D30B2E}"/>
            </c:ext>
          </c:extLst>
        </c:ser>
        <c:ser>
          <c:idx val="1"/>
          <c:order val="1"/>
          <c:tx>
            <c:strRef>
              <c:f>'ISSB UK data'!$A$241</c:f>
              <c:strCache>
                <c:ptCount val="1"/>
                <c:pt idx="0">
                  <c:v>ISSB - Final spliced results </c:v>
                </c:pt>
              </c:strCache>
            </c:strRef>
          </c:tx>
          <c:marker>
            <c:symbol val="none"/>
          </c:marker>
          <c:val>
            <c:numRef>
              <c:f>'ISSB UK data'!$D$241:$BC$241</c:f>
              <c:numCache>
                <c:formatCode>0.0</c:formatCode>
                <c:ptCount val="52"/>
                <c:pt idx="0">
                  <c:v>47.326924324901896</c:v>
                </c:pt>
                <c:pt idx="1">
                  <c:v>44.61725243576479</c:v>
                </c:pt>
                <c:pt idx="2">
                  <c:v>44.532063923540377</c:v>
                </c:pt>
                <c:pt idx="3">
                  <c:v>41.336704108985451</c:v>
                </c:pt>
                <c:pt idx="4">
                  <c:v>39.169493392232901</c:v>
                </c:pt>
                <c:pt idx="5">
                  <c:v>37.534519055801709</c:v>
                </c:pt>
                <c:pt idx="6">
                  <c:v>37.111115391839817</c:v>
                </c:pt>
                <c:pt idx="7">
                  <c:v>36.729836809046937</c:v>
                </c:pt>
                <c:pt idx="8">
                  <c:v>36.34855822625407</c:v>
                </c:pt>
                <c:pt idx="9">
                  <c:v>35.96727964346119</c:v>
                </c:pt>
                <c:pt idx="10">
                  <c:v>35.586001060668316</c:v>
                </c:pt>
                <c:pt idx="11">
                  <c:v>35.228787051892446</c:v>
                </c:pt>
                <c:pt idx="12">
                  <c:v>31.65111738528492</c:v>
                </c:pt>
                <c:pt idx="13">
                  <c:v>31.7</c:v>
                </c:pt>
                <c:pt idx="14">
                  <c:v>31</c:v>
                </c:pt>
                <c:pt idx="15">
                  <c:v>33</c:v>
                </c:pt>
                <c:pt idx="16">
                  <c:v>33.5</c:v>
                </c:pt>
                <c:pt idx="17">
                  <c:v>31.2</c:v>
                </c:pt>
                <c:pt idx="18">
                  <c:v>29.2</c:v>
                </c:pt>
                <c:pt idx="19">
                  <c:v>30.2</c:v>
                </c:pt>
                <c:pt idx="20">
                  <c:v>27.8</c:v>
                </c:pt>
                <c:pt idx="21">
                  <c:v>26.3</c:v>
                </c:pt>
                <c:pt idx="22">
                  <c:v>25</c:v>
                </c:pt>
                <c:pt idx="23">
                  <c:v>24.5</c:v>
                </c:pt>
                <c:pt idx="24">
                  <c:v>23.7</c:v>
                </c:pt>
                <c:pt idx="25">
                  <c:v>24</c:v>
                </c:pt>
                <c:pt idx="26">
                  <c:v>22.5</c:v>
                </c:pt>
                <c:pt idx="27">
                  <c:v>22.6</c:v>
                </c:pt>
                <c:pt idx="28">
                  <c:v>21.4</c:v>
                </c:pt>
                <c:pt idx="29">
                  <c:v>22.4</c:v>
                </c:pt>
                <c:pt idx="30">
                  <c:v>21.6</c:v>
                </c:pt>
                <c:pt idx="31">
                  <c:v>22</c:v>
                </c:pt>
                <c:pt idx="32">
                  <c:v>21</c:v>
                </c:pt>
                <c:pt idx="33">
                  <c:v>20.3</c:v>
                </c:pt>
                <c:pt idx="34">
                  <c:v>20</c:v>
                </c:pt>
                <c:pt idx="35">
                  <c:v>19.8</c:v>
                </c:pt>
                <c:pt idx="36">
                  <c:v>19.5</c:v>
                </c:pt>
                <c:pt idx="37">
                  <c:v>19.399999999999999</c:v>
                </c:pt>
                <c:pt idx="38">
                  <c:v>20</c:v>
                </c:pt>
                <c:pt idx="39">
                  <c:v>20.2</c:v>
                </c:pt>
                <c:pt idx="40">
                  <c:v>19.8</c:v>
                </c:pt>
                <c:pt idx="41">
                  <c:v>20</c:v>
                </c:pt>
                <c:pt idx="42">
                  <c:v>19</c:v>
                </c:pt>
                <c:pt idx="43">
                  <c:v>20.5</c:v>
                </c:pt>
                <c:pt idx="44">
                  <c:v>19.3</c:v>
                </c:pt>
                <c:pt idx="45">
                  <c:v>19.8</c:v>
                </c:pt>
                <c:pt idx="46">
                  <c:v>19.399999999999999</c:v>
                </c:pt>
                <c:pt idx="47">
                  <c:v>18.600000000000001</c:v>
                </c:pt>
                <c:pt idx="48">
                  <c:v>18.7</c:v>
                </c:pt>
                <c:pt idx="49">
                  <c:v>19.2</c:v>
                </c:pt>
                <c:pt idx="50">
                  <c:v>19.399999999999999</c:v>
                </c:pt>
                <c:pt idx="5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85-41A6-A818-A2E718D30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43792"/>
        <c:axId val="536977432"/>
      </c:lineChart>
      <c:catAx>
        <c:axId val="53334379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536977432"/>
        <c:crosses val="autoZero"/>
        <c:auto val="1"/>
        <c:lblAlgn val="ctr"/>
        <c:lblOffset val="100"/>
        <c:noMultiLvlLbl val="0"/>
      </c:catAx>
      <c:valAx>
        <c:axId val="536977432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533343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UK steel FINAL energy efficiency GJ/tes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'ISSB UK data'!$D$238:$BG$238</c:f>
              <c:numCache>
                <c:formatCode>General</c:formatCode>
                <c:ptCount val="56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</c:numCache>
            </c:numRef>
          </c:cat>
          <c:val>
            <c:numRef>
              <c:f>'ISSB UK data'!$D$240:$BG$240</c:f>
              <c:numCache>
                <c:formatCode>General</c:formatCode>
                <c:ptCount val="56"/>
                <c:pt idx="13" formatCode="0.0">
                  <c:v>31.7</c:v>
                </c:pt>
                <c:pt idx="14" formatCode="0.0">
                  <c:v>31</c:v>
                </c:pt>
                <c:pt idx="15" formatCode="0.0">
                  <c:v>33</c:v>
                </c:pt>
                <c:pt idx="16" formatCode="0.0">
                  <c:v>33.5</c:v>
                </c:pt>
                <c:pt idx="17" formatCode="0.0">
                  <c:v>31.2</c:v>
                </c:pt>
                <c:pt idx="18" formatCode="0.0">
                  <c:v>29.2</c:v>
                </c:pt>
                <c:pt idx="19" formatCode="0.0">
                  <c:v>30.2</c:v>
                </c:pt>
                <c:pt idx="20" formatCode="0.0">
                  <c:v>27.8</c:v>
                </c:pt>
                <c:pt idx="21" formatCode="0.0">
                  <c:v>26.3</c:v>
                </c:pt>
                <c:pt idx="22" formatCode="0.0">
                  <c:v>25</c:v>
                </c:pt>
                <c:pt idx="23" formatCode="0.0">
                  <c:v>24.5</c:v>
                </c:pt>
                <c:pt idx="24" formatCode="0.0">
                  <c:v>23.7</c:v>
                </c:pt>
                <c:pt idx="25" formatCode="0.0">
                  <c:v>24</c:v>
                </c:pt>
                <c:pt idx="26" formatCode="0.0">
                  <c:v>22.5</c:v>
                </c:pt>
                <c:pt idx="27" formatCode="0.0">
                  <c:v>22.6</c:v>
                </c:pt>
                <c:pt idx="28" formatCode="0.0">
                  <c:v>21.4</c:v>
                </c:pt>
                <c:pt idx="29" formatCode="0.0">
                  <c:v>22.4</c:v>
                </c:pt>
                <c:pt idx="30" formatCode="0.0">
                  <c:v>21.6</c:v>
                </c:pt>
                <c:pt idx="31" formatCode="0.0">
                  <c:v>22</c:v>
                </c:pt>
                <c:pt idx="32" formatCode="0.0">
                  <c:v>21</c:v>
                </c:pt>
                <c:pt idx="33" formatCode="0.0">
                  <c:v>20.3</c:v>
                </c:pt>
                <c:pt idx="34" formatCode="0.0">
                  <c:v>20</c:v>
                </c:pt>
                <c:pt idx="35" formatCode="0.0">
                  <c:v>19.8</c:v>
                </c:pt>
                <c:pt idx="36" formatCode="0.0">
                  <c:v>19.5</c:v>
                </c:pt>
                <c:pt idx="37" formatCode="0.0">
                  <c:v>19.399999999999999</c:v>
                </c:pt>
                <c:pt idx="38" formatCode="0.0">
                  <c:v>20</c:v>
                </c:pt>
                <c:pt idx="39" formatCode="0.0">
                  <c:v>20.2</c:v>
                </c:pt>
                <c:pt idx="40" formatCode="0.0">
                  <c:v>19.8</c:v>
                </c:pt>
                <c:pt idx="41" formatCode="0.0">
                  <c:v>20</c:v>
                </c:pt>
                <c:pt idx="42" formatCode="0.0">
                  <c:v>19</c:v>
                </c:pt>
                <c:pt idx="43" formatCode="0.0">
                  <c:v>20.5</c:v>
                </c:pt>
                <c:pt idx="44" formatCode="0.0">
                  <c:v>19.3</c:v>
                </c:pt>
                <c:pt idx="45" formatCode="0.0">
                  <c:v>19.8</c:v>
                </c:pt>
                <c:pt idx="46" formatCode="0.0">
                  <c:v>19.399999999999999</c:v>
                </c:pt>
                <c:pt idx="47" formatCode="0.0">
                  <c:v>18.600000000000001</c:v>
                </c:pt>
                <c:pt idx="48" formatCode="0.0">
                  <c:v>18.7</c:v>
                </c:pt>
                <c:pt idx="49" formatCode="0.0">
                  <c:v>19.2</c:v>
                </c:pt>
                <c:pt idx="50" formatCode="0.0">
                  <c:v>19.399999999999999</c:v>
                </c:pt>
                <c:pt idx="51" formatCode="0.0">
                  <c:v>19</c:v>
                </c:pt>
                <c:pt idx="52" formatCode="0.0">
                  <c:v>19.600000000000001</c:v>
                </c:pt>
                <c:pt idx="53" formatCode="0.0">
                  <c:v>19</c:v>
                </c:pt>
                <c:pt idx="54" formatCode="0.0">
                  <c:v>18.5</c:v>
                </c:pt>
                <c:pt idx="55" formatCode="0.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F4-45F2-9895-3665629E896F}"/>
            </c:ext>
          </c:extLst>
        </c:ser>
        <c:ser>
          <c:idx val="2"/>
          <c:order val="1"/>
          <c:marker>
            <c:symbol val="none"/>
          </c:marker>
          <c:cat>
            <c:numRef>
              <c:f>'ISSB UK data'!$D$238:$BG$238</c:f>
              <c:numCache>
                <c:formatCode>General</c:formatCode>
                <c:ptCount val="56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</c:numCache>
            </c:numRef>
          </c:cat>
          <c:val>
            <c:numRef>
              <c:f>'ISSB UK data'!$D$241:$BG$241</c:f>
              <c:numCache>
                <c:formatCode>0.0</c:formatCode>
                <c:ptCount val="56"/>
                <c:pt idx="0">
                  <c:v>47.326924324901896</c:v>
                </c:pt>
                <c:pt idx="1">
                  <c:v>44.61725243576479</c:v>
                </c:pt>
                <c:pt idx="2">
                  <c:v>44.532063923540377</c:v>
                </c:pt>
                <c:pt idx="3">
                  <c:v>41.336704108985451</c:v>
                </c:pt>
                <c:pt idx="4">
                  <c:v>39.169493392232901</c:v>
                </c:pt>
                <c:pt idx="5">
                  <c:v>37.534519055801709</c:v>
                </c:pt>
                <c:pt idx="6">
                  <c:v>37.111115391839817</c:v>
                </c:pt>
                <c:pt idx="7">
                  <c:v>36.729836809046937</c:v>
                </c:pt>
                <c:pt idx="8">
                  <c:v>36.34855822625407</c:v>
                </c:pt>
                <c:pt idx="9">
                  <c:v>35.96727964346119</c:v>
                </c:pt>
                <c:pt idx="10">
                  <c:v>35.586001060668316</c:v>
                </c:pt>
                <c:pt idx="11">
                  <c:v>35.228787051892446</c:v>
                </c:pt>
                <c:pt idx="12">
                  <c:v>31.65111738528492</c:v>
                </c:pt>
                <c:pt idx="13">
                  <c:v>31.7</c:v>
                </c:pt>
                <c:pt idx="14">
                  <c:v>31</c:v>
                </c:pt>
                <c:pt idx="15">
                  <c:v>33</c:v>
                </c:pt>
                <c:pt idx="16">
                  <c:v>33.5</c:v>
                </c:pt>
                <c:pt idx="17">
                  <c:v>31.2</c:v>
                </c:pt>
                <c:pt idx="18">
                  <c:v>29.2</c:v>
                </c:pt>
                <c:pt idx="19">
                  <c:v>30.2</c:v>
                </c:pt>
                <c:pt idx="20">
                  <c:v>27.8</c:v>
                </c:pt>
                <c:pt idx="21">
                  <c:v>26.3</c:v>
                </c:pt>
                <c:pt idx="22">
                  <c:v>25</c:v>
                </c:pt>
                <c:pt idx="23">
                  <c:v>24.5</c:v>
                </c:pt>
                <c:pt idx="24">
                  <c:v>23.7</c:v>
                </c:pt>
                <c:pt idx="25">
                  <c:v>24</c:v>
                </c:pt>
                <c:pt idx="26">
                  <c:v>22.5</c:v>
                </c:pt>
                <c:pt idx="27">
                  <c:v>22.6</c:v>
                </c:pt>
                <c:pt idx="28">
                  <c:v>21.4</c:v>
                </c:pt>
                <c:pt idx="29">
                  <c:v>22.4</c:v>
                </c:pt>
                <c:pt idx="30">
                  <c:v>21.6</c:v>
                </c:pt>
                <c:pt idx="31">
                  <c:v>22</c:v>
                </c:pt>
                <c:pt idx="32">
                  <c:v>21</c:v>
                </c:pt>
                <c:pt idx="33">
                  <c:v>20.3</c:v>
                </c:pt>
                <c:pt idx="34">
                  <c:v>20</c:v>
                </c:pt>
                <c:pt idx="35">
                  <c:v>19.8</c:v>
                </c:pt>
                <c:pt idx="36">
                  <c:v>19.5</c:v>
                </c:pt>
                <c:pt idx="37">
                  <c:v>19.399999999999999</c:v>
                </c:pt>
                <c:pt idx="38">
                  <c:v>20</c:v>
                </c:pt>
                <c:pt idx="39">
                  <c:v>20.2</c:v>
                </c:pt>
                <c:pt idx="40">
                  <c:v>19.8</c:v>
                </c:pt>
                <c:pt idx="41">
                  <c:v>20</c:v>
                </c:pt>
                <c:pt idx="42">
                  <c:v>19</c:v>
                </c:pt>
                <c:pt idx="43">
                  <c:v>20.5</c:v>
                </c:pt>
                <c:pt idx="44">
                  <c:v>19.3</c:v>
                </c:pt>
                <c:pt idx="45">
                  <c:v>19.8</c:v>
                </c:pt>
                <c:pt idx="46">
                  <c:v>19.399999999999999</c:v>
                </c:pt>
                <c:pt idx="47">
                  <c:v>18.600000000000001</c:v>
                </c:pt>
                <c:pt idx="48">
                  <c:v>18.7</c:v>
                </c:pt>
                <c:pt idx="49">
                  <c:v>19.2</c:v>
                </c:pt>
                <c:pt idx="50">
                  <c:v>19.399999999999999</c:v>
                </c:pt>
                <c:pt idx="51">
                  <c:v>19</c:v>
                </c:pt>
                <c:pt idx="52">
                  <c:v>19.600000000000001</c:v>
                </c:pt>
                <c:pt idx="53">
                  <c:v>19</c:v>
                </c:pt>
                <c:pt idx="54">
                  <c:v>18.5</c:v>
                </c:pt>
                <c:pt idx="5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F4-45F2-9895-3665629E8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978216"/>
        <c:axId val="536978608"/>
      </c:lineChart>
      <c:catAx>
        <c:axId val="536978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978608"/>
        <c:crosses val="autoZero"/>
        <c:auto val="1"/>
        <c:lblAlgn val="ctr"/>
        <c:lblOffset val="100"/>
        <c:tickLblSkip val="10"/>
        <c:tickMarkSkip val="5"/>
        <c:noMultiLvlLbl val="0"/>
      </c:catAx>
      <c:valAx>
        <c:axId val="536978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Energy consumption GJ/tes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536978216"/>
        <c:crosses val="autoZero"/>
        <c:crossBetween val="midCat"/>
        <c:majorUnit val="10"/>
      </c:valAx>
    </c:plotArea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comparison of weighted vs simple</a:t>
            </a:r>
            <a:r>
              <a:rPr lang="en-GB" baseline="0"/>
              <a:t> average 1st law efficiency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'ISSB UK data'!$C$35</c:f>
              <c:strCache>
                <c:ptCount val="1"/>
                <c:pt idx="0">
                  <c:v>HTH - simple average 1st law (final energy) efficiency</c:v>
                </c:pt>
              </c:strCache>
            </c:strRef>
          </c:tx>
          <c:marker>
            <c:symbol val="none"/>
          </c:marker>
          <c:cat>
            <c:numRef>
              <c:f>'ISSB UK data'!$D$32:$BC$32</c:f>
              <c:numCache>
                <c:formatCode>General</c:formatCode>
                <c:ptCount val="52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</c:numCache>
            </c:numRef>
          </c:cat>
          <c:val>
            <c:numRef>
              <c:f>'ISSB UK data'!$D$35:$BC$35</c:f>
              <c:numCache>
                <c:formatCode>0.0%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6-4009-B3A4-C94B61050CCB}"/>
            </c:ext>
          </c:extLst>
        </c:ser>
        <c:ser>
          <c:idx val="1"/>
          <c:order val="1"/>
          <c:tx>
            <c:strRef>
              <c:f>'ISSB UK data'!$C$36</c:f>
              <c:strCache>
                <c:ptCount val="1"/>
                <c:pt idx="0">
                  <c:v>HTH - weighted average 1st law (final energy) efficiency</c:v>
                </c:pt>
              </c:strCache>
            </c:strRef>
          </c:tx>
          <c:marker>
            <c:symbol val="none"/>
          </c:marker>
          <c:cat>
            <c:numRef>
              <c:f>'ISSB UK data'!$D$32:$BC$32</c:f>
              <c:numCache>
                <c:formatCode>General</c:formatCode>
                <c:ptCount val="52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</c:numCache>
            </c:numRef>
          </c:cat>
          <c:val>
            <c:numRef>
              <c:f>'ISSB UK data'!$D$36:$BC$36</c:f>
              <c:numCache>
                <c:formatCode>0.0%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6-4009-B3A4-C94B61050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980568"/>
        <c:axId val="536980960"/>
      </c:lineChart>
      <c:catAx>
        <c:axId val="536980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980960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536980960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53698056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UK High</a:t>
            </a:r>
            <a:r>
              <a:rPr lang="en-GB" baseline="0"/>
              <a:t> Temp heat (HTH) by sector 1960-2010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'ISSB UK data'!$A$56:$B$56</c:f>
              <c:strCache>
                <c:ptCount val="2"/>
                <c:pt idx="0">
                  <c:v>Iron and steel</c:v>
                </c:pt>
                <c:pt idx="1">
                  <c:v>100% HTH</c:v>
                </c:pt>
              </c:strCache>
            </c:strRef>
          </c:tx>
          <c:marker>
            <c:symbol val="none"/>
          </c:marker>
          <c:cat>
            <c:numRef>
              <c:f>'ISSB UK data'!$D$55:$BB$55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'ISSB UK data'!$D$56:$BB$56</c:f>
              <c:numCache>
                <c:formatCode>#,##0</c:formatCode>
                <c:ptCount val="51"/>
                <c:pt idx="0">
                  <c:v>8295</c:v>
                </c:pt>
                <c:pt idx="1">
                  <c:v>7566</c:v>
                </c:pt>
                <c:pt idx="2">
                  <c:v>7172</c:v>
                </c:pt>
                <c:pt idx="3">
                  <c:v>7783</c:v>
                </c:pt>
                <c:pt idx="4">
                  <c:v>8750</c:v>
                </c:pt>
                <c:pt idx="5">
                  <c:v>9475</c:v>
                </c:pt>
                <c:pt idx="6">
                  <c:v>8733</c:v>
                </c:pt>
                <c:pt idx="7">
                  <c:v>8499</c:v>
                </c:pt>
                <c:pt idx="8">
                  <c:v>9142</c:v>
                </c:pt>
                <c:pt idx="9">
                  <c:v>9310</c:v>
                </c:pt>
                <c:pt idx="10">
                  <c:v>9459</c:v>
                </c:pt>
                <c:pt idx="11">
                  <c:v>8990</c:v>
                </c:pt>
                <c:pt idx="12">
                  <c:v>8334</c:v>
                </c:pt>
                <c:pt idx="13">
                  <c:v>8418</c:v>
                </c:pt>
                <c:pt idx="14">
                  <c:v>6344</c:v>
                </c:pt>
                <c:pt idx="15">
                  <c:v>6497</c:v>
                </c:pt>
                <c:pt idx="16">
                  <c:v>6144</c:v>
                </c:pt>
                <c:pt idx="17">
                  <c:v>5846</c:v>
                </c:pt>
                <c:pt idx="18">
                  <c:v>5499</c:v>
                </c:pt>
                <c:pt idx="19">
                  <c:v>6124</c:v>
                </c:pt>
                <c:pt idx="20">
                  <c:v>3942</c:v>
                </c:pt>
                <c:pt idx="21">
                  <c:v>5386</c:v>
                </c:pt>
                <c:pt idx="22">
                  <c:v>4921</c:v>
                </c:pt>
                <c:pt idx="23">
                  <c:v>4703</c:v>
                </c:pt>
                <c:pt idx="24">
                  <c:v>4748</c:v>
                </c:pt>
                <c:pt idx="25">
                  <c:v>5056</c:v>
                </c:pt>
                <c:pt idx="26">
                  <c:v>4320</c:v>
                </c:pt>
                <c:pt idx="27">
                  <c:v>4465</c:v>
                </c:pt>
                <c:pt idx="28">
                  <c:v>4480</c:v>
                </c:pt>
                <c:pt idx="29">
                  <c:v>4217</c:v>
                </c:pt>
                <c:pt idx="30">
                  <c:v>4164</c:v>
                </c:pt>
                <c:pt idx="31">
                  <c:v>3845</c:v>
                </c:pt>
                <c:pt idx="32">
                  <c:v>3199</c:v>
                </c:pt>
                <c:pt idx="33">
                  <c:v>3404</c:v>
                </c:pt>
                <c:pt idx="34">
                  <c:v>3733</c:v>
                </c:pt>
                <c:pt idx="35">
                  <c:v>3587</c:v>
                </c:pt>
                <c:pt idx="36">
                  <c:v>3417</c:v>
                </c:pt>
                <c:pt idx="37">
                  <c:v>3312</c:v>
                </c:pt>
                <c:pt idx="38">
                  <c:v>2831</c:v>
                </c:pt>
                <c:pt idx="39">
                  <c:v>2974</c:v>
                </c:pt>
                <c:pt idx="40">
                  <c:v>2862</c:v>
                </c:pt>
                <c:pt idx="41">
                  <c:v>2172</c:v>
                </c:pt>
                <c:pt idx="42">
                  <c:v>1971</c:v>
                </c:pt>
                <c:pt idx="43">
                  <c:v>1953</c:v>
                </c:pt>
                <c:pt idx="44">
                  <c:v>1959</c:v>
                </c:pt>
                <c:pt idx="45">
                  <c:v>1790</c:v>
                </c:pt>
                <c:pt idx="46">
                  <c:v>2023</c:v>
                </c:pt>
                <c:pt idx="47">
                  <c:v>2004</c:v>
                </c:pt>
                <c:pt idx="48">
                  <c:v>2055</c:v>
                </c:pt>
                <c:pt idx="49">
                  <c:v>1406</c:v>
                </c:pt>
                <c:pt idx="50">
                  <c:v>1351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10-478E-B2E9-E1684FD81A0E}"/>
            </c:ext>
          </c:extLst>
        </c:ser>
        <c:ser>
          <c:idx val="1"/>
          <c:order val="1"/>
          <c:tx>
            <c:strRef>
              <c:f>'ISSB UK data'!$A$57:$B$57</c:f>
              <c:strCache>
                <c:ptCount val="2"/>
                <c:pt idx="0">
                  <c:v>Chemical and petrochemical</c:v>
                </c:pt>
                <c:pt idx="1">
                  <c:v>50% HTH</c:v>
                </c:pt>
              </c:strCache>
            </c:strRef>
          </c:tx>
          <c:marker>
            <c:symbol val="none"/>
          </c:marker>
          <c:cat>
            <c:numRef>
              <c:f>'ISSB UK data'!$D$55:$BB$55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'ISSB UK data'!$D$57:$BB$57</c:f>
              <c:numCache>
                <c:formatCode>#,##0</c:formatCode>
                <c:ptCount val="51"/>
                <c:pt idx="0">
                  <c:v>1956</c:v>
                </c:pt>
                <c:pt idx="1">
                  <c:v>1189</c:v>
                </c:pt>
                <c:pt idx="2">
                  <c:v>1192.75</c:v>
                </c:pt>
                <c:pt idx="3">
                  <c:v>1210.5</c:v>
                </c:pt>
                <c:pt idx="4">
                  <c:v>1218.5</c:v>
                </c:pt>
                <c:pt idx="5">
                  <c:v>1257.5</c:v>
                </c:pt>
                <c:pt idx="6">
                  <c:v>1237</c:v>
                </c:pt>
                <c:pt idx="7">
                  <c:v>1268.25</c:v>
                </c:pt>
                <c:pt idx="8">
                  <c:v>1254.5</c:v>
                </c:pt>
                <c:pt idx="9">
                  <c:v>1199.25</c:v>
                </c:pt>
                <c:pt idx="10">
                  <c:v>1308.75</c:v>
                </c:pt>
                <c:pt idx="11">
                  <c:v>1562</c:v>
                </c:pt>
                <c:pt idx="12">
                  <c:v>1469</c:v>
                </c:pt>
                <c:pt idx="13">
                  <c:v>1665.5</c:v>
                </c:pt>
                <c:pt idx="14">
                  <c:v>1653.25</c:v>
                </c:pt>
                <c:pt idx="15">
                  <c:v>1800.75</c:v>
                </c:pt>
                <c:pt idx="16">
                  <c:v>1696</c:v>
                </c:pt>
                <c:pt idx="17">
                  <c:v>1791.25</c:v>
                </c:pt>
                <c:pt idx="18">
                  <c:v>1763.25</c:v>
                </c:pt>
                <c:pt idx="19">
                  <c:v>1809.75</c:v>
                </c:pt>
                <c:pt idx="20">
                  <c:v>1684.25</c:v>
                </c:pt>
                <c:pt idx="21">
                  <c:v>1649.75</c:v>
                </c:pt>
                <c:pt idx="22">
                  <c:v>1719.25</c:v>
                </c:pt>
                <c:pt idx="23">
                  <c:v>1613.25</c:v>
                </c:pt>
                <c:pt idx="24">
                  <c:v>1551.5</c:v>
                </c:pt>
                <c:pt idx="25">
                  <c:v>1439.5</c:v>
                </c:pt>
                <c:pt idx="26">
                  <c:v>1220.25</c:v>
                </c:pt>
                <c:pt idx="27">
                  <c:v>1406.5</c:v>
                </c:pt>
                <c:pt idx="28">
                  <c:v>1361.75</c:v>
                </c:pt>
                <c:pt idx="29">
                  <c:v>942.5</c:v>
                </c:pt>
                <c:pt idx="30">
                  <c:v>865.75</c:v>
                </c:pt>
                <c:pt idx="31">
                  <c:v>1054.5</c:v>
                </c:pt>
                <c:pt idx="32">
                  <c:v>930.5</c:v>
                </c:pt>
                <c:pt idx="33">
                  <c:v>997.75</c:v>
                </c:pt>
                <c:pt idx="34">
                  <c:v>1193.75</c:v>
                </c:pt>
                <c:pt idx="35">
                  <c:v>999.75</c:v>
                </c:pt>
                <c:pt idx="36">
                  <c:v>968.5</c:v>
                </c:pt>
                <c:pt idx="37">
                  <c:v>1118.5</c:v>
                </c:pt>
                <c:pt idx="38">
                  <c:v>1074.75</c:v>
                </c:pt>
                <c:pt idx="39">
                  <c:v>984.25</c:v>
                </c:pt>
                <c:pt idx="40">
                  <c:v>924.5</c:v>
                </c:pt>
                <c:pt idx="41">
                  <c:v>997.25</c:v>
                </c:pt>
                <c:pt idx="42">
                  <c:v>886.75</c:v>
                </c:pt>
                <c:pt idx="43">
                  <c:v>900.75</c:v>
                </c:pt>
                <c:pt idx="44">
                  <c:v>853.5</c:v>
                </c:pt>
                <c:pt idx="45">
                  <c:v>738.25</c:v>
                </c:pt>
                <c:pt idx="46">
                  <c:v>702</c:v>
                </c:pt>
                <c:pt idx="47">
                  <c:v>620.25</c:v>
                </c:pt>
                <c:pt idx="48">
                  <c:v>600.25</c:v>
                </c:pt>
                <c:pt idx="49">
                  <c:v>505.25</c:v>
                </c:pt>
                <c:pt idx="50">
                  <c:v>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10-478E-B2E9-E1684FD81A0E}"/>
            </c:ext>
          </c:extLst>
        </c:ser>
        <c:ser>
          <c:idx val="2"/>
          <c:order val="2"/>
          <c:tx>
            <c:strRef>
              <c:f>'ISSB UK data'!$A$58:$B$58</c:f>
              <c:strCache>
                <c:ptCount val="2"/>
                <c:pt idx="0">
                  <c:v>Non-ferrous metals</c:v>
                </c:pt>
                <c:pt idx="1">
                  <c:v>50% HTH</c:v>
                </c:pt>
              </c:strCache>
            </c:strRef>
          </c:tx>
          <c:marker>
            <c:symbol val="none"/>
          </c:marker>
          <c:cat>
            <c:numRef>
              <c:f>'ISSB UK data'!$D$55:$BB$55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'ISSB UK data'!$D$58:$BB$58</c:f>
              <c:numCache>
                <c:formatCode>#,##0</c:formatCode>
                <c:ptCount val="51"/>
                <c:pt idx="0">
                  <c:v>189</c:v>
                </c:pt>
                <c:pt idx="1">
                  <c:v>189.5</c:v>
                </c:pt>
                <c:pt idx="2">
                  <c:v>182.5</c:v>
                </c:pt>
                <c:pt idx="3">
                  <c:v>181.5</c:v>
                </c:pt>
                <c:pt idx="4">
                  <c:v>178.5</c:v>
                </c:pt>
                <c:pt idx="5">
                  <c:v>178</c:v>
                </c:pt>
                <c:pt idx="6">
                  <c:v>183</c:v>
                </c:pt>
                <c:pt idx="7">
                  <c:v>186.5</c:v>
                </c:pt>
                <c:pt idx="8">
                  <c:v>309.5</c:v>
                </c:pt>
                <c:pt idx="9">
                  <c:v>376</c:v>
                </c:pt>
                <c:pt idx="10">
                  <c:v>609.5</c:v>
                </c:pt>
                <c:pt idx="11">
                  <c:v>654</c:v>
                </c:pt>
                <c:pt idx="12">
                  <c:v>413</c:v>
                </c:pt>
                <c:pt idx="13">
                  <c:v>640.5</c:v>
                </c:pt>
                <c:pt idx="14">
                  <c:v>626.5</c:v>
                </c:pt>
                <c:pt idx="15">
                  <c:v>620.5</c:v>
                </c:pt>
                <c:pt idx="16">
                  <c:v>645.5</c:v>
                </c:pt>
                <c:pt idx="17">
                  <c:v>656</c:v>
                </c:pt>
                <c:pt idx="18">
                  <c:v>369</c:v>
                </c:pt>
                <c:pt idx="19">
                  <c:v>360</c:v>
                </c:pt>
                <c:pt idx="20">
                  <c:v>321</c:v>
                </c:pt>
                <c:pt idx="21">
                  <c:v>295</c:v>
                </c:pt>
                <c:pt idx="22">
                  <c:v>279.5</c:v>
                </c:pt>
                <c:pt idx="23">
                  <c:v>305.5</c:v>
                </c:pt>
                <c:pt idx="24">
                  <c:v>321</c:v>
                </c:pt>
                <c:pt idx="25">
                  <c:v>356</c:v>
                </c:pt>
                <c:pt idx="26">
                  <c:v>315.5</c:v>
                </c:pt>
                <c:pt idx="27">
                  <c:v>267</c:v>
                </c:pt>
                <c:pt idx="28">
                  <c:v>315</c:v>
                </c:pt>
                <c:pt idx="29">
                  <c:v>360</c:v>
                </c:pt>
                <c:pt idx="30">
                  <c:v>284</c:v>
                </c:pt>
                <c:pt idx="31">
                  <c:v>321</c:v>
                </c:pt>
                <c:pt idx="32">
                  <c:v>320</c:v>
                </c:pt>
                <c:pt idx="33">
                  <c:v>335.5</c:v>
                </c:pt>
                <c:pt idx="34">
                  <c:v>399.5</c:v>
                </c:pt>
                <c:pt idx="35">
                  <c:v>370.5</c:v>
                </c:pt>
                <c:pt idx="36">
                  <c:v>368.5</c:v>
                </c:pt>
                <c:pt idx="37">
                  <c:v>305</c:v>
                </c:pt>
                <c:pt idx="38">
                  <c:v>336</c:v>
                </c:pt>
                <c:pt idx="39">
                  <c:v>384</c:v>
                </c:pt>
                <c:pt idx="40">
                  <c:v>276.5</c:v>
                </c:pt>
                <c:pt idx="41">
                  <c:v>284</c:v>
                </c:pt>
                <c:pt idx="42">
                  <c:v>248.5</c:v>
                </c:pt>
                <c:pt idx="43">
                  <c:v>209.5</c:v>
                </c:pt>
                <c:pt idx="44">
                  <c:v>139</c:v>
                </c:pt>
                <c:pt idx="45">
                  <c:v>146.5</c:v>
                </c:pt>
                <c:pt idx="46">
                  <c:v>153</c:v>
                </c:pt>
                <c:pt idx="47">
                  <c:v>134.5</c:v>
                </c:pt>
                <c:pt idx="48">
                  <c:v>113</c:v>
                </c:pt>
                <c:pt idx="49">
                  <c:v>88.5</c:v>
                </c:pt>
                <c:pt idx="50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10-478E-B2E9-E1684FD81A0E}"/>
            </c:ext>
          </c:extLst>
        </c:ser>
        <c:ser>
          <c:idx val="3"/>
          <c:order val="3"/>
          <c:tx>
            <c:strRef>
              <c:f>'ISSB UK data'!$A$59:$B$59</c:f>
              <c:strCache>
                <c:ptCount val="2"/>
                <c:pt idx="0">
                  <c:v>Non-metallic minerals</c:v>
                </c:pt>
                <c:pt idx="1">
                  <c:v>50% HTH</c:v>
                </c:pt>
              </c:strCache>
            </c:strRef>
          </c:tx>
          <c:marker>
            <c:symbol val="none"/>
          </c:marker>
          <c:cat>
            <c:numRef>
              <c:f>'ISSB UK data'!$D$55:$BB$55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'ISSB UK data'!$D$59:$BB$59</c:f>
              <c:numCache>
                <c:formatCode>#,##0</c:formatCode>
                <c:ptCount val="51"/>
                <c:pt idx="0">
                  <c:v>734.5</c:v>
                </c:pt>
                <c:pt idx="1">
                  <c:v>920.5</c:v>
                </c:pt>
                <c:pt idx="2">
                  <c:v>1143</c:v>
                </c:pt>
                <c:pt idx="3">
                  <c:v>1144.5</c:v>
                </c:pt>
                <c:pt idx="4">
                  <c:v>1232</c:v>
                </c:pt>
                <c:pt idx="5">
                  <c:v>1309</c:v>
                </c:pt>
                <c:pt idx="6">
                  <c:v>1344.5</c:v>
                </c:pt>
                <c:pt idx="7">
                  <c:v>2755.5</c:v>
                </c:pt>
                <c:pt idx="8">
                  <c:v>2751</c:v>
                </c:pt>
                <c:pt idx="9">
                  <c:v>2718</c:v>
                </c:pt>
                <c:pt idx="10">
                  <c:v>3029.5</c:v>
                </c:pt>
                <c:pt idx="11">
                  <c:v>2696.5</c:v>
                </c:pt>
                <c:pt idx="12">
                  <c:v>2404</c:v>
                </c:pt>
                <c:pt idx="13">
                  <c:v>2539.5</c:v>
                </c:pt>
                <c:pt idx="14">
                  <c:v>2366.5</c:v>
                </c:pt>
                <c:pt idx="15">
                  <c:v>2136</c:v>
                </c:pt>
                <c:pt idx="16">
                  <c:v>2013.5</c:v>
                </c:pt>
                <c:pt idx="17">
                  <c:v>2002.5</c:v>
                </c:pt>
                <c:pt idx="18">
                  <c:v>1985</c:v>
                </c:pt>
                <c:pt idx="19">
                  <c:v>2000</c:v>
                </c:pt>
                <c:pt idx="20">
                  <c:v>1760.5</c:v>
                </c:pt>
                <c:pt idx="21">
                  <c:v>1477</c:v>
                </c:pt>
                <c:pt idx="22">
                  <c:v>1533.5</c:v>
                </c:pt>
                <c:pt idx="23">
                  <c:v>1429.5</c:v>
                </c:pt>
                <c:pt idx="24">
                  <c:v>1353.5</c:v>
                </c:pt>
                <c:pt idx="25">
                  <c:v>1397.5</c:v>
                </c:pt>
                <c:pt idx="26">
                  <c:v>1404</c:v>
                </c:pt>
                <c:pt idx="27">
                  <c:v>1383</c:v>
                </c:pt>
                <c:pt idx="28">
                  <c:v>1499.5</c:v>
                </c:pt>
                <c:pt idx="29">
                  <c:v>1472.5</c:v>
                </c:pt>
                <c:pt idx="30">
                  <c:v>1350</c:v>
                </c:pt>
                <c:pt idx="31">
                  <c:v>1188</c:v>
                </c:pt>
                <c:pt idx="32">
                  <c:v>1060.5</c:v>
                </c:pt>
                <c:pt idx="33">
                  <c:v>1009.5</c:v>
                </c:pt>
                <c:pt idx="34">
                  <c:v>1056.5</c:v>
                </c:pt>
                <c:pt idx="35">
                  <c:v>957.5</c:v>
                </c:pt>
                <c:pt idx="36">
                  <c:v>930.5</c:v>
                </c:pt>
                <c:pt idx="37">
                  <c:v>902</c:v>
                </c:pt>
                <c:pt idx="38">
                  <c:v>835.5</c:v>
                </c:pt>
                <c:pt idx="39">
                  <c:v>778.5</c:v>
                </c:pt>
                <c:pt idx="40">
                  <c:v>937</c:v>
                </c:pt>
                <c:pt idx="41">
                  <c:v>999</c:v>
                </c:pt>
                <c:pt idx="42">
                  <c:v>959</c:v>
                </c:pt>
                <c:pt idx="43">
                  <c:v>957</c:v>
                </c:pt>
                <c:pt idx="44">
                  <c:v>883.5</c:v>
                </c:pt>
                <c:pt idx="45">
                  <c:v>1062</c:v>
                </c:pt>
                <c:pt idx="46">
                  <c:v>1019</c:v>
                </c:pt>
                <c:pt idx="47">
                  <c:v>1038</c:v>
                </c:pt>
                <c:pt idx="48">
                  <c:v>1037</c:v>
                </c:pt>
                <c:pt idx="49">
                  <c:v>890.5</c:v>
                </c:pt>
                <c:pt idx="50">
                  <c:v>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10-478E-B2E9-E1684FD81A0E}"/>
            </c:ext>
          </c:extLst>
        </c:ser>
        <c:ser>
          <c:idx val="4"/>
          <c:order val="4"/>
          <c:tx>
            <c:strRef>
              <c:f>'ISSB UK data'!$A$60:$B$60</c:f>
              <c:strCache>
                <c:ptCount val="2"/>
                <c:pt idx="0">
                  <c:v>Transport equipment</c:v>
                </c:pt>
                <c:pt idx="1">
                  <c:v>50% HTH</c:v>
                </c:pt>
              </c:strCache>
            </c:strRef>
          </c:tx>
          <c:marker>
            <c:symbol val="none"/>
          </c:marker>
          <c:cat>
            <c:numRef>
              <c:f>'ISSB UK data'!$D$55:$BB$55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'ISSB UK data'!$D$60:$BB$60</c:f>
              <c:numCache>
                <c:formatCode>#,##0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639</c:v>
                </c:pt>
                <c:pt idx="11">
                  <c:v>508</c:v>
                </c:pt>
                <c:pt idx="12">
                  <c:v>718</c:v>
                </c:pt>
                <c:pt idx="13">
                  <c:v>704.5</c:v>
                </c:pt>
                <c:pt idx="14">
                  <c:v>644.5</c:v>
                </c:pt>
                <c:pt idx="15">
                  <c:v>505</c:v>
                </c:pt>
                <c:pt idx="16">
                  <c:v>504</c:v>
                </c:pt>
                <c:pt idx="17">
                  <c:v>527</c:v>
                </c:pt>
                <c:pt idx="18">
                  <c:v>453.5</c:v>
                </c:pt>
                <c:pt idx="19">
                  <c:v>480.5</c:v>
                </c:pt>
                <c:pt idx="20">
                  <c:v>361.5</c:v>
                </c:pt>
                <c:pt idx="21">
                  <c:v>394</c:v>
                </c:pt>
                <c:pt idx="22">
                  <c:v>353</c:v>
                </c:pt>
                <c:pt idx="23">
                  <c:v>286</c:v>
                </c:pt>
                <c:pt idx="24">
                  <c:v>503.5</c:v>
                </c:pt>
                <c:pt idx="25">
                  <c:v>500.5</c:v>
                </c:pt>
                <c:pt idx="26">
                  <c:v>527</c:v>
                </c:pt>
                <c:pt idx="27">
                  <c:v>506.5</c:v>
                </c:pt>
                <c:pt idx="28">
                  <c:v>521</c:v>
                </c:pt>
                <c:pt idx="29">
                  <c:v>478</c:v>
                </c:pt>
                <c:pt idx="30">
                  <c:v>468.5</c:v>
                </c:pt>
                <c:pt idx="31">
                  <c:v>467.5</c:v>
                </c:pt>
                <c:pt idx="32">
                  <c:v>527</c:v>
                </c:pt>
                <c:pt idx="33">
                  <c:v>503</c:v>
                </c:pt>
                <c:pt idx="34">
                  <c:v>442.5</c:v>
                </c:pt>
                <c:pt idx="35">
                  <c:v>435</c:v>
                </c:pt>
                <c:pt idx="36">
                  <c:v>432.5</c:v>
                </c:pt>
                <c:pt idx="37">
                  <c:v>417</c:v>
                </c:pt>
                <c:pt idx="38">
                  <c:v>427.5</c:v>
                </c:pt>
                <c:pt idx="39">
                  <c:v>446.5</c:v>
                </c:pt>
                <c:pt idx="40">
                  <c:v>438.5</c:v>
                </c:pt>
                <c:pt idx="41">
                  <c:v>499</c:v>
                </c:pt>
                <c:pt idx="42">
                  <c:v>481.5</c:v>
                </c:pt>
                <c:pt idx="43">
                  <c:v>491.5</c:v>
                </c:pt>
                <c:pt idx="44">
                  <c:v>431.5</c:v>
                </c:pt>
                <c:pt idx="45">
                  <c:v>412.5</c:v>
                </c:pt>
                <c:pt idx="46">
                  <c:v>391.5</c:v>
                </c:pt>
                <c:pt idx="47">
                  <c:v>354</c:v>
                </c:pt>
                <c:pt idx="48">
                  <c:v>294</c:v>
                </c:pt>
                <c:pt idx="49">
                  <c:v>239.5</c:v>
                </c:pt>
                <c:pt idx="50">
                  <c:v>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10-478E-B2E9-E1684FD81A0E}"/>
            </c:ext>
          </c:extLst>
        </c:ser>
        <c:ser>
          <c:idx val="5"/>
          <c:order val="5"/>
          <c:tx>
            <c:strRef>
              <c:f>'ISSB UK data'!$A$61:$B$61</c:f>
              <c:strCache>
                <c:ptCount val="2"/>
                <c:pt idx="0">
                  <c:v>Machinery</c:v>
                </c:pt>
                <c:pt idx="1">
                  <c:v>50% HTH</c:v>
                </c:pt>
              </c:strCache>
            </c:strRef>
          </c:tx>
          <c:marker>
            <c:symbol val="none"/>
          </c:marker>
          <c:cat>
            <c:numRef>
              <c:f>'ISSB UK data'!$D$55:$BB$55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'ISSB UK data'!$D$61:$BB$61</c:f>
              <c:numCache>
                <c:formatCode>#,##0</c:formatCode>
                <c:ptCount val="51"/>
                <c:pt idx="0">
                  <c:v>448.5</c:v>
                </c:pt>
                <c:pt idx="1">
                  <c:v>432</c:v>
                </c:pt>
                <c:pt idx="2">
                  <c:v>434</c:v>
                </c:pt>
                <c:pt idx="3">
                  <c:v>444</c:v>
                </c:pt>
                <c:pt idx="4">
                  <c:v>464</c:v>
                </c:pt>
                <c:pt idx="5">
                  <c:v>476.5</c:v>
                </c:pt>
                <c:pt idx="6">
                  <c:v>495.5</c:v>
                </c:pt>
                <c:pt idx="7">
                  <c:v>482</c:v>
                </c:pt>
                <c:pt idx="8">
                  <c:v>479.5</c:v>
                </c:pt>
                <c:pt idx="9">
                  <c:v>416</c:v>
                </c:pt>
                <c:pt idx="10">
                  <c:v>1520</c:v>
                </c:pt>
                <c:pt idx="11">
                  <c:v>1429.5</c:v>
                </c:pt>
                <c:pt idx="12">
                  <c:v>1523.5</c:v>
                </c:pt>
                <c:pt idx="13">
                  <c:v>1661</c:v>
                </c:pt>
                <c:pt idx="14">
                  <c:v>1748.5</c:v>
                </c:pt>
                <c:pt idx="15">
                  <c:v>1765</c:v>
                </c:pt>
                <c:pt idx="16">
                  <c:v>1842.5</c:v>
                </c:pt>
                <c:pt idx="17">
                  <c:v>1910.5</c:v>
                </c:pt>
                <c:pt idx="18">
                  <c:v>1921.5</c:v>
                </c:pt>
                <c:pt idx="19">
                  <c:v>1900.5</c:v>
                </c:pt>
                <c:pt idx="20">
                  <c:v>1732.5</c:v>
                </c:pt>
                <c:pt idx="21">
                  <c:v>1488</c:v>
                </c:pt>
                <c:pt idx="22">
                  <c:v>1401.5</c:v>
                </c:pt>
                <c:pt idx="23">
                  <c:v>1308</c:v>
                </c:pt>
                <c:pt idx="24">
                  <c:v>993</c:v>
                </c:pt>
                <c:pt idx="25">
                  <c:v>973.5</c:v>
                </c:pt>
                <c:pt idx="26">
                  <c:v>1059</c:v>
                </c:pt>
                <c:pt idx="27">
                  <c:v>992</c:v>
                </c:pt>
                <c:pt idx="28">
                  <c:v>1003.5</c:v>
                </c:pt>
                <c:pt idx="29">
                  <c:v>902.5</c:v>
                </c:pt>
                <c:pt idx="30">
                  <c:v>861.5</c:v>
                </c:pt>
                <c:pt idx="31">
                  <c:v>816</c:v>
                </c:pt>
                <c:pt idx="32">
                  <c:v>768.5</c:v>
                </c:pt>
                <c:pt idx="33">
                  <c:v>742</c:v>
                </c:pt>
                <c:pt idx="34">
                  <c:v>556</c:v>
                </c:pt>
                <c:pt idx="35">
                  <c:v>527</c:v>
                </c:pt>
                <c:pt idx="36">
                  <c:v>599</c:v>
                </c:pt>
                <c:pt idx="37">
                  <c:v>554</c:v>
                </c:pt>
                <c:pt idx="38">
                  <c:v>578.5</c:v>
                </c:pt>
                <c:pt idx="39">
                  <c:v>572.5</c:v>
                </c:pt>
                <c:pt idx="40">
                  <c:v>572.5</c:v>
                </c:pt>
                <c:pt idx="41">
                  <c:v>615</c:v>
                </c:pt>
                <c:pt idx="42">
                  <c:v>572</c:v>
                </c:pt>
                <c:pt idx="43">
                  <c:v>547.5</c:v>
                </c:pt>
                <c:pt idx="44">
                  <c:v>509</c:v>
                </c:pt>
                <c:pt idx="45">
                  <c:v>509</c:v>
                </c:pt>
                <c:pt idx="46">
                  <c:v>485.5</c:v>
                </c:pt>
                <c:pt idx="47">
                  <c:v>459</c:v>
                </c:pt>
                <c:pt idx="48">
                  <c:v>424.5</c:v>
                </c:pt>
                <c:pt idx="49">
                  <c:v>329.5</c:v>
                </c:pt>
                <c:pt idx="50">
                  <c:v>345.5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10-478E-B2E9-E1684FD81A0E}"/>
            </c:ext>
          </c:extLst>
        </c:ser>
        <c:ser>
          <c:idx val="6"/>
          <c:order val="6"/>
          <c:tx>
            <c:strRef>
              <c:f>'ISSB UK data'!$A$62:$B$62</c:f>
              <c:strCache>
                <c:ptCount val="2"/>
                <c:pt idx="0">
                  <c:v>Mining and quarrying</c:v>
                </c:pt>
                <c:pt idx="1">
                  <c:v>50% HTH</c:v>
                </c:pt>
              </c:strCache>
            </c:strRef>
          </c:tx>
          <c:marker>
            <c:symbol val="none"/>
          </c:marker>
          <c:cat>
            <c:numRef>
              <c:f>'ISSB UK data'!$D$55:$BB$55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'ISSB UK data'!$D$62:$BB$62</c:f>
              <c:numCache>
                <c:formatCode>#,##0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184</c:v>
                </c:pt>
                <c:pt idx="11">
                  <c:v>146.5</c:v>
                </c:pt>
                <c:pt idx="12">
                  <c:v>126</c:v>
                </c:pt>
                <c:pt idx="13">
                  <c:v>92</c:v>
                </c:pt>
                <c:pt idx="14">
                  <c:v>69.5</c:v>
                </c:pt>
                <c:pt idx="15">
                  <c:v>58.5</c:v>
                </c:pt>
                <c:pt idx="16">
                  <c:v>76.5</c:v>
                </c:pt>
                <c:pt idx="17">
                  <c:v>75.5</c:v>
                </c:pt>
                <c:pt idx="18">
                  <c:v>75</c:v>
                </c:pt>
                <c:pt idx="19">
                  <c:v>78.5</c:v>
                </c:pt>
                <c:pt idx="20">
                  <c:v>70</c:v>
                </c:pt>
                <c:pt idx="21">
                  <c:v>53</c:v>
                </c:pt>
                <c:pt idx="22">
                  <c:v>53.5</c:v>
                </c:pt>
                <c:pt idx="23">
                  <c:v>38.5</c:v>
                </c:pt>
                <c:pt idx="24">
                  <c:v>16</c:v>
                </c:pt>
                <c:pt idx="25">
                  <c:v>14.5</c:v>
                </c:pt>
                <c:pt idx="26">
                  <c:v>13.5</c:v>
                </c:pt>
                <c:pt idx="27">
                  <c:v>13.5</c:v>
                </c:pt>
                <c:pt idx="28">
                  <c:v>12.5</c:v>
                </c:pt>
                <c:pt idx="29">
                  <c:v>7</c:v>
                </c:pt>
                <c:pt idx="30">
                  <c:v>9</c:v>
                </c:pt>
                <c:pt idx="31">
                  <c:v>5.5</c:v>
                </c:pt>
                <c:pt idx="32">
                  <c:v>10</c:v>
                </c:pt>
                <c:pt idx="33">
                  <c:v>11</c:v>
                </c:pt>
                <c:pt idx="34">
                  <c:v>7.5</c:v>
                </c:pt>
                <c:pt idx="35">
                  <c:v>4</c:v>
                </c:pt>
                <c:pt idx="36">
                  <c:v>2.5</c:v>
                </c:pt>
                <c:pt idx="37">
                  <c:v>1</c:v>
                </c:pt>
                <c:pt idx="38">
                  <c:v>1.5</c:v>
                </c:pt>
                <c:pt idx="39">
                  <c:v>1.5</c:v>
                </c:pt>
                <c:pt idx="40">
                  <c:v>0.5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10-478E-B2E9-E1684FD81A0E}"/>
            </c:ext>
          </c:extLst>
        </c:ser>
        <c:ser>
          <c:idx val="7"/>
          <c:order val="7"/>
          <c:tx>
            <c:strRef>
              <c:f>'ISSB UK data'!$A$63:$B$63</c:f>
              <c:strCache>
                <c:ptCount val="2"/>
                <c:pt idx="0">
                  <c:v>Non-specified (industry)</c:v>
                </c:pt>
                <c:pt idx="1">
                  <c:v>50% HTH</c:v>
                </c:pt>
              </c:strCache>
            </c:strRef>
          </c:tx>
          <c:marker>
            <c:symbol val="none"/>
          </c:marker>
          <c:cat>
            <c:numRef>
              <c:f>'ISSB UK data'!$D$55:$BB$55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'ISSB UK data'!$D$63:$BB$63</c:f>
              <c:numCache>
                <c:formatCode>#,##0</c:formatCode>
                <c:ptCount val="51"/>
                <c:pt idx="0">
                  <c:v>6601.5</c:v>
                </c:pt>
                <c:pt idx="1">
                  <c:v>6652.5</c:v>
                </c:pt>
                <c:pt idx="2">
                  <c:v>6890</c:v>
                </c:pt>
                <c:pt idx="3">
                  <c:v>6944.5</c:v>
                </c:pt>
                <c:pt idx="4">
                  <c:v>6858</c:v>
                </c:pt>
                <c:pt idx="5">
                  <c:v>7121</c:v>
                </c:pt>
                <c:pt idx="6">
                  <c:v>7302.5</c:v>
                </c:pt>
                <c:pt idx="7">
                  <c:v>7038.5</c:v>
                </c:pt>
                <c:pt idx="8">
                  <c:v>7404.5</c:v>
                </c:pt>
                <c:pt idx="9">
                  <c:v>7617.5</c:v>
                </c:pt>
                <c:pt idx="10">
                  <c:v>2015</c:v>
                </c:pt>
                <c:pt idx="11">
                  <c:v>1937.5</c:v>
                </c:pt>
                <c:pt idx="12">
                  <c:v>1318.5</c:v>
                </c:pt>
                <c:pt idx="13">
                  <c:v>1423</c:v>
                </c:pt>
                <c:pt idx="14">
                  <c:v>1338</c:v>
                </c:pt>
                <c:pt idx="15">
                  <c:v>1338.5</c:v>
                </c:pt>
                <c:pt idx="16">
                  <c:v>1305.5</c:v>
                </c:pt>
                <c:pt idx="17">
                  <c:v>1320.5</c:v>
                </c:pt>
                <c:pt idx="18">
                  <c:v>990</c:v>
                </c:pt>
                <c:pt idx="19">
                  <c:v>1191.5</c:v>
                </c:pt>
                <c:pt idx="20">
                  <c:v>931.5</c:v>
                </c:pt>
                <c:pt idx="21">
                  <c:v>877</c:v>
                </c:pt>
                <c:pt idx="22">
                  <c:v>935.5</c:v>
                </c:pt>
                <c:pt idx="23">
                  <c:v>848.5</c:v>
                </c:pt>
                <c:pt idx="24">
                  <c:v>971.5</c:v>
                </c:pt>
                <c:pt idx="25">
                  <c:v>1166</c:v>
                </c:pt>
                <c:pt idx="26">
                  <c:v>1379</c:v>
                </c:pt>
                <c:pt idx="27">
                  <c:v>1230.5</c:v>
                </c:pt>
                <c:pt idx="28">
                  <c:v>1148</c:v>
                </c:pt>
                <c:pt idx="29">
                  <c:v>951.5</c:v>
                </c:pt>
                <c:pt idx="30">
                  <c:v>1097</c:v>
                </c:pt>
                <c:pt idx="31">
                  <c:v>1476.5</c:v>
                </c:pt>
                <c:pt idx="32">
                  <c:v>1064.5</c:v>
                </c:pt>
                <c:pt idx="33">
                  <c:v>1022.5</c:v>
                </c:pt>
                <c:pt idx="34">
                  <c:v>834.5</c:v>
                </c:pt>
                <c:pt idx="35">
                  <c:v>1108.5</c:v>
                </c:pt>
                <c:pt idx="36">
                  <c:v>1218</c:v>
                </c:pt>
                <c:pt idx="37">
                  <c:v>1231</c:v>
                </c:pt>
                <c:pt idx="38">
                  <c:v>1252</c:v>
                </c:pt>
                <c:pt idx="39">
                  <c:v>1352.5</c:v>
                </c:pt>
                <c:pt idx="40">
                  <c:v>1514.5</c:v>
                </c:pt>
                <c:pt idx="41">
                  <c:v>1698.5</c:v>
                </c:pt>
                <c:pt idx="42">
                  <c:v>1381</c:v>
                </c:pt>
                <c:pt idx="43">
                  <c:v>1415.5</c:v>
                </c:pt>
                <c:pt idx="44">
                  <c:v>1606.5</c:v>
                </c:pt>
                <c:pt idx="45">
                  <c:v>1354</c:v>
                </c:pt>
                <c:pt idx="46">
                  <c:v>1359.5</c:v>
                </c:pt>
                <c:pt idx="47">
                  <c:v>1330</c:v>
                </c:pt>
                <c:pt idx="48">
                  <c:v>1294</c:v>
                </c:pt>
                <c:pt idx="49">
                  <c:v>1245.5</c:v>
                </c:pt>
                <c:pt idx="50">
                  <c:v>1333.5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10-478E-B2E9-E1684FD81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981744"/>
        <c:axId val="536982136"/>
      </c:lineChart>
      <c:catAx>
        <c:axId val="536981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982136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536982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HTH ktoe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536981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ysClr val="window" lastClr="FFFFFF"/>
    </a:solidFill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EAF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v>Electric arc furnace (EAF)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  <c:extLst xmlns:c15="http://schemas.microsoft.com/office/drawing/2012/chart"/>
            </c:numRef>
          </c:cat>
          <c:val>
            <c:numRef>
              <c:f>Calcs_ChemEx!$F$4:$F$64</c:f>
              <c:numCache>
                <c:formatCode>0.00</c:formatCode>
                <c:ptCount val="61"/>
                <c:pt idx="0">
                  <c:v>13.5</c:v>
                </c:pt>
                <c:pt idx="1">
                  <c:v>13.4</c:v>
                </c:pt>
                <c:pt idx="2">
                  <c:v>13.3</c:v>
                </c:pt>
                <c:pt idx="3">
                  <c:v>13.2</c:v>
                </c:pt>
                <c:pt idx="4">
                  <c:v>13.1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12.9</c:v>
                </c:pt>
                <c:pt idx="12">
                  <c:v>12.8</c:v>
                </c:pt>
                <c:pt idx="13">
                  <c:v>12.7</c:v>
                </c:pt>
                <c:pt idx="14">
                  <c:v>12.6</c:v>
                </c:pt>
                <c:pt idx="15">
                  <c:v>12.5</c:v>
                </c:pt>
                <c:pt idx="16">
                  <c:v>12.5</c:v>
                </c:pt>
                <c:pt idx="17">
                  <c:v>12.5</c:v>
                </c:pt>
                <c:pt idx="18">
                  <c:v>12.5</c:v>
                </c:pt>
                <c:pt idx="19">
                  <c:v>12.5</c:v>
                </c:pt>
                <c:pt idx="20">
                  <c:v>12.5</c:v>
                </c:pt>
                <c:pt idx="21">
                  <c:v>12.4</c:v>
                </c:pt>
                <c:pt idx="22">
                  <c:v>12.3</c:v>
                </c:pt>
                <c:pt idx="23">
                  <c:v>12.2</c:v>
                </c:pt>
                <c:pt idx="24">
                  <c:v>12.1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11.9</c:v>
                </c:pt>
                <c:pt idx="32">
                  <c:v>11.8</c:v>
                </c:pt>
                <c:pt idx="33">
                  <c:v>11.7</c:v>
                </c:pt>
                <c:pt idx="34">
                  <c:v>11.6</c:v>
                </c:pt>
                <c:pt idx="35">
                  <c:v>11.5</c:v>
                </c:pt>
                <c:pt idx="36">
                  <c:v>11.5</c:v>
                </c:pt>
                <c:pt idx="37">
                  <c:v>11.5</c:v>
                </c:pt>
                <c:pt idx="38">
                  <c:v>11.5</c:v>
                </c:pt>
                <c:pt idx="39">
                  <c:v>11.5</c:v>
                </c:pt>
                <c:pt idx="40">
                  <c:v>11.5</c:v>
                </c:pt>
                <c:pt idx="41">
                  <c:v>11.4</c:v>
                </c:pt>
                <c:pt idx="42">
                  <c:v>11.3</c:v>
                </c:pt>
                <c:pt idx="43">
                  <c:v>11.2</c:v>
                </c:pt>
                <c:pt idx="44">
                  <c:v>11.1</c:v>
                </c:pt>
                <c:pt idx="45">
                  <c:v>11</c:v>
                </c:pt>
                <c:pt idx="46">
                  <c:v>10.9</c:v>
                </c:pt>
                <c:pt idx="47">
                  <c:v>10.8</c:v>
                </c:pt>
                <c:pt idx="48">
                  <c:v>10</c:v>
                </c:pt>
                <c:pt idx="49">
                  <c:v>10.4</c:v>
                </c:pt>
                <c:pt idx="50">
                  <c:v>9.9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10.199999999999999</c:v>
                </c:pt>
                <c:pt idx="54">
                  <c:v>9.6</c:v>
                </c:pt>
                <c:pt idx="55">
                  <c:v>9.6</c:v>
                </c:pt>
                <c:pt idx="56">
                  <c:v>9.6</c:v>
                </c:pt>
                <c:pt idx="57">
                  <c:v>9.6</c:v>
                </c:pt>
                <c:pt idx="58">
                  <c:v>9.5266666666666424</c:v>
                </c:pt>
                <c:pt idx="59">
                  <c:v>9.4496969696969302</c:v>
                </c:pt>
                <c:pt idx="60">
                  <c:v>9.3727272727272464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023-42BD-8EAD-C08A8AA8D7B2}"/>
            </c:ext>
          </c:extLst>
        </c:ser>
        <c:ser>
          <c:idx val="4"/>
          <c:order val="4"/>
          <c:tx>
            <c:v>Min - EAF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  <c:extLst xmlns:c15="http://schemas.microsoft.com/office/drawing/2012/chart"/>
            </c:numRef>
          </c:cat>
          <c:val>
            <c:numRef>
              <c:f>Calcs_ChemEx!$K$4:$K$64</c:f>
              <c:numCache>
                <c:formatCode>General</c:formatCode>
                <c:ptCount val="61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1.3</c:v>
                </c:pt>
                <c:pt idx="15">
                  <c:v>1.3</c:v>
                </c:pt>
                <c:pt idx="16">
                  <c:v>1.3</c:v>
                </c:pt>
                <c:pt idx="17">
                  <c:v>1.3</c:v>
                </c:pt>
                <c:pt idx="18">
                  <c:v>1.3</c:v>
                </c:pt>
                <c:pt idx="19">
                  <c:v>1.3</c:v>
                </c:pt>
                <c:pt idx="20">
                  <c:v>1.3</c:v>
                </c:pt>
                <c:pt idx="21">
                  <c:v>1.3</c:v>
                </c:pt>
                <c:pt idx="22">
                  <c:v>1.3</c:v>
                </c:pt>
                <c:pt idx="23">
                  <c:v>1.3</c:v>
                </c:pt>
                <c:pt idx="24">
                  <c:v>1.3</c:v>
                </c:pt>
                <c:pt idx="25">
                  <c:v>1.3</c:v>
                </c:pt>
                <c:pt idx="26">
                  <c:v>1.3</c:v>
                </c:pt>
                <c:pt idx="27">
                  <c:v>1.3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1.3</c:v>
                </c:pt>
                <c:pt idx="34">
                  <c:v>1.3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1.3</c:v>
                </c:pt>
                <c:pt idx="40">
                  <c:v>1.3</c:v>
                </c:pt>
                <c:pt idx="41">
                  <c:v>1.3</c:v>
                </c:pt>
                <c:pt idx="42">
                  <c:v>1.3</c:v>
                </c:pt>
                <c:pt idx="43">
                  <c:v>1.3</c:v>
                </c:pt>
                <c:pt idx="44">
                  <c:v>1.3</c:v>
                </c:pt>
                <c:pt idx="45">
                  <c:v>1.3</c:v>
                </c:pt>
                <c:pt idx="46">
                  <c:v>1.3</c:v>
                </c:pt>
                <c:pt idx="47">
                  <c:v>1.3</c:v>
                </c:pt>
                <c:pt idx="48">
                  <c:v>1.3</c:v>
                </c:pt>
                <c:pt idx="49">
                  <c:v>1.3</c:v>
                </c:pt>
                <c:pt idx="50">
                  <c:v>1.3</c:v>
                </c:pt>
                <c:pt idx="51">
                  <c:v>1.3</c:v>
                </c:pt>
                <c:pt idx="52">
                  <c:v>1.3</c:v>
                </c:pt>
                <c:pt idx="53">
                  <c:v>1.3</c:v>
                </c:pt>
                <c:pt idx="54">
                  <c:v>1.3</c:v>
                </c:pt>
                <c:pt idx="55">
                  <c:v>1.3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5023-42BD-8EAD-C08A8AA8D7B2}"/>
            </c:ext>
          </c:extLst>
        </c:ser>
        <c:ser>
          <c:idx val="5"/>
          <c:order val="5"/>
          <c:tx>
            <c:v>Chemical Exergy of Steel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Calcs_ChemEx!$R$4:$R$64</c:f>
              <c:numCache>
                <c:formatCode>General</c:formatCode>
                <c:ptCount val="61"/>
                <c:pt idx="0">
                  <c:v>7.7265499999999996</c:v>
                </c:pt>
                <c:pt idx="1">
                  <c:v>7.7265499999999996</c:v>
                </c:pt>
                <c:pt idx="2">
                  <c:v>7.7265499999999996</c:v>
                </c:pt>
                <c:pt idx="3">
                  <c:v>7.7265499999999996</c:v>
                </c:pt>
                <c:pt idx="4">
                  <c:v>7.7265499999999996</c:v>
                </c:pt>
                <c:pt idx="5">
                  <c:v>7.7265499999999996</c:v>
                </c:pt>
                <c:pt idx="6">
                  <c:v>7.7265499999999996</c:v>
                </c:pt>
                <c:pt idx="7">
                  <c:v>7.7265499999999996</c:v>
                </c:pt>
                <c:pt idx="8">
                  <c:v>7.7265499999999996</c:v>
                </c:pt>
                <c:pt idx="9">
                  <c:v>7.7265499999999996</c:v>
                </c:pt>
                <c:pt idx="10">
                  <c:v>7.7265499999999996</c:v>
                </c:pt>
                <c:pt idx="11">
                  <c:v>7.7265499999999996</c:v>
                </c:pt>
                <c:pt idx="12">
                  <c:v>7.7265499999999996</c:v>
                </c:pt>
                <c:pt idx="13">
                  <c:v>7.7265499999999996</c:v>
                </c:pt>
                <c:pt idx="14">
                  <c:v>7.7265499999999996</c:v>
                </c:pt>
                <c:pt idx="15">
                  <c:v>7.7265499999999996</c:v>
                </c:pt>
                <c:pt idx="16">
                  <c:v>7.7265499999999996</c:v>
                </c:pt>
                <c:pt idx="17">
                  <c:v>7.7265499999999996</c:v>
                </c:pt>
                <c:pt idx="18">
                  <c:v>7.7265499999999996</c:v>
                </c:pt>
                <c:pt idx="19">
                  <c:v>7.7265499999999996</c:v>
                </c:pt>
                <c:pt idx="20">
                  <c:v>7.7265499999999996</c:v>
                </c:pt>
                <c:pt idx="21">
                  <c:v>7.7265499999999996</c:v>
                </c:pt>
                <c:pt idx="22">
                  <c:v>7.7265499999999996</c:v>
                </c:pt>
                <c:pt idx="23">
                  <c:v>7.7265499999999996</c:v>
                </c:pt>
                <c:pt idx="24">
                  <c:v>7.7265499999999996</c:v>
                </c:pt>
                <c:pt idx="25">
                  <c:v>7.7265499999999996</c:v>
                </c:pt>
                <c:pt idx="26">
                  <c:v>7.7265499999999996</c:v>
                </c:pt>
                <c:pt idx="27">
                  <c:v>7.7265499999999996</c:v>
                </c:pt>
                <c:pt idx="28">
                  <c:v>7.7265499999999996</c:v>
                </c:pt>
                <c:pt idx="29">
                  <c:v>7.7265499999999996</c:v>
                </c:pt>
                <c:pt idx="30">
                  <c:v>7.7265499999999996</c:v>
                </c:pt>
                <c:pt idx="31">
                  <c:v>7.7265499999999996</c:v>
                </c:pt>
                <c:pt idx="32">
                  <c:v>7.7265499999999996</c:v>
                </c:pt>
                <c:pt idx="33">
                  <c:v>7.7265499999999996</c:v>
                </c:pt>
                <c:pt idx="34">
                  <c:v>7.7265499999999996</c:v>
                </c:pt>
                <c:pt idx="35">
                  <c:v>7.7265499999999996</c:v>
                </c:pt>
                <c:pt idx="36">
                  <c:v>7.7265499999999996</c:v>
                </c:pt>
                <c:pt idx="37">
                  <c:v>7.7265499999999996</c:v>
                </c:pt>
                <c:pt idx="38">
                  <c:v>7.7265499999999996</c:v>
                </c:pt>
                <c:pt idx="39">
                  <c:v>7.7265499999999996</c:v>
                </c:pt>
                <c:pt idx="40">
                  <c:v>7.7265499999999996</c:v>
                </c:pt>
                <c:pt idx="41">
                  <c:v>7.7265499999999996</c:v>
                </c:pt>
                <c:pt idx="42">
                  <c:v>7.7265499999999996</c:v>
                </c:pt>
                <c:pt idx="43">
                  <c:v>7.7265499999999996</c:v>
                </c:pt>
                <c:pt idx="44">
                  <c:v>7.7265499999999996</c:v>
                </c:pt>
                <c:pt idx="45">
                  <c:v>7.7265499999999996</c:v>
                </c:pt>
                <c:pt idx="46">
                  <c:v>7.7265499999999996</c:v>
                </c:pt>
                <c:pt idx="47">
                  <c:v>7.7265499999999996</c:v>
                </c:pt>
                <c:pt idx="48">
                  <c:v>7.7265499999999996</c:v>
                </c:pt>
                <c:pt idx="49">
                  <c:v>7.7265499999999996</c:v>
                </c:pt>
                <c:pt idx="50">
                  <c:v>7.7265499999999996</c:v>
                </c:pt>
                <c:pt idx="51">
                  <c:v>7.7265499999999996</c:v>
                </c:pt>
                <c:pt idx="52">
                  <c:v>7.7265499999999996</c:v>
                </c:pt>
                <c:pt idx="53">
                  <c:v>7.7265499999999996</c:v>
                </c:pt>
                <c:pt idx="54">
                  <c:v>7.7265499999999996</c:v>
                </c:pt>
                <c:pt idx="55">
                  <c:v>7.7265499999999996</c:v>
                </c:pt>
                <c:pt idx="56">
                  <c:v>7.7265499999999996</c:v>
                </c:pt>
                <c:pt idx="57">
                  <c:v>7.7265499999999996</c:v>
                </c:pt>
                <c:pt idx="58">
                  <c:v>7.7265499999999996</c:v>
                </c:pt>
                <c:pt idx="59">
                  <c:v>7.7265499999999996</c:v>
                </c:pt>
                <c:pt idx="60">
                  <c:v>7.7265499999999996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23-42BD-8EAD-C08A8AA8D7B2}"/>
            </c:ext>
          </c:extLst>
        </c:ser>
        <c:ser>
          <c:idx val="6"/>
          <c:order val="6"/>
          <c:tx>
            <c:v>Chemical Energy of Iron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Calcs_ChemEx!$Q$4:$Q$64</c:f>
              <c:numCache>
                <c:formatCode>General</c:formatCode>
                <c:ptCount val="61"/>
                <c:pt idx="0">
                  <c:v>5.2</c:v>
                </c:pt>
                <c:pt idx="1">
                  <c:v>5.2</c:v>
                </c:pt>
                <c:pt idx="2">
                  <c:v>5.2</c:v>
                </c:pt>
                <c:pt idx="3">
                  <c:v>5.2</c:v>
                </c:pt>
                <c:pt idx="4">
                  <c:v>5.2</c:v>
                </c:pt>
                <c:pt idx="5">
                  <c:v>5.2</c:v>
                </c:pt>
                <c:pt idx="6">
                  <c:v>5.2</c:v>
                </c:pt>
                <c:pt idx="7">
                  <c:v>5.2</c:v>
                </c:pt>
                <c:pt idx="8">
                  <c:v>5.2</c:v>
                </c:pt>
                <c:pt idx="9">
                  <c:v>5.2</c:v>
                </c:pt>
                <c:pt idx="10">
                  <c:v>5.2</c:v>
                </c:pt>
                <c:pt idx="11">
                  <c:v>5.2</c:v>
                </c:pt>
                <c:pt idx="12">
                  <c:v>5.2</c:v>
                </c:pt>
                <c:pt idx="13">
                  <c:v>5.2</c:v>
                </c:pt>
                <c:pt idx="14">
                  <c:v>5.2</c:v>
                </c:pt>
                <c:pt idx="15">
                  <c:v>5.2</c:v>
                </c:pt>
                <c:pt idx="16">
                  <c:v>5.2</c:v>
                </c:pt>
                <c:pt idx="17">
                  <c:v>5.2</c:v>
                </c:pt>
                <c:pt idx="18">
                  <c:v>5.2</c:v>
                </c:pt>
                <c:pt idx="19">
                  <c:v>5.2</c:v>
                </c:pt>
                <c:pt idx="20">
                  <c:v>5.2</c:v>
                </c:pt>
                <c:pt idx="21">
                  <c:v>5.2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5.2</c:v>
                </c:pt>
                <c:pt idx="26">
                  <c:v>5.2</c:v>
                </c:pt>
                <c:pt idx="27">
                  <c:v>5.2</c:v>
                </c:pt>
                <c:pt idx="28">
                  <c:v>5.2</c:v>
                </c:pt>
                <c:pt idx="29">
                  <c:v>5.2</c:v>
                </c:pt>
                <c:pt idx="30">
                  <c:v>5.2</c:v>
                </c:pt>
                <c:pt idx="31">
                  <c:v>5.2</c:v>
                </c:pt>
                <c:pt idx="32">
                  <c:v>5.2</c:v>
                </c:pt>
                <c:pt idx="33">
                  <c:v>5.2</c:v>
                </c:pt>
                <c:pt idx="34">
                  <c:v>5.2</c:v>
                </c:pt>
                <c:pt idx="35">
                  <c:v>5.2</c:v>
                </c:pt>
                <c:pt idx="36">
                  <c:v>5.2</c:v>
                </c:pt>
                <c:pt idx="37">
                  <c:v>5.2</c:v>
                </c:pt>
                <c:pt idx="38">
                  <c:v>5.2</c:v>
                </c:pt>
                <c:pt idx="39">
                  <c:v>5.2</c:v>
                </c:pt>
                <c:pt idx="40">
                  <c:v>5.2</c:v>
                </c:pt>
                <c:pt idx="41">
                  <c:v>5.2</c:v>
                </c:pt>
                <c:pt idx="42">
                  <c:v>5.2</c:v>
                </c:pt>
                <c:pt idx="43">
                  <c:v>5.2</c:v>
                </c:pt>
                <c:pt idx="44">
                  <c:v>5.2</c:v>
                </c:pt>
                <c:pt idx="45">
                  <c:v>5.2</c:v>
                </c:pt>
                <c:pt idx="46">
                  <c:v>5.2</c:v>
                </c:pt>
                <c:pt idx="47">
                  <c:v>5.2</c:v>
                </c:pt>
                <c:pt idx="48">
                  <c:v>5.2</c:v>
                </c:pt>
                <c:pt idx="49">
                  <c:v>5.2</c:v>
                </c:pt>
                <c:pt idx="50">
                  <c:v>5.2</c:v>
                </c:pt>
                <c:pt idx="51">
                  <c:v>5.2</c:v>
                </c:pt>
                <c:pt idx="52">
                  <c:v>5.2</c:v>
                </c:pt>
                <c:pt idx="53">
                  <c:v>5.2</c:v>
                </c:pt>
                <c:pt idx="54">
                  <c:v>5.2</c:v>
                </c:pt>
                <c:pt idx="55">
                  <c:v>5.2</c:v>
                </c:pt>
                <c:pt idx="56">
                  <c:v>5.2</c:v>
                </c:pt>
                <c:pt idx="57">
                  <c:v>5.2</c:v>
                </c:pt>
                <c:pt idx="58">
                  <c:v>5.2</c:v>
                </c:pt>
                <c:pt idx="59">
                  <c:v>5.2</c:v>
                </c:pt>
                <c:pt idx="60">
                  <c:v>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23-42BD-8EAD-C08A8AA8D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857184"/>
        <c:axId val="6278594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Blast Oxygen Furnace (BOF)</c:v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Calcs_ChemEx!$A$4:$A$64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1960</c:v>
                      </c:pt>
                      <c:pt idx="1">
                        <c:v>1961</c:v>
                      </c:pt>
                      <c:pt idx="2">
                        <c:v>1962</c:v>
                      </c:pt>
                      <c:pt idx="3">
                        <c:v>1963</c:v>
                      </c:pt>
                      <c:pt idx="4">
                        <c:v>1964</c:v>
                      </c:pt>
                      <c:pt idx="5">
                        <c:v>1965</c:v>
                      </c:pt>
                      <c:pt idx="6">
                        <c:v>1966</c:v>
                      </c:pt>
                      <c:pt idx="7">
                        <c:v>1967</c:v>
                      </c:pt>
                      <c:pt idx="8">
                        <c:v>1968</c:v>
                      </c:pt>
                      <c:pt idx="9">
                        <c:v>1969</c:v>
                      </c:pt>
                      <c:pt idx="10">
                        <c:v>1970</c:v>
                      </c:pt>
                      <c:pt idx="11">
                        <c:v>1971</c:v>
                      </c:pt>
                      <c:pt idx="12">
                        <c:v>1972</c:v>
                      </c:pt>
                      <c:pt idx="13">
                        <c:v>1973</c:v>
                      </c:pt>
                      <c:pt idx="14">
                        <c:v>1974</c:v>
                      </c:pt>
                      <c:pt idx="15">
                        <c:v>1975</c:v>
                      </c:pt>
                      <c:pt idx="16">
                        <c:v>1976</c:v>
                      </c:pt>
                      <c:pt idx="17">
                        <c:v>1977</c:v>
                      </c:pt>
                      <c:pt idx="18">
                        <c:v>1978</c:v>
                      </c:pt>
                      <c:pt idx="19">
                        <c:v>1979</c:v>
                      </c:pt>
                      <c:pt idx="20">
                        <c:v>1980</c:v>
                      </c:pt>
                      <c:pt idx="21">
                        <c:v>1981</c:v>
                      </c:pt>
                      <c:pt idx="22">
                        <c:v>1982</c:v>
                      </c:pt>
                      <c:pt idx="23">
                        <c:v>1983</c:v>
                      </c:pt>
                      <c:pt idx="24">
                        <c:v>1984</c:v>
                      </c:pt>
                      <c:pt idx="25">
                        <c:v>1985</c:v>
                      </c:pt>
                      <c:pt idx="26">
                        <c:v>1986</c:v>
                      </c:pt>
                      <c:pt idx="27">
                        <c:v>1987</c:v>
                      </c:pt>
                      <c:pt idx="28">
                        <c:v>1988</c:v>
                      </c:pt>
                      <c:pt idx="29">
                        <c:v>1989</c:v>
                      </c:pt>
                      <c:pt idx="30">
                        <c:v>1990</c:v>
                      </c:pt>
                      <c:pt idx="31">
                        <c:v>1991</c:v>
                      </c:pt>
                      <c:pt idx="32">
                        <c:v>1992</c:v>
                      </c:pt>
                      <c:pt idx="33">
                        <c:v>1993</c:v>
                      </c:pt>
                      <c:pt idx="34">
                        <c:v>1994</c:v>
                      </c:pt>
                      <c:pt idx="35">
                        <c:v>1995</c:v>
                      </c:pt>
                      <c:pt idx="36">
                        <c:v>1996</c:v>
                      </c:pt>
                      <c:pt idx="37">
                        <c:v>1997</c:v>
                      </c:pt>
                      <c:pt idx="38">
                        <c:v>1998</c:v>
                      </c:pt>
                      <c:pt idx="39">
                        <c:v>1999</c:v>
                      </c:pt>
                      <c:pt idx="40">
                        <c:v>2000</c:v>
                      </c:pt>
                      <c:pt idx="41">
                        <c:v>2001</c:v>
                      </c:pt>
                      <c:pt idx="42">
                        <c:v>2002</c:v>
                      </c:pt>
                      <c:pt idx="43">
                        <c:v>2003</c:v>
                      </c:pt>
                      <c:pt idx="44">
                        <c:v>2004</c:v>
                      </c:pt>
                      <c:pt idx="45">
                        <c:v>2005</c:v>
                      </c:pt>
                      <c:pt idx="46">
                        <c:v>2006</c:v>
                      </c:pt>
                      <c:pt idx="47">
                        <c:v>2007</c:v>
                      </c:pt>
                      <c:pt idx="48">
                        <c:v>2008</c:v>
                      </c:pt>
                      <c:pt idx="49">
                        <c:v>2009</c:v>
                      </c:pt>
                      <c:pt idx="50">
                        <c:v>2010</c:v>
                      </c:pt>
                      <c:pt idx="51">
                        <c:v>2011</c:v>
                      </c:pt>
                      <c:pt idx="52">
                        <c:v>2012</c:v>
                      </c:pt>
                      <c:pt idx="53">
                        <c:v>2013</c:v>
                      </c:pt>
                      <c:pt idx="54">
                        <c:v>2014</c:v>
                      </c:pt>
                      <c:pt idx="55">
                        <c:v>2015</c:v>
                      </c:pt>
                      <c:pt idx="56">
                        <c:v>2016</c:v>
                      </c:pt>
                      <c:pt idx="57">
                        <c:v>2017</c:v>
                      </c:pt>
                      <c:pt idx="58">
                        <c:v>2018</c:v>
                      </c:pt>
                      <c:pt idx="59">
                        <c:v>2019</c:v>
                      </c:pt>
                      <c:pt idx="60">
                        <c:v>2020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Calcs_ChemEx!$E$4:$E$64</c15:sqref>
                        </c15:formulaRef>
                      </c:ext>
                    </c:extLst>
                    <c:numCache>
                      <c:formatCode>0.00</c:formatCode>
                      <c:ptCount val="61"/>
                      <c:pt idx="0">
                        <c:v>42</c:v>
                      </c:pt>
                      <c:pt idx="1">
                        <c:v>41.6</c:v>
                      </c:pt>
                      <c:pt idx="2">
                        <c:v>41.2</c:v>
                      </c:pt>
                      <c:pt idx="3">
                        <c:v>40.799999999999997</c:v>
                      </c:pt>
                      <c:pt idx="4">
                        <c:v>40.4</c:v>
                      </c:pt>
                      <c:pt idx="5">
                        <c:v>40</c:v>
                      </c:pt>
                      <c:pt idx="6">
                        <c:v>39.6</c:v>
                      </c:pt>
                      <c:pt idx="7">
                        <c:v>39.200000000000003</c:v>
                      </c:pt>
                      <c:pt idx="8">
                        <c:v>38.799999999999997</c:v>
                      </c:pt>
                      <c:pt idx="9">
                        <c:v>38.4</c:v>
                      </c:pt>
                      <c:pt idx="10">
                        <c:v>38</c:v>
                      </c:pt>
                      <c:pt idx="11">
                        <c:v>37.6</c:v>
                      </c:pt>
                      <c:pt idx="12">
                        <c:v>37.200000000000003</c:v>
                      </c:pt>
                      <c:pt idx="13">
                        <c:v>36.799999999999997</c:v>
                      </c:pt>
                      <c:pt idx="14">
                        <c:v>36.4</c:v>
                      </c:pt>
                      <c:pt idx="15">
                        <c:v>36</c:v>
                      </c:pt>
                      <c:pt idx="16">
                        <c:v>35.6</c:v>
                      </c:pt>
                      <c:pt idx="17">
                        <c:v>35.200000000000003</c:v>
                      </c:pt>
                      <c:pt idx="18">
                        <c:v>34.799999999999997</c:v>
                      </c:pt>
                      <c:pt idx="19">
                        <c:v>34.4</c:v>
                      </c:pt>
                      <c:pt idx="20">
                        <c:v>34</c:v>
                      </c:pt>
                      <c:pt idx="21">
                        <c:v>33.6</c:v>
                      </c:pt>
                      <c:pt idx="22">
                        <c:v>33.200000000000003</c:v>
                      </c:pt>
                      <c:pt idx="23">
                        <c:v>32.799999999999997</c:v>
                      </c:pt>
                      <c:pt idx="24">
                        <c:v>32.4</c:v>
                      </c:pt>
                      <c:pt idx="25">
                        <c:v>32</c:v>
                      </c:pt>
                      <c:pt idx="26">
                        <c:v>31.6</c:v>
                      </c:pt>
                      <c:pt idx="27">
                        <c:v>31.2</c:v>
                      </c:pt>
                      <c:pt idx="28">
                        <c:v>30.8</c:v>
                      </c:pt>
                      <c:pt idx="29">
                        <c:v>30.4</c:v>
                      </c:pt>
                      <c:pt idx="30">
                        <c:v>30</c:v>
                      </c:pt>
                      <c:pt idx="31">
                        <c:v>29.6</c:v>
                      </c:pt>
                      <c:pt idx="32">
                        <c:v>29.2</c:v>
                      </c:pt>
                      <c:pt idx="33">
                        <c:v>28.8</c:v>
                      </c:pt>
                      <c:pt idx="34">
                        <c:v>28.4</c:v>
                      </c:pt>
                      <c:pt idx="35">
                        <c:v>28</c:v>
                      </c:pt>
                      <c:pt idx="36">
                        <c:v>27.6</c:v>
                      </c:pt>
                      <c:pt idx="37">
                        <c:v>27.2</c:v>
                      </c:pt>
                      <c:pt idx="38">
                        <c:v>26.8</c:v>
                      </c:pt>
                      <c:pt idx="39">
                        <c:v>26.4</c:v>
                      </c:pt>
                      <c:pt idx="40">
                        <c:v>26</c:v>
                      </c:pt>
                      <c:pt idx="41">
                        <c:v>25.6</c:v>
                      </c:pt>
                      <c:pt idx="42">
                        <c:v>25.2</c:v>
                      </c:pt>
                      <c:pt idx="43">
                        <c:v>24.8</c:v>
                      </c:pt>
                      <c:pt idx="44">
                        <c:v>24.4</c:v>
                      </c:pt>
                      <c:pt idx="45">
                        <c:v>24</c:v>
                      </c:pt>
                      <c:pt idx="46">
                        <c:v>24.15</c:v>
                      </c:pt>
                      <c:pt idx="47">
                        <c:v>24.3</c:v>
                      </c:pt>
                      <c:pt idx="48">
                        <c:v>24.5</c:v>
                      </c:pt>
                      <c:pt idx="49">
                        <c:v>24.2</c:v>
                      </c:pt>
                      <c:pt idx="50">
                        <c:v>24</c:v>
                      </c:pt>
                      <c:pt idx="51">
                        <c:v>23.5</c:v>
                      </c:pt>
                      <c:pt idx="52">
                        <c:v>23.1</c:v>
                      </c:pt>
                      <c:pt idx="53">
                        <c:v>23.5</c:v>
                      </c:pt>
                      <c:pt idx="54">
                        <c:v>23.2</c:v>
                      </c:pt>
                      <c:pt idx="55">
                        <c:v>23.9</c:v>
                      </c:pt>
                      <c:pt idx="56">
                        <c:v>23.9</c:v>
                      </c:pt>
                      <c:pt idx="57">
                        <c:v>23.9</c:v>
                      </c:pt>
                      <c:pt idx="58">
                        <c:v>23.486666666666679</c:v>
                      </c:pt>
                      <c:pt idx="59">
                        <c:v>23.435151515151531</c:v>
                      </c:pt>
                      <c:pt idx="60">
                        <c:v>23.383636363636384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5023-42BD-8EAD-C08A8AA8D7B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v>Open Hearth Furnace (OHF)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Calcs_ChemEx!$A$4:$A$64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1960</c:v>
                      </c:pt>
                      <c:pt idx="1">
                        <c:v>1961</c:v>
                      </c:pt>
                      <c:pt idx="2">
                        <c:v>1962</c:v>
                      </c:pt>
                      <c:pt idx="3">
                        <c:v>1963</c:v>
                      </c:pt>
                      <c:pt idx="4">
                        <c:v>1964</c:v>
                      </c:pt>
                      <c:pt idx="5">
                        <c:v>1965</c:v>
                      </c:pt>
                      <c:pt idx="6">
                        <c:v>1966</c:v>
                      </c:pt>
                      <c:pt idx="7">
                        <c:v>1967</c:v>
                      </c:pt>
                      <c:pt idx="8">
                        <c:v>1968</c:v>
                      </c:pt>
                      <c:pt idx="9">
                        <c:v>1969</c:v>
                      </c:pt>
                      <c:pt idx="10">
                        <c:v>1970</c:v>
                      </c:pt>
                      <c:pt idx="11">
                        <c:v>1971</c:v>
                      </c:pt>
                      <c:pt idx="12">
                        <c:v>1972</c:v>
                      </c:pt>
                      <c:pt idx="13">
                        <c:v>1973</c:v>
                      </c:pt>
                      <c:pt idx="14">
                        <c:v>1974</c:v>
                      </c:pt>
                      <c:pt idx="15">
                        <c:v>1975</c:v>
                      </c:pt>
                      <c:pt idx="16">
                        <c:v>1976</c:v>
                      </c:pt>
                      <c:pt idx="17">
                        <c:v>1977</c:v>
                      </c:pt>
                      <c:pt idx="18">
                        <c:v>1978</c:v>
                      </c:pt>
                      <c:pt idx="19">
                        <c:v>1979</c:v>
                      </c:pt>
                      <c:pt idx="20">
                        <c:v>1980</c:v>
                      </c:pt>
                      <c:pt idx="21">
                        <c:v>1981</c:v>
                      </c:pt>
                      <c:pt idx="22">
                        <c:v>1982</c:v>
                      </c:pt>
                      <c:pt idx="23">
                        <c:v>1983</c:v>
                      </c:pt>
                      <c:pt idx="24">
                        <c:v>1984</c:v>
                      </c:pt>
                      <c:pt idx="25">
                        <c:v>1985</c:v>
                      </c:pt>
                      <c:pt idx="26">
                        <c:v>1986</c:v>
                      </c:pt>
                      <c:pt idx="27">
                        <c:v>1987</c:v>
                      </c:pt>
                      <c:pt idx="28">
                        <c:v>1988</c:v>
                      </c:pt>
                      <c:pt idx="29">
                        <c:v>1989</c:v>
                      </c:pt>
                      <c:pt idx="30">
                        <c:v>1990</c:v>
                      </c:pt>
                      <c:pt idx="31">
                        <c:v>1991</c:v>
                      </c:pt>
                      <c:pt idx="32">
                        <c:v>1992</c:v>
                      </c:pt>
                      <c:pt idx="33">
                        <c:v>1993</c:v>
                      </c:pt>
                      <c:pt idx="34">
                        <c:v>1994</c:v>
                      </c:pt>
                      <c:pt idx="35">
                        <c:v>1995</c:v>
                      </c:pt>
                      <c:pt idx="36">
                        <c:v>1996</c:v>
                      </c:pt>
                      <c:pt idx="37">
                        <c:v>1997</c:v>
                      </c:pt>
                      <c:pt idx="38">
                        <c:v>1998</c:v>
                      </c:pt>
                      <c:pt idx="39">
                        <c:v>1999</c:v>
                      </c:pt>
                      <c:pt idx="40">
                        <c:v>2000</c:v>
                      </c:pt>
                      <c:pt idx="41">
                        <c:v>2001</c:v>
                      </c:pt>
                      <c:pt idx="42">
                        <c:v>2002</c:v>
                      </c:pt>
                      <c:pt idx="43">
                        <c:v>2003</c:v>
                      </c:pt>
                      <c:pt idx="44">
                        <c:v>2004</c:v>
                      </c:pt>
                      <c:pt idx="45">
                        <c:v>2005</c:v>
                      </c:pt>
                      <c:pt idx="46">
                        <c:v>2006</c:v>
                      </c:pt>
                      <c:pt idx="47">
                        <c:v>2007</c:v>
                      </c:pt>
                      <c:pt idx="48">
                        <c:v>2008</c:v>
                      </c:pt>
                      <c:pt idx="49">
                        <c:v>2009</c:v>
                      </c:pt>
                      <c:pt idx="50">
                        <c:v>2010</c:v>
                      </c:pt>
                      <c:pt idx="51">
                        <c:v>2011</c:v>
                      </c:pt>
                      <c:pt idx="52">
                        <c:v>2012</c:v>
                      </c:pt>
                      <c:pt idx="53">
                        <c:v>2013</c:v>
                      </c:pt>
                      <c:pt idx="54">
                        <c:v>2014</c:v>
                      </c:pt>
                      <c:pt idx="55">
                        <c:v>2015</c:v>
                      </c:pt>
                      <c:pt idx="56">
                        <c:v>2016</c:v>
                      </c:pt>
                      <c:pt idx="57">
                        <c:v>2017</c:v>
                      </c:pt>
                      <c:pt idx="58">
                        <c:v>2018</c:v>
                      </c:pt>
                      <c:pt idx="59">
                        <c:v>2019</c:v>
                      </c:pt>
                      <c:pt idx="60">
                        <c:v>2020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Calcs_ChemEx!$G$4:$G$64</c15:sqref>
                        </c15:formulaRef>
                      </c:ext>
                    </c:extLst>
                    <c:numCache>
                      <c:formatCode>0.00</c:formatCode>
                      <c:ptCount val="61"/>
                      <c:pt idx="0">
                        <c:v>66</c:v>
                      </c:pt>
                      <c:pt idx="1">
                        <c:v>65.599999999999994</c:v>
                      </c:pt>
                      <c:pt idx="2">
                        <c:v>65.2</c:v>
                      </c:pt>
                      <c:pt idx="3">
                        <c:v>64.8</c:v>
                      </c:pt>
                      <c:pt idx="4">
                        <c:v>64.400000000000006</c:v>
                      </c:pt>
                      <c:pt idx="5">
                        <c:v>64</c:v>
                      </c:pt>
                      <c:pt idx="6">
                        <c:v>63.6</c:v>
                      </c:pt>
                      <c:pt idx="7">
                        <c:v>63.2</c:v>
                      </c:pt>
                      <c:pt idx="8">
                        <c:v>62.8</c:v>
                      </c:pt>
                      <c:pt idx="9">
                        <c:v>62.4</c:v>
                      </c:pt>
                      <c:pt idx="10">
                        <c:v>62</c:v>
                      </c:pt>
                      <c:pt idx="11">
                        <c:v>61.6</c:v>
                      </c:pt>
                      <c:pt idx="12">
                        <c:v>61.2</c:v>
                      </c:pt>
                      <c:pt idx="13">
                        <c:v>60.8</c:v>
                      </c:pt>
                      <c:pt idx="14">
                        <c:v>60.4</c:v>
                      </c:pt>
                      <c:pt idx="15">
                        <c:v>60</c:v>
                      </c:pt>
                      <c:pt idx="16">
                        <c:v>59.6</c:v>
                      </c:pt>
                      <c:pt idx="17">
                        <c:v>59.2</c:v>
                      </c:pt>
                      <c:pt idx="18">
                        <c:v>58.8</c:v>
                      </c:pt>
                      <c:pt idx="19">
                        <c:v>58.4</c:v>
                      </c:pt>
                      <c:pt idx="20">
                        <c:v>58</c:v>
                      </c:pt>
                      <c:pt idx="21">
                        <c:v>57.6</c:v>
                      </c:pt>
                      <c:pt idx="22">
                        <c:v>57.2</c:v>
                      </c:pt>
                      <c:pt idx="23">
                        <c:v>56.8</c:v>
                      </c:pt>
                      <c:pt idx="24">
                        <c:v>56.4</c:v>
                      </c:pt>
                      <c:pt idx="25">
                        <c:v>56</c:v>
                      </c:pt>
                      <c:pt idx="26">
                        <c:v>55.2</c:v>
                      </c:pt>
                      <c:pt idx="27">
                        <c:v>54.4</c:v>
                      </c:pt>
                      <c:pt idx="28">
                        <c:v>53.6</c:v>
                      </c:pt>
                      <c:pt idx="29">
                        <c:v>52.8</c:v>
                      </c:pt>
                      <c:pt idx="30">
                        <c:v>52</c:v>
                      </c:pt>
                      <c:pt idx="31">
                        <c:v>51.2</c:v>
                      </c:pt>
                      <c:pt idx="32">
                        <c:v>50.4</c:v>
                      </c:pt>
                      <c:pt idx="33">
                        <c:v>49.6</c:v>
                      </c:pt>
                      <c:pt idx="34">
                        <c:v>48.8</c:v>
                      </c:pt>
                      <c:pt idx="35">
                        <c:v>48</c:v>
                      </c:pt>
                      <c:pt idx="36">
                        <c:v>47.64</c:v>
                      </c:pt>
                      <c:pt idx="37">
                        <c:v>47.28</c:v>
                      </c:pt>
                      <c:pt idx="38">
                        <c:v>46.92</c:v>
                      </c:pt>
                      <c:pt idx="39">
                        <c:v>46.56</c:v>
                      </c:pt>
                      <c:pt idx="40">
                        <c:v>46.2</c:v>
                      </c:pt>
                      <c:pt idx="41">
                        <c:v>46.2</c:v>
                      </c:pt>
                      <c:pt idx="42">
                        <c:v>46.2</c:v>
                      </c:pt>
                      <c:pt idx="43">
                        <c:v>46.2</c:v>
                      </c:pt>
                      <c:pt idx="44">
                        <c:v>46.2</c:v>
                      </c:pt>
                      <c:pt idx="45">
                        <c:v>46.2</c:v>
                      </c:pt>
                      <c:pt idx="46">
                        <c:v>39.35</c:v>
                      </c:pt>
                      <c:pt idx="47">
                        <c:v>32.5</c:v>
                      </c:pt>
                      <c:pt idx="48">
                        <c:v>39.799999999999997</c:v>
                      </c:pt>
                      <c:pt idx="49">
                        <c:v>46.2</c:v>
                      </c:pt>
                      <c:pt idx="50">
                        <c:v>46.2</c:v>
                      </c:pt>
                      <c:pt idx="51">
                        <c:v>46.2</c:v>
                      </c:pt>
                      <c:pt idx="52">
                        <c:v>46.2</c:v>
                      </c:pt>
                      <c:pt idx="53">
                        <c:v>46.2</c:v>
                      </c:pt>
                      <c:pt idx="54">
                        <c:v>46.2</c:v>
                      </c:pt>
                      <c:pt idx="55">
                        <c:v>46.2</c:v>
                      </c:pt>
                      <c:pt idx="56">
                        <c:v>46.2</c:v>
                      </c:pt>
                      <c:pt idx="57">
                        <c:v>46.2</c:v>
                      </c:pt>
                      <c:pt idx="58">
                        <c:v>47.479999999999905</c:v>
                      </c:pt>
                      <c:pt idx="59">
                        <c:v>47.829090909090837</c:v>
                      </c:pt>
                      <c:pt idx="60">
                        <c:v>48.17818181818177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023-42BD-8EAD-C08A8AA8D7B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v>Min - BOF</c:v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Calcs_ChemEx!$A$4:$A$64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1960</c:v>
                      </c:pt>
                      <c:pt idx="1">
                        <c:v>1961</c:v>
                      </c:pt>
                      <c:pt idx="2">
                        <c:v>1962</c:v>
                      </c:pt>
                      <c:pt idx="3">
                        <c:v>1963</c:v>
                      </c:pt>
                      <c:pt idx="4">
                        <c:v>1964</c:v>
                      </c:pt>
                      <c:pt idx="5">
                        <c:v>1965</c:v>
                      </c:pt>
                      <c:pt idx="6">
                        <c:v>1966</c:v>
                      </c:pt>
                      <c:pt idx="7">
                        <c:v>1967</c:v>
                      </c:pt>
                      <c:pt idx="8">
                        <c:v>1968</c:v>
                      </c:pt>
                      <c:pt idx="9">
                        <c:v>1969</c:v>
                      </c:pt>
                      <c:pt idx="10">
                        <c:v>1970</c:v>
                      </c:pt>
                      <c:pt idx="11">
                        <c:v>1971</c:v>
                      </c:pt>
                      <c:pt idx="12">
                        <c:v>1972</c:v>
                      </c:pt>
                      <c:pt idx="13">
                        <c:v>1973</c:v>
                      </c:pt>
                      <c:pt idx="14">
                        <c:v>1974</c:v>
                      </c:pt>
                      <c:pt idx="15">
                        <c:v>1975</c:v>
                      </c:pt>
                      <c:pt idx="16">
                        <c:v>1976</c:v>
                      </c:pt>
                      <c:pt idx="17">
                        <c:v>1977</c:v>
                      </c:pt>
                      <c:pt idx="18">
                        <c:v>1978</c:v>
                      </c:pt>
                      <c:pt idx="19">
                        <c:v>1979</c:v>
                      </c:pt>
                      <c:pt idx="20">
                        <c:v>1980</c:v>
                      </c:pt>
                      <c:pt idx="21">
                        <c:v>1981</c:v>
                      </c:pt>
                      <c:pt idx="22">
                        <c:v>1982</c:v>
                      </c:pt>
                      <c:pt idx="23">
                        <c:v>1983</c:v>
                      </c:pt>
                      <c:pt idx="24">
                        <c:v>1984</c:v>
                      </c:pt>
                      <c:pt idx="25">
                        <c:v>1985</c:v>
                      </c:pt>
                      <c:pt idx="26">
                        <c:v>1986</c:v>
                      </c:pt>
                      <c:pt idx="27">
                        <c:v>1987</c:v>
                      </c:pt>
                      <c:pt idx="28">
                        <c:v>1988</c:v>
                      </c:pt>
                      <c:pt idx="29">
                        <c:v>1989</c:v>
                      </c:pt>
                      <c:pt idx="30">
                        <c:v>1990</c:v>
                      </c:pt>
                      <c:pt idx="31">
                        <c:v>1991</c:v>
                      </c:pt>
                      <c:pt idx="32">
                        <c:v>1992</c:v>
                      </c:pt>
                      <c:pt idx="33">
                        <c:v>1993</c:v>
                      </c:pt>
                      <c:pt idx="34">
                        <c:v>1994</c:v>
                      </c:pt>
                      <c:pt idx="35">
                        <c:v>1995</c:v>
                      </c:pt>
                      <c:pt idx="36">
                        <c:v>1996</c:v>
                      </c:pt>
                      <c:pt idx="37">
                        <c:v>1997</c:v>
                      </c:pt>
                      <c:pt idx="38">
                        <c:v>1998</c:v>
                      </c:pt>
                      <c:pt idx="39">
                        <c:v>1999</c:v>
                      </c:pt>
                      <c:pt idx="40">
                        <c:v>2000</c:v>
                      </c:pt>
                      <c:pt idx="41">
                        <c:v>2001</c:v>
                      </c:pt>
                      <c:pt idx="42">
                        <c:v>2002</c:v>
                      </c:pt>
                      <c:pt idx="43">
                        <c:v>2003</c:v>
                      </c:pt>
                      <c:pt idx="44">
                        <c:v>2004</c:v>
                      </c:pt>
                      <c:pt idx="45">
                        <c:v>2005</c:v>
                      </c:pt>
                      <c:pt idx="46">
                        <c:v>2006</c:v>
                      </c:pt>
                      <c:pt idx="47">
                        <c:v>2007</c:v>
                      </c:pt>
                      <c:pt idx="48">
                        <c:v>2008</c:v>
                      </c:pt>
                      <c:pt idx="49">
                        <c:v>2009</c:v>
                      </c:pt>
                      <c:pt idx="50">
                        <c:v>2010</c:v>
                      </c:pt>
                      <c:pt idx="51">
                        <c:v>2011</c:v>
                      </c:pt>
                      <c:pt idx="52">
                        <c:v>2012</c:v>
                      </c:pt>
                      <c:pt idx="53">
                        <c:v>2013</c:v>
                      </c:pt>
                      <c:pt idx="54">
                        <c:v>2014</c:v>
                      </c:pt>
                      <c:pt idx="55">
                        <c:v>2015</c:v>
                      </c:pt>
                      <c:pt idx="56">
                        <c:v>2016</c:v>
                      </c:pt>
                      <c:pt idx="57">
                        <c:v>2017</c:v>
                      </c:pt>
                      <c:pt idx="58">
                        <c:v>2018</c:v>
                      </c:pt>
                      <c:pt idx="59">
                        <c:v>2019</c:v>
                      </c:pt>
                      <c:pt idx="60">
                        <c:v>2020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Calcs_ChemEx!$J$4:$J$64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7.9</c:v>
                      </c:pt>
                      <c:pt idx="1">
                        <c:v>7.9</c:v>
                      </c:pt>
                      <c:pt idx="2">
                        <c:v>7.9</c:v>
                      </c:pt>
                      <c:pt idx="3">
                        <c:v>7.9</c:v>
                      </c:pt>
                      <c:pt idx="4">
                        <c:v>7.9</c:v>
                      </c:pt>
                      <c:pt idx="5">
                        <c:v>7.9</c:v>
                      </c:pt>
                      <c:pt idx="6">
                        <c:v>7.9</c:v>
                      </c:pt>
                      <c:pt idx="7">
                        <c:v>7.9</c:v>
                      </c:pt>
                      <c:pt idx="8">
                        <c:v>7.9</c:v>
                      </c:pt>
                      <c:pt idx="9">
                        <c:v>7.9</c:v>
                      </c:pt>
                      <c:pt idx="10">
                        <c:v>7.9</c:v>
                      </c:pt>
                      <c:pt idx="11">
                        <c:v>7.9</c:v>
                      </c:pt>
                      <c:pt idx="12">
                        <c:v>7.9</c:v>
                      </c:pt>
                      <c:pt idx="13">
                        <c:v>7.9</c:v>
                      </c:pt>
                      <c:pt idx="14">
                        <c:v>7.9</c:v>
                      </c:pt>
                      <c:pt idx="15">
                        <c:v>7.9</c:v>
                      </c:pt>
                      <c:pt idx="16">
                        <c:v>7.9</c:v>
                      </c:pt>
                      <c:pt idx="17">
                        <c:v>7.9</c:v>
                      </c:pt>
                      <c:pt idx="18">
                        <c:v>7.9</c:v>
                      </c:pt>
                      <c:pt idx="19">
                        <c:v>7.9</c:v>
                      </c:pt>
                      <c:pt idx="20">
                        <c:v>7.9</c:v>
                      </c:pt>
                      <c:pt idx="21">
                        <c:v>7.9</c:v>
                      </c:pt>
                      <c:pt idx="22">
                        <c:v>7.9</c:v>
                      </c:pt>
                      <c:pt idx="23">
                        <c:v>7.9</c:v>
                      </c:pt>
                      <c:pt idx="24">
                        <c:v>7.9</c:v>
                      </c:pt>
                      <c:pt idx="25">
                        <c:v>7.9</c:v>
                      </c:pt>
                      <c:pt idx="26">
                        <c:v>7.9</c:v>
                      </c:pt>
                      <c:pt idx="27">
                        <c:v>7.9</c:v>
                      </c:pt>
                      <c:pt idx="28">
                        <c:v>7.9</c:v>
                      </c:pt>
                      <c:pt idx="29">
                        <c:v>7.9</c:v>
                      </c:pt>
                      <c:pt idx="30">
                        <c:v>7.9</c:v>
                      </c:pt>
                      <c:pt idx="31">
                        <c:v>7.9</c:v>
                      </c:pt>
                      <c:pt idx="32">
                        <c:v>7.9</c:v>
                      </c:pt>
                      <c:pt idx="33">
                        <c:v>7.9</c:v>
                      </c:pt>
                      <c:pt idx="34">
                        <c:v>7.9</c:v>
                      </c:pt>
                      <c:pt idx="35">
                        <c:v>7.9</c:v>
                      </c:pt>
                      <c:pt idx="36">
                        <c:v>7.9</c:v>
                      </c:pt>
                      <c:pt idx="37">
                        <c:v>7.9</c:v>
                      </c:pt>
                      <c:pt idx="38">
                        <c:v>7.9</c:v>
                      </c:pt>
                      <c:pt idx="39">
                        <c:v>7.9</c:v>
                      </c:pt>
                      <c:pt idx="40">
                        <c:v>7.9</c:v>
                      </c:pt>
                      <c:pt idx="41">
                        <c:v>7.9</c:v>
                      </c:pt>
                      <c:pt idx="42">
                        <c:v>7.9</c:v>
                      </c:pt>
                      <c:pt idx="43">
                        <c:v>7.9</c:v>
                      </c:pt>
                      <c:pt idx="44">
                        <c:v>7.9</c:v>
                      </c:pt>
                      <c:pt idx="45">
                        <c:v>7.9</c:v>
                      </c:pt>
                      <c:pt idx="46">
                        <c:v>7.9</c:v>
                      </c:pt>
                      <c:pt idx="47">
                        <c:v>7.9</c:v>
                      </c:pt>
                      <c:pt idx="48">
                        <c:v>7.9</c:v>
                      </c:pt>
                      <c:pt idx="49">
                        <c:v>7.9</c:v>
                      </c:pt>
                      <c:pt idx="50">
                        <c:v>7.9</c:v>
                      </c:pt>
                      <c:pt idx="51">
                        <c:v>7.9</c:v>
                      </c:pt>
                      <c:pt idx="52">
                        <c:v>7.9</c:v>
                      </c:pt>
                      <c:pt idx="53">
                        <c:v>7.9</c:v>
                      </c:pt>
                      <c:pt idx="54">
                        <c:v>7.9</c:v>
                      </c:pt>
                      <c:pt idx="55">
                        <c:v>7.9</c:v>
                      </c:pt>
                      <c:pt idx="56">
                        <c:v>7.9</c:v>
                      </c:pt>
                      <c:pt idx="57">
                        <c:v>7.9</c:v>
                      </c:pt>
                      <c:pt idx="58">
                        <c:v>7.9</c:v>
                      </c:pt>
                      <c:pt idx="59">
                        <c:v>7.9</c:v>
                      </c:pt>
                      <c:pt idx="60">
                        <c:v>7.9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023-42BD-8EAD-C08A8AA8D7B2}"/>
                  </c:ext>
                </c:extLst>
              </c15:ser>
            </c15:filteredLineSeries>
          </c:ext>
        </c:extLst>
      </c:lineChart>
      <c:catAx>
        <c:axId val="62785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59480"/>
        <c:crosses val="autoZero"/>
        <c:auto val="1"/>
        <c:lblAlgn val="ctr"/>
        <c:lblOffset val="100"/>
        <c:noMultiLvlLbl val="0"/>
      </c:catAx>
      <c:valAx>
        <c:axId val="62785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Energy Intensity [GJ/ton]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5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BF-BOF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Blast Oxygen Furnace (BOF)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Calcs_ChemEx!$E$4:$E$64</c:f>
              <c:numCache>
                <c:formatCode>0.00</c:formatCode>
                <c:ptCount val="61"/>
                <c:pt idx="0">
                  <c:v>42</c:v>
                </c:pt>
                <c:pt idx="1">
                  <c:v>41.6</c:v>
                </c:pt>
                <c:pt idx="2">
                  <c:v>41.2</c:v>
                </c:pt>
                <c:pt idx="3">
                  <c:v>40.799999999999997</c:v>
                </c:pt>
                <c:pt idx="4">
                  <c:v>40.4</c:v>
                </c:pt>
                <c:pt idx="5">
                  <c:v>40</c:v>
                </c:pt>
                <c:pt idx="6">
                  <c:v>39.6</c:v>
                </c:pt>
                <c:pt idx="7">
                  <c:v>39.200000000000003</c:v>
                </c:pt>
                <c:pt idx="8">
                  <c:v>38.799999999999997</c:v>
                </c:pt>
                <c:pt idx="9">
                  <c:v>38.4</c:v>
                </c:pt>
                <c:pt idx="10">
                  <c:v>38</c:v>
                </c:pt>
                <c:pt idx="11">
                  <c:v>37.6</c:v>
                </c:pt>
                <c:pt idx="12">
                  <c:v>37.200000000000003</c:v>
                </c:pt>
                <c:pt idx="13">
                  <c:v>36.799999999999997</c:v>
                </c:pt>
                <c:pt idx="14">
                  <c:v>36.4</c:v>
                </c:pt>
                <c:pt idx="15">
                  <c:v>36</c:v>
                </c:pt>
                <c:pt idx="16">
                  <c:v>35.6</c:v>
                </c:pt>
                <c:pt idx="17">
                  <c:v>35.200000000000003</c:v>
                </c:pt>
                <c:pt idx="18">
                  <c:v>34.799999999999997</c:v>
                </c:pt>
                <c:pt idx="19">
                  <c:v>34.4</c:v>
                </c:pt>
                <c:pt idx="20">
                  <c:v>34</c:v>
                </c:pt>
                <c:pt idx="21">
                  <c:v>33.6</c:v>
                </c:pt>
                <c:pt idx="22">
                  <c:v>33.200000000000003</c:v>
                </c:pt>
                <c:pt idx="23">
                  <c:v>32.799999999999997</c:v>
                </c:pt>
                <c:pt idx="24">
                  <c:v>32.4</c:v>
                </c:pt>
                <c:pt idx="25">
                  <c:v>32</c:v>
                </c:pt>
                <c:pt idx="26">
                  <c:v>31.6</c:v>
                </c:pt>
                <c:pt idx="27">
                  <c:v>31.2</c:v>
                </c:pt>
                <c:pt idx="28">
                  <c:v>30.8</c:v>
                </c:pt>
                <c:pt idx="29">
                  <c:v>30.4</c:v>
                </c:pt>
                <c:pt idx="30">
                  <c:v>30</c:v>
                </c:pt>
                <c:pt idx="31">
                  <c:v>29.6</c:v>
                </c:pt>
                <c:pt idx="32">
                  <c:v>29.2</c:v>
                </c:pt>
                <c:pt idx="33">
                  <c:v>28.8</c:v>
                </c:pt>
                <c:pt idx="34">
                  <c:v>28.4</c:v>
                </c:pt>
                <c:pt idx="35">
                  <c:v>28</c:v>
                </c:pt>
                <c:pt idx="36">
                  <c:v>27.6</c:v>
                </c:pt>
                <c:pt idx="37">
                  <c:v>27.2</c:v>
                </c:pt>
                <c:pt idx="38">
                  <c:v>26.8</c:v>
                </c:pt>
                <c:pt idx="39">
                  <c:v>26.4</c:v>
                </c:pt>
                <c:pt idx="40">
                  <c:v>26</c:v>
                </c:pt>
                <c:pt idx="41">
                  <c:v>25.6</c:v>
                </c:pt>
                <c:pt idx="42">
                  <c:v>25.2</c:v>
                </c:pt>
                <c:pt idx="43">
                  <c:v>24.8</c:v>
                </c:pt>
                <c:pt idx="44">
                  <c:v>24.4</c:v>
                </c:pt>
                <c:pt idx="45">
                  <c:v>24</c:v>
                </c:pt>
                <c:pt idx="46">
                  <c:v>24.15</c:v>
                </c:pt>
                <c:pt idx="47">
                  <c:v>24.3</c:v>
                </c:pt>
                <c:pt idx="48">
                  <c:v>24.5</c:v>
                </c:pt>
                <c:pt idx="49">
                  <c:v>24.2</c:v>
                </c:pt>
                <c:pt idx="50">
                  <c:v>24</c:v>
                </c:pt>
                <c:pt idx="51">
                  <c:v>23.5</c:v>
                </c:pt>
                <c:pt idx="52">
                  <c:v>23.1</c:v>
                </c:pt>
                <c:pt idx="53">
                  <c:v>23.5</c:v>
                </c:pt>
                <c:pt idx="54">
                  <c:v>23.2</c:v>
                </c:pt>
                <c:pt idx="55">
                  <c:v>23.9</c:v>
                </c:pt>
                <c:pt idx="56">
                  <c:v>23.9</c:v>
                </c:pt>
                <c:pt idx="57">
                  <c:v>23.9</c:v>
                </c:pt>
                <c:pt idx="58">
                  <c:v>23.486666666666679</c:v>
                </c:pt>
                <c:pt idx="59">
                  <c:v>23.435151515151531</c:v>
                </c:pt>
                <c:pt idx="60">
                  <c:v>23.383636363636384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80-485D-AEE7-FBFFF8FD43E0}"/>
            </c:ext>
          </c:extLst>
        </c:ser>
        <c:ser>
          <c:idx val="3"/>
          <c:order val="3"/>
          <c:tx>
            <c:v>Min - BOF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Calcs_ChemEx!$J$4:$J$64</c:f>
              <c:numCache>
                <c:formatCode>General</c:formatCode>
                <c:ptCount val="61"/>
                <c:pt idx="0">
                  <c:v>7.9</c:v>
                </c:pt>
                <c:pt idx="1">
                  <c:v>7.9</c:v>
                </c:pt>
                <c:pt idx="2">
                  <c:v>7.9</c:v>
                </c:pt>
                <c:pt idx="3">
                  <c:v>7.9</c:v>
                </c:pt>
                <c:pt idx="4">
                  <c:v>7.9</c:v>
                </c:pt>
                <c:pt idx="5">
                  <c:v>7.9</c:v>
                </c:pt>
                <c:pt idx="6">
                  <c:v>7.9</c:v>
                </c:pt>
                <c:pt idx="7">
                  <c:v>7.9</c:v>
                </c:pt>
                <c:pt idx="8">
                  <c:v>7.9</c:v>
                </c:pt>
                <c:pt idx="9">
                  <c:v>7.9</c:v>
                </c:pt>
                <c:pt idx="10">
                  <c:v>7.9</c:v>
                </c:pt>
                <c:pt idx="11">
                  <c:v>7.9</c:v>
                </c:pt>
                <c:pt idx="12">
                  <c:v>7.9</c:v>
                </c:pt>
                <c:pt idx="13">
                  <c:v>7.9</c:v>
                </c:pt>
                <c:pt idx="14">
                  <c:v>7.9</c:v>
                </c:pt>
                <c:pt idx="15">
                  <c:v>7.9</c:v>
                </c:pt>
                <c:pt idx="16">
                  <c:v>7.9</c:v>
                </c:pt>
                <c:pt idx="17">
                  <c:v>7.9</c:v>
                </c:pt>
                <c:pt idx="18">
                  <c:v>7.9</c:v>
                </c:pt>
                <c:pt idx="19">
                  <c:v>7.9</c:v>
                </c:pt>
                <c:pt idx="20">
                  <c:v>7.9</c:v>
                </c:pt>
                <c:pt idx="21">
                  <c:v>7.9</c:v>
                </c:pt>
                <c:pt idx="22">
                  <c:v>7.9</c:v>
                </c:pt>
                <c:pt idx="23">
                  <c:v>7.9</c:v>
                </c:pt>
                <c:pt idx="24">
                  <c:v>7.9</c:v>
                </c:pt>
                <c:pt idx="25">
                  <c:v>7.9</c:v>
                </c:pt>
                <c:pt idx="26">
                  <c:v>7.9</c:v>
                </c:pt>
                <c:pt idx="27">
                  <c:v>7.9</c:v>
                </c:pt>
                <c:pt idx="28">
                  <c:v>7.9</c:v>
                </c:pt>
                <c:pt idx="29">
                  <c:v>7.9</c:v>
                </c:pt>
                <c:pt idx="30">
                  <c:v>7.9</c:v>
                </c:pt>
                <c:pt idx="31">
                  <c:v>7.9</c:v>
                </c:pt>
                <c:pt idx="32">
                  <c:v>7.9</c:v>
                </c:pt>
                <c:pt idx="33">
                  <c:v>7.9</c:v>
                </c:pt>
                <c:pt idx="34">
                  <c:v>7.9</c:v>
                </c:pt>
                <c:pt idx="35">
                  <c:v>7.9</c:v>
                </c:pt>
                <c:pt idx="36">
                  <c:v>7.9</c:v>
                </c:pt>
                <c:pt idx="37">
                  <c:v>7.9</c:v>
                </c:pt>
                <c:pt idx="38">
                  <c:v>7.9</c:v>
                </c:pt>
                <c:pt idx="39">
                  <c:v>7.9</c:v>
                </c:pt>
                <c:pt idx="40">
                  <c:v>7.9</c:v>
                </c:pt>
                <c:pt idx="41">
                  <c:v>7.9</c:v>
                </c:pt>
                <c:pt idx="42">
                  <c:v>7.9</c:v>
                </c:pt>
                <c:pt idx="43">
                  <c:v>7.9</c:v>
                </c:pt>
                <c:pt idx="44">
                  <c:v>7.9</c:v>
                </c:pt>
                <c:pt idx="45">
                  <c:v>7.9</c:v>
                </c:pt>
                <c:pt idx="46">
                  <c:v>7.9</c:v>
                </c:pt>
                <c:pt idx="47">
                  <c:v>7.9</c:v>
                </c:pt>
                <c:pt idx="48">
                  <c:v>7.9</c:v>
                </c:pt>
                <c:pt idx="49">
                  <c:v>7.9</c:v>
                </c:pt>
                <c:pt idx="50">
                  <c:v>7.9</c:v>
                </c:pt>
                <c:pt idx="51">
                  <c:v>7.9</c:v>
                </c:pt>
                <c:pt idx="52">
                  <c:v>7.9</c:v>
                </c:pt>
                <c:pt idx="53">
                  <c:v>7.9</c:v>
                </c:pt>
                <c:pt idx="54">
                  <c:v>7.9</c:v>
                </c:pt>
                <c:pt idx="55">
                  <c:v>7.9</c:v>
                </c:pt>
                <c:pt idx="56">
                  <c:v>7.9</c:v>
                </c:pt>
                <c:pt idx="57">
                  <c:v>7.9</c:v>
                </c:pt>
                <c:pt idx="58">
                  <c:v>7.9</c:v>
                </c:pt>
                <c:pt idx="59">
                  <c:v>7.9</c:v>
                </c:pt>
                <c:pt idx="60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80-485D-AEE7-FBFFF8FD43E0}"/>
            </c:ext>
          </c:extLst>
        </c:ser>
        <c:ser>
          <c:idx val="5"/>
          <c:order val="5"/>
          <c:tx>
            <c:v>Chemical Exergy of Steel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Calcs_ChemEx!$R$4:$R$64</c:f>
              <c:numCache>
                <c:formatCode>General</c:formatCode>
                <c:ptCount val="61"/>
                <c:pt idx="0">
                  <c:v>7.7265499999999996</c:v>
                </c:pt>
                <c:pt idx="1">
                  <c:v>7.7265499999999996</c:v>
                </c:pt>
                <c:pt idx="2">
                  <c:v>7.7265499999999996</c:v>
                </c:pt>
                <c:pt idx="3">
                  <c:v>7.7265499999999996</c:v>
                </c:pt>
                <c:pt idx="4">
                  <c:v>7.7265499999999996</c:v>
                </c:pt>
                <c:pt idx="5">
                  <c:v>7.7265499999999996</c:v>
                </c:pt>
                <c:pt idx="6">
                  <c:v>7.7265499999999996</c:v>
                </c:pt>
                <c:pt idx="7">
                  <c:v>7.7265499999999996</c:v>
                </c:pt>
                <c:pt idx="8">
                  <c:v>7.7265499999999996</c:v>
                </c:pt>
                <c:pt idx="9">
                  <c:v>7.7265499999999996</c:v>
                </c:pt>
                <c:pt idx="10">
                  <c:v>7.7265499999999996</c:v>
                </c:pt>
                <c:pt idx="11">
                  <c:v>7.7265499999999996</c:v>
                </c:pt>
                <c:pt idx="12">
                  <c:v>7.7265499999999996</c:v>
                </c:pt>
                <c:pt idx="13">
                  <c:v>7.7265499999999996</c:v>
                </c:pt>
                <c:pt idx="14">
                  <c:v>7.7265499999999996</c:v>
                </c:pt>
                <c:pt idx="15">
                  <c:v>7.7265499999999996</c:v>
                </c:pt>
                <c:pt idx="16">
                  <c:v>7.7265499999999996</c:v>
                </c:pt>
                <c:pt idx="17">
                  <c:v>7.7265499999999996</c:v>
                </c:pt>
                <c:pt idx="18">
                  <c:v>7.7265499999999996</c:v>
                </c:pt>
                <c:pt idx="19">
                  <c:v>7.7265499999999996</c:v>
                </c:pt>
                <c:pt idx="20">
                  <c:v>7.7265499999999996</c:v>
                </c:pt>
                <c:pt idx="21">
                  <c:v>7.7265499999999996</c:v>
                </c:pt>
                <c:pt idx="22">
                  <c:v>7.7265499999999996</c:v>
                </c:pt>
                <c:pt idx="23">
                  <c:v>7.7265499999999996</c:v>
                </c:pt>
                <c:pt idx="24">
                  <c:v>7.7265499999999996</c:v>
                </c:pt>
                <c:pt idx="25">
                  <c:v>7.7265499999999996</c:v>
                </c:pt>
                <c:pt idx="26">
                  <c:v>7.7265499999999996</c:v>
                </c:pt>
                <c:pt idx="27">
                  <c:v>7.7265499999999996</c:v>
                </c:pt>
                <c:pt idx="28">
                  <c:v>7.7265499999999996</c:v>
                </c:pt>
                <c:pt idx="29">
                  <c:v>7.7265499999999996</c:v>
                </c:pt>
                <c:pt idx="30">
                  <c:v>7.7265499999999996</c:v>
                </c:pt>
                <c:pt idx="31">
                  <c:v>7.7265499999999996</c:v>
                </c:pt>
                <c:pt idx="32">
                  <c:v>7.7265499999999996</c:v>
                </c:pt>
                <c:pt idx="33">
                  <c:v>7.7265499999999996</c:v>
                </c:pt>
                <c:pt idx="34">
                  <c:v>7.7265499999999996</c:v>
                </c:pt>
                <c:pt idx="35">
                  <c:v>7.7265499999999996</c:v>
                </c:pt>
                <c:pt idx="36">
                  <c:v>7.7265499999999996</c:v>
                </c:pt>
                <c:pt idx="37">
                  <c:v>7.7265499999999996</c:v>
                </c:pt>
                <c:pt idx="38">
                  <c:v>7.7265499999999996</c:v>
                </c:pt>
                <c:pt idx="39">
                  <c:v>7.7265499999999996</c:v>
                </c:pt>
                <c:pt idx="40">
                  <c:v>7.7265499999999996</c:v>
                </c:pt>
                <c:pt idx="41">
                  <c:v>7.7265499999999996</c:v>
                </c:pt>
                <c:pt idx="42">
                  <c:v>7.7265499999999996</c:v>
                </c:pt>
                <c:pt idx="43">
                  <c:v>7.7265499999999996</c:v>
                </c:pt>
                <c:pt idx="44">
                  <c:v>7.7265499999999996</c:v>
                </c:pt>
                <c:pt idx="45">
                  <c:v>7.7265499999999996</c:v>
                </c:pt>
                <c:pt idx="46">
                  <c:v>7.7265499999999996</c:v>
                </c:pt>
                <c:pt idx="47">
                  <c:v>7.7265499999999996</c:v>
                </c:pt>
                <c:pt idx="48">
                  <c:v>7.7265499999999996</c:v>
                </c:pt>
                <c:pt idx="49">
                  <c:v>7.7265499999999996</c:v>
                </c:pt>
                <c:pt idx="50">
                  <c:v>7.7265499999999996</c:v>
                </c:pt>
                <c:pt idx="51">
                  <c:v>7.7265499999999996</c:v>
                </c:pt>
                <c:pt idx="52">
                  <c:v>7.7265499999999996</c:v>
                </c:pt>
                <c:pt idx="53">
                  <c:v>7.7265499999999996</c:v>
                </c:pt>
                <c:pt idx="54">
                  <c:v>7.7265499999999996</c:v>
                </c:pt>
                <c:pt idx="55">
                  <c:v>7.7265499999999996</c:v>
                </c:pt>
                <c:pt idx="56">
                  <c:v>7.7265499999999996</c:v>
                </c:pt>
                <c:pt idx="57">
                  <c:v>7.7265499999999996</c:v>
                </c:pt>
                <c:pt idx="58">
                  <c:v>7.7265499999999996</c:v>
                </c:pt>
                <c:pt idx="59">
                  <c:v>7.7265499999999996</c:v>
                </c:pt>
                <c:pt idx="60">
                  <c:v>7.7265499999999996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80-485D-AEE7-FBFFF8FD43E0}"/>
            </c:ext>
          </c:extLst>
        </c:ser>
        <c:ser>
          <c:idx val="6"/>
          <c:order val="6"/>
          <c:tx>
            <c:v>Chemical Energy of Iron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Calcs_ChemEx!$Q$4:$Q$64</c:f>
              <c:numCache>
                <c:formatCode>General</c:formatCode>
                <c:ptCount val="61"/>
                <c:pt idx="0">
                  <c:v>5.2</c:v>
                </c:pt>
                <c:pt idx="1">
                  <c:v>5.2</c:v>
                </c:pt>
                <c:pt idx="2">
                  <c:v>5.2</c:v>
                </c:pt>
                <c:pt idx="3">
                  <c:v>5.2</c:v>
                </c:pt>
                <c:pt idx="4">
                  <c:v>5.2</c:v>
                </c:pt>
                <c:pt idx="5">
                  <c:v>5.2</c:v>
                </c:pt>
                <c:pt idx="6">
                  <c:v>5.2</c:v>
                </c:pt>
                <c:pt idx="7">
                  <c:v>5.2</c:v>
                </c:pt>
                <c:pt idx="8">
                  <c:v>5.2</c:v>
                </c:pt>
                <c:pt idx="9">
                  <c:v>5.2</c:v>
                </c:pt>
                <c:pt idx="10">
                  <c:v>5.2</c:v>
                </c:pt>
                <c:pt idx="11">
                  <c:v>5.2</c:v>
                </c:pt>
                <c:pt idx="12">
                  <c:v>5.2</c:v>
                </c:pt>
                <c:pt idx="13">
                  <c:v>5.2</c:v>
                </c:pt>
                <c:pt idx="14">
                  <c:v>5.2</c:v>
                </c:pt>
                <c:pt idx="15">
                  <c:v>5.2</c:v>
                </c:pt>
                <c:pt idx="16">
                  <c:v>5.2</c:v>
                </c:pt>
                <c:pt idx="17">
                  <c:v>5.2</c:v>
                </c:pt>
                <c:pt idx="18">
                  <c:v>5.2</c:v>
                </c:pt>
                <c:pt idx="19">
                  <c:v>5.2</c:v>
                </c:pt>
                <c:pt idx="20">
                  <c:v>5.2</c:v>
                </c:pt>
                <c:pt idx="21">
                  <c:v>5.2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5.2</c:v>
                </c:pt>
                <c:pt idx="26">
                  <c:v>5.2</c:v>
                </c:pt>
                <c:pt idx="27">
                  <c:v>5.2</c:v>
                </c:pt>
                <c:pt idx="28">
                  <c:v>5.2</c:v>
                </c:pt>
                <c:pt idx="29">
                  <c:v>5.2</c:v>
                </c:pt>
                <c:pt idx="30">
                  <c:v>5.2</c:v>
                </c:pt>
                <c:pt idx="31">
                  <c:v>5.2</c:v>
                </c:pt>
                <c:pt idx="32">
                  <c:v>5.2</c:v>
                </c:pt>
                <c:pt idx="33">
                  <c:v>5.2</c:v>
                </c:pt>
                <c:pt idx="34">
                  <c:v>5.2</c:v>
                </c:pt>
                <c:pt idx="35">
                  <c:v>5.2</c:v>
                </c:pt>
                <c:pt idx="36">
                  <c:v>5.2</c:v>
                </c:pt>
                <c:pt idx="37">
                  <c:v>5.2</c:v>
                </c:pt>
                <c:pt idx="38">
                  <c:v>5.2</c:v>
                </c:pt>
                <c:pt idx="39">
                  <c:v>5.2</c:v>
                </c:pt>
                <c:pt idx="40">
                  <c:v>5.2</c:v>
                </c:pt>
                <c:pt idx="41">
                  <c:v>5.2</c:v>
                </c:pt>
                <c:pt idx="42">
                  <c:v>5.2</c:v>
                </c:pt>
                <c:pt idx="43">
                  <c:v>5.2</c:v>
                </c:pt>
                <c:pt idx="44">
                  <c:v>5.2</c:v>
                </c:pt>
                <c:pt idx="45">
                  <c:v>5.2</c:v>
                </c:pt>
                <c:pt idx="46">
                  <c:v>5.2</c:v>
                </c:pt>
                <c:pt idx="47">
                  <c:v>5.2</c:v>
                </c:pt>
                <c:pt idx="48">
                  <c:v>5.2</c:v>
                </c:pt>
                <c:pt idx="49">
                  <c:v>5.2</c:v>
                </c:pt>
                <c:pt idx="50">
                  <c:v>5.2</c:v>
                </c:pt>
                <c:pt idx="51">
                  <c:v>5.2</c:v>
                </c:pt>
                <c:pt idx="52">
                  <c:v>5.2</c:v>
                </c:pt>
                <c:pt idx="53">
                  <c:v>5.2</c:v>
                </c:pt>
                <c:pt idx="54">
                  <c:v>5.2</c:v>
                </c:pt>
                <c:pt idx="55">
                  <c:v>5.2</c:v>
                </c:pt>
                <c:pt idx="56">
                  <c:v>5.2</c:v>
                </c:pt>
                <c:pt idx="57">
                  <c:v>5.2</c:v>
                </c:pt>
                <c:pt idx="58">
                  <c:v>5.2</c:v>
                </c:pt>
                <c:pt idx="59">
                  <c:v>5.2</c:v>
                </c:pt>
                <c:pt idx="60">
                  <c:v>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80-485D-AEE7-FBFFF8FD4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857184"/>
        <c:axId val="62785948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Open Hearth Furnace (OHF)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Calcs_ChemEx!$A$4:$A$64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1960</c:v>
                      </c:pt>
                      <c:pt idx="1">
                        <c:v>1961</c:v>
                      </c:pt>
                      <c:pt idx="2">
                        <c:v>1962</c:v>
                      </c:pt>
                      <c:pt idx="3">
                        <c:v>1963</c:v>
                      </c:pt>
                      <c:pt idx="4">
                        <c:v>1964</c:v>
                      </c:pt>
                      <c:pt idx="5">
                        <c:v>1965</c:v>
                      </c:pt>
                      <c:pt idx="6">
                        <c:v>1966</c:v>
                      </c:pt>
                      <c:pt idx="7">
                        <c:v>1967</c:v>
                      </c:pt>
                      <c:pt idx="8">
                        <c:v>1968</c:v>
                      </c:pt>
                      <c:pt idx="9">
                        <c:v>1969</c:v>
                      </c:pt>
                      <c:pt idx="10">
                        <c:v>1970</c:v>
                      </c:pt>
                      <c:pt idx="11">
                        <c:v>1971</c:v>
                      </c:pt>
                      <c:pt idx="12">
                        <c:v>1972</c:v>
                      </c:pt>
                      <c:pt idx="13">
                        <c:v>1973</c:v>
                      </c:pt>
                      <c:pt idx="14">
                        <c:v>1974</c:v>
                      </c:pt>
                      <c:pt idx="15">
                        <c:v>1975</c:v>
                      </c:pt>
                      <c:pt idx="16">
                        <c:v>1976</c:v>
                      </c:pt>
                      <c:pt idx="17">
                        <c:v>1977</c:v>
                      </c:pt>
                      <c:pt idx="18">
                        <c:v>1978</c:v>
                      </c:pt>
                      <c:pt idx="19">
                        <c:v>1979</c:v>
                      </c:pt>
                      <c:pt idx="20">
                        <c:v>1980</c:v>
                      </c:pt>
                      <c:pt idx="21">
                        <c:v>1981</c:v>
                      </c:pt>
                      <c:pt idx="22">
                        <c:v>1982</c:v>
                      </c:pt>
                      <c:pt idx="23">
                        <c:v>1983</c:v>
                      </c:pt>
                      <c:pt idx="24">
                        <c:v>1984</c:v>
                      </c:pt>
                      <c:pt idx="25">
                        <c:v>1985</c:v>
                      </c:pt>
                      <c:pt idx="26">
                        <c:v>1986</c:v>
                      </c:pt>
                      <c:pt idx="27">
                        <c:v>1987</c:v>
                      </c:pt>
                      <c:pt idx="28">
                        <c:v>1988</c:v>
                      </c:pt>
                      <c:pt idx="29">
                        <c:v>1989</c:v>
                      </c:pt>
                      <c:pt idx="30">
                        <c:v>1990</c:v>
                      </c:pt>
                      <c:pt idx="31">
                        <c:v>1991</c:v>
                      </c:pt>
                      <c:pt idx="32">
                        <c:v>1992</c:v>
                      </c:pt>
                      <c:pt idx="33">
                        <c:v>1993</c:v>
                      </c:pt>
                      <c:pt idx="34">
                        <c:v>1994</c:v>
                      </c:pt>
                      <c:pt idx="35">
                        <c:v>1995</c:v>
                      </c:pt>
                      <c:pt idx="36">
                        <c:v>1996</c:v>
                      </c:pt>
                      <c:pt idx="37">
                        <c:v>1997</c:v>
                      </c:pt>
                      <c:pt idx="38">
                        <c:v>1998</c:v>
                      </c:pt>
                      <c:pt idx="39">
                        <c:v>1999</c:v>
                      </c:pt>
                      <c:pt idx="40">
                        <c:v>2000</c:v>
                      </c:pt>
                      <c:pt idx="41">
                        <c:v>2001</c:v>
                      </c:pt>
                      <c:pt idx="42">
                        <c:v>2002</c:v>
                      </c:pt>
                      <c:pt idx="43">
                        <c:v>2003</c:v>
                      </c:pt>
                      <c:pt idx="44">
                        <c:v>2004</c:v>
                      </c:pt>
                      <c:pt idx="45">
                        <c:v>2005</c:v>
                      </c:pt>
                      <c:pt idx="46">
                        <c:v>2006</c:v>
                      </c:pt>
                      <c:pt idx="47">
                        <c:v>2007</c:v>
                      </c:pt>
                      <c:pt idx="48">
                        <c:v>2008</c:v>
                      </c:pt>
                      <c:pt idx="49">
                        <c:v>2009</c:v>
                      </c:pt>
                      <c:pt idx="50">
                        <c:v>2010</c:v>
                      </c:pt>
                      <c:pt idx="51">
                        <c:v>2011</c:v>
                      </c:pt>
                      <c:pt idx="52">
                        <c:v>2012</c:v>
                      </c:pt>
                      <c:pt idx="53">
                        <c:v>2013</c:v>
                      </c:pt>
                      <c:pt idx="54">
                        <c:v>2014</c:v>
                      </c:pt>
                      <c:pt idx="55">
                        <c:v>2015</c:v>
                      </c:pt>
                      <c:pt idx="56">
                        <c:v>2016</c:v>
                      </c:pt>
                      <c:pt idx="57">
                        <c:v>2017</c:v>
                      </c:pt>
                      <c:pt idx="58">
                        <c:v>2018</c:v>
                      </c:pt>
                      <c:pt idx="59">
                        <c:v>2019</c:v>
                      </c:pt>
                      <c:pt idx="60">
                        <c:v>2020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Calcs_ChemEx!$G$4:$G$64</c15:sqref>
                        </c15:formulaRef>
                      </c:ext>
                    </c:extLst>
                    <c:numCache>
                      <c:formatCode>0.00</c:formatCode>
                      <c:ptCount val="61"/>
                      <c:pt idx="0">
                        <c:v>66</c:v>
                      </c:pt>
                      <c:pt idx="1">
                        <c:v>65.599999999999994</c:v>
                      </c:pt>
                      <c:pt idx="2">
                        <c:v>65.2</c:v>
                      </c:pt>
                      <c:pt idx="3">
                        <c:v>64.8</c:v>
                      </c:pt>
                      <c:pt idx="4">
                        <c:v>64.400000000000006</c:v>
                      </c:pt>
                      <c:pt idx="5">
                        <c:v>64</c:v>
                      </c:pt>
                      <c:pt idx="6">
                        <c:v>63.6</c:v>
                      </c:pt>
                      <c:pt idx="7">
                        <c:v>63.2</c:v>
                      </c:pt>
                      <c:pt idx="8">
                        <c:v>62.8</c:v>
                      </c:pt>
                      <c:pt idx="9">
                        <c:v>62.4</c:v>
                      </c:pt>
                      <c:pt idx="10">
                        <c:v>62</c:v>
                      </c:pt>
                      <c:pt idx="11">
                        <c:v>61.6</c:v>
                      </c:pt>
                      <c:pt idx="12">
                        <c:v>61.2</c:v>
                      </c:pt>
                      <c:pt idx="13">
                        <c:v>60.8</c:v>
                      </c:pt>
                      <c:pt idx="14">
                        <c:v>60.4</c:v>
                      </c:pt>
                      <c:pt idx="15">
                        <c:v>60</c:v>
                      </c:pt>
                      <c:pt idx="16">
                        <c:v>59.6</c:v>
                      </c:pt>
                      <c:pt idx="17">
                        <c:v>59.2</c:v>
                      </c:pt>
                      <c:pt idx="18">
                        <c:v>58.8</c:v>
                      </c:pt>
                      <c:pt idx="19">
                        <c:v>58.4</c:v>
                      </c:pt>
                      <c:pt idx="20">
                        <c:v>58</c:v>
                      </c:pt>
                      <c:pt idx="21">
                        <c:v>57.6</c:v>
                      </c:pt>
                      <c:pt idx="22">
                        <c:v>57.2</c:v>
                      </c:pt>
                      <c:pt idx="23">
                        <c:v>56.8</c:v>
                      </c:pt>
                      <c:pt idx="24">
                        <c:v>56.4</c:v>
                      </c:pt>
                      <c:pt idx="25">
                        <c:v>56</c:v>
                      </c:pt>
                      <c:pt idx="26">
                        <c:v>55.2</c:v>
                      </c:pt>
                      <c:pt idx="27">
                        <c:v>54.4</c:v>
                      </c:pt>
                      <c:pt idx="28">
                        <c:v>53.6</c:v>
                      </c:pt>
                      <c:pt idx="29">
                        <c:v>52.8</c:v>
                      </c:pt>
                      <c:pt idx="30">
                        <c:v>52</c:v>
                      </c:pt>
                      <c:pt idx="31">
                        <c:v>51.2</c:v>
                      </c:pt>
                      <c:pt idx="32">
                        <c:v>50.4</c:v>
                      </c:pt>
                      <c:pt idx="33">
                        <c:v>49.6</c:v>
                      </c:pt>
                      <c:pt idx="34">
                        <c:v>48.8</c:v>
                      </c:pt>
                      <c:pt idx="35">
                        <c:v>48</c:v>
                      </c:pt>
                      <c:pt idx="36">
                        <c:v>47.64</c:v>
                      </c:pt>
                      <c:pt idx="37">
                        <c:v>47.28</c:v>
                      </c:pt>
                      <c:pt idx="38">
                        <c:v>46.92</c:v>
                      </c:pt>
                      <c:pt idx="39">
                        <c:v>46.56</c:v>
                      </c:pt>
                      <c:pt idx="40">
                        <c:v>46.2</c:v>
                      </c:pt>
                      <c:pt idx="41">
                        <c:v>46.2</c:v>
                      </c:pt>
                      <c:pt idx="42">
                        <c:v>46.2</c:v>
                      </c:pt>
                      <c:pt idx="43">
                        <c:v>46.2</c:v>
                      </c:pt>
                      <c:pt idx="44">
                        <c:v>46.2</c:v>
                      </c:pt>
                      <c:pt idx="45">
                        <c:v>46.2</c:v>
                      </c:pt>
                      <c:pt idx="46">
                        <c:v>39.35</c:v>
                      </c:pt>
                      <c:pt idx="47">
                        <c:v>32.5</c:v>
                      </c:pt>
                      <c:pt idx="48">
                        <c:v>39.799999999999997</c:v>
                      </c:pt>
                      <c:pt idx="49">
                        <c:v>46.2</c:v>
                      </c:pt>
                      <c:pt idx="50">
                        <c:v>46.2</c:v>
                      </c:pt>
                      <c:pt idx="51">
                        <c:v>46.2</c:v>
                      </c:pt>
                      <c:pt idx="52">
                        <c:v>46.2</c:v>
                      </c:pt>
                      <c:pt idx="53">
                        <c:v>46.2</c:v>
                      </c:pt>
                      <c:pt idx="54">
                        <c:v>46.2</c:v>
                      </c:pt>
                      <c:pt idx="55">
                        <c:v>46.2</c:v>
                      </c:pt>
                      <c:pt idx="56">
                        <c:v>46.2</c:v>
                      </c:pt>
                      <c:pt idx="57">
                        <c:v>46.2</c:v>
                      </c:pt>
                      <c:pt idx="58">
                        <c:v>47.479999999999905</c:v>
                      </c:pt>
                      <c:pt idx="59">
                        <c:v>47.829090909090837</c:v>
                      </c:pt>
                      <c:pt idx="60">
                        <c:v>48.17818181818177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980-485D-AEE7-FBFFF8FD43E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Electric arc furnace (EAF)</c:v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Calcs_ChemEx!$A$4:$A$64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1960</c:v>
                      </c:pt>
                      <c:pt idx="1">
                        <c:v>1961</c:v>
                      </c:pt>
                      <c:pt idx="2">
                        <c:v>1962</c:v>
                      </c:pt>
                      <c:pt idx="3">
                        <c:v>1963</c:v>
                      </c:pt>
                      <c:pt idx="4">
                        <c:v>1964</c:v>
                      </c:pt>
                      <c:pt idx="5">
                        <c:v>1965</c:v>
                      </c:pt>
                      <c:pt idx="6">
                        <c:v>1966</c:v>
                      </c:pt>
                      <c:pt idx="7">
                        <c:v>1967</c:v>
                      </c:pt>
                      <c:pt idx="8">
                        <c:v>1968</c:v>
                      </c:pt>
                      <c:pt idx="9">
                        <c:v>1969</c:v>
                      </c:pt>
                      <c:pt idx="10">
                        <c:v>1970</c:v>
                      </c:pt>
                      <c:pt idx="11">
                        <c:v>1971</c:v>
                      </c:pt>
                      <c:pt idx="12">
                        <c:v>1972</c:v>
                      </c:pt>
                      <c:pt idx="13">
                        <c:v>1973</c:v>
                      </c:pt>
                      <c:pt idx="14">
                        <c:v>1974</c:v>
                      </c:pt>
                      <c:pt idx="15">
                        <c:v>1975</c:v>
                      </c:pt>
                      <c:pt idx="16">
                        <c:v>1976</c:v>
                      </c:pt>
                      <c:pt idx="17">
                        <c:v>1977</c:v>
                      </c:pt>
                      <c:pt idx="18">
                        <c:v>1978</c:v>
                      </c:pt>
                      <c:pt idx="19">
                        <c:v>1979</c:v>
                      </c:pt>
                      <c:pt idx="20">
                        <c:v>1980</c:v>
                      </c:pt>
                      <c:pt idx="21">
                        <c:v>1981</c:v>
                      </c:pt>
                      <c:pt idx="22">
                        <c:v>1982</c:v>
                      </c:pt>
                      <c:pt idx="23">
                        <c:v>1983</c:v>
                      </c:pt>
                      <c:pt idx="24">
                        <c:v>1984</c:v>
                      </c:pt>
                      <c:pt idx="25">
                        <c:v>1985</c:v>
                      </c:pt>
                      <c:pt idx="26">
                        <c:v>1986</c:v>
                      </c:pt>
                      <c:pt idx="27">
                        <c:v>1987</c:v>
                      </c:pt>
                      <c:pt idx="28">
                        <c:v>1988</c:v>
                      </c:pt>
                      <c:pt idx="29">
                        <c:v>1989</c:v>
                      </c:pt>
                      <c:pt idx="30">
                        <c:v>1990</c:v>
                      </c:pt>
                      <c:pt idx="31">
                        <c:v>1991</c:v>
                      </c:pt>
                      <c:pt idx="32">
                        <c:v>1992</c:v>
                      </c:pt>
                      <c:pt idx="33">
                        <c:v>1993</c:v>
                      </c:pt>
                      <c:pt idx="34">
                        <c:v>1994</c:v>
                      </c:pt>
                      <c:pt idx="35">
                        <c:v>1995</c:v>
                      </c:pt>
                      <c:pt idx="36">
                        <c:v>1996</c:v>
                      </c:pt>
                      <c:pt idx="37">
                        <c:v>1997</c:v>
                      </c:pt>
                      <c:pt idx="38">
                        <c:v>1998</c:v>
                      </c:pt>
                      <c:pt idx="39">
                        <c:v>1999</c:v>
                      </c:pt>
                      <c:pt idx="40">
                        <c:v>2000</c:v>
                      </c:pt>
                      <c:pt idx="41">
                        <c:v>2001</c:v>
                      </c:pt>
                      <c:pt idx="42">
                        <c:v>2002</c:v>
                      </c:pt>
                      <c:pt idx="43">
                        <c:v>2003</c:v>
                      </c:pt>
                      <c:pt idx="44">
                        <c:v>2004</c:v>
                      </c:pt>
                      <c:pt idx="45">
                        <c:v>2005</c:v>
                      </c:pt>
                      <c:pt idx="46">
                        <c:v>2006</c:v>
                      </c:pt>
                      <c:pt idx="47">
                        <c:v>2007</c:v>
                      </c:pt>
                      <c:pt idx="48">
                        <c:v>2008</c:v>
                      </c:pt>
                      <c:pt idx="49">
                        <c:v>2009</c:v>
                      </c:pt>
                      <c:pt idx="50">
                        <c:v>2010</c:v>
                      </c:pt>
                      <c:pt idx="51">
                        <c:v>2011</c:v>
                      </c:pt>
                      <c:pt idx="52">
                        <c:v>2012</c:v>
                      </c:pt>
                      <c:pt idx="53">
                        <c:v>2013</c:v>
                      </c:pt>
                      <c:pt idx="54">
                        <c:v>2014</c:v>
                      </c:pt>
                      <c:pt idx="55">
                        <c:v>2015</c:v>
                      </c:pt>
                      <c:pt idx="56">
                        <c:v>2016</c:v>
                      </c:pt>
                      <c:pt idx="57">
                        <c:v>2017</c:v>
                      </c:pt>
                      <c:pt idx="58">
                        <c:v>2018</c:v>
                      </c:pt>
                      <c:pt idx="59">
                        <c:v>2019</c:v>
                      </c:pt>
                      <c:pt idx="60">
                        <c:v>2020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Calcs_ChemEx!$F$4:$F$64</c15:sqref>
                        </c15:formulaRef>
                      </c:ext>
                    </c:extLst>
                    <c:numCache>
                      <c:formatCode>0.00</c:formatCode>
                      <c:ptCount val="61"/>
                      <c:pt idx="0">
                        <c:v>13.5</c:v>
                      </c:pt>
                      <c:pt idx="1">
                        <c:v>13.4</c:v>
                      </c:pt>
                      <c:pt idx="2">
                        <c:v>13.3</c:v>
                      </c:pt>
                      <c:pt idx="3">
                        <c:v>13.2</c:v>
                      </c:pt>
                      <c:pt idx="4">
                        <c:v>13.1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12.9</c:v>
                      </c:pt>
                      <c:pt idx="12">
                        <c:v>12.8</c:v>
                      </c:pt>
                      <c:pt idx="13">
                        <c:v>12.7</c:v>
                      </c:pt>
                      <c:pt idx="14">
                        <c:v>12.6</c:v>
                      </c:pt>
                      <c:pt idx="15">
                        <c:v>12.5</c:v>
                      </c:pt>
                      <c:pt idx="16">
                        <c:v>12.5</c:v>
                      </c:pt>
                      <c:pt idx="17">
                        <c:v>12.5</c:v>
                      </c:pt>
                      <c:pt idx="18">
                        <c:v>12.5</c:v>
                      </c:pt>
                      <c:pt idx="19">
                        <c:v>12.5</c:v>
                      </c:pt>
                      <c:pt idx="20">
                        <c:v>12.5</c:v>
                      </c:pt>
                      <c:pt idx="21">
                        <c:v>12.4</c:v>
                      </c:pt>
                      <c:pt idx="22">
                        <c:v>12.3</c:v>
                      </c:pt>
                      <c:pt idx="23">
                        <c:v>12.2</c:v>
                      </c:pt>
                      <c:pt idx="24">
                        <c:v>12.1</c:v>
                      </c:pt>
                      <c:pt idx="25">
                        <c:v>12</c:v>
                      </c:pt>
                      <c:pt idx="26">
                        <c:v>12</c:v>
                      </c:pt>
                      <c:pt idx="27">
                        <c:v>12</c:v>
                      </c:pt>
                      <c:pt idx="28">
                        <c:v>12</c:v>
                      </c:pt>
                      <c:pt idx="29">
                        <c:v>12</c:v>
                      </c:pt>
                      <c:pt idx="30">
                        <c:v>12</c:v>
                      </c:pt>
                      <c:pt idx="31">
                        <c:v>11.9</c:v>
                      </c:pt>
                      <c:pt idx="32">
                        <c:v>11.8</c:v>
                      </c:pt>
                      <c:pt idx="33">
                        <c:v>11.7</c:v>
                      </c:pt>
                      <c:pt idx="34">
                        <c:v>11.6</c:v>
                      </c:pt>
                      <c:pt idx="35">
                        <c:v>11.5</c:v>
                      </c:pt>
                      <c:pt idx="36">
                        <c:v>11.5</c:v>
                      </c:pt>
                      <c:pt idx="37">
                        <c:v>11.5</c:v>
                      </c:pt>
                      <c:pt idx="38">
                        <c:v>11.5</c:v>
                      </c:pt>
                      <c:pt idx="39">
                        <c:v>11.5</c:v>
                      </c:pt>
                      <c:pt idx="40">
                        <c:v>11.5</c:v>
                      </c:pt>
                      <c:pt idx="41">
                        <c:v>11.4</c:v>
                      </c:pt>
                      <c:pt idx="42">
                        <c:v>11.3</c:v>
                      </c:pt>
                      <c:pt idx="43">
                        <c:v>11.2</c:v>
                      </c:pt>
                      <c:pt idx="44">
                        <c:v>11.1</c:v>
                      </c:pt>
                      <c:pt idx="45">
                        <c:v>11</c:v>
                      </c:pt>
                      <c:pt idx="46">
                        <c:v>10.9</c:v>
                      </c:pt>
                      <c:pt idx="47">
                        <c:v>10.8</c:v>
                      </c:pt>
                      <c:pt idx="48">
                        <c:v>10</c:v>
                      </c:pt>
                      <c:pt idx="49">
                        <c:v>10.4</c:v>
                      </c:pt>
                      <c:pt idx="50">
                        <c:v>9.9</c:v>
                      </c:pt>
                      <c:pt idx="51">
                        <c:v>10.199999999999999</c:v>
                      </c:pt>
                      <c:pt idx="52">
                        <c:v>10.4</c:v>
                      </c:pt>
                      <c:pt idx="53">
                        <c:v>10.199999999999999</c:v>
                      </c:pt>
                      <c:pt idx="54">
                        <c:v>9.6</c:v>
                      </c:pt>
                      <c:pt idx="55">
                        <c:v>9.6</c:v>
                      </c:pt>
                      <c:pt idx="56">
                        <c:v>9.6</c:v>
                      </c:pt>
                      <c:pt idx="57">
                        <c:v>9.6</c:v>
                      </c:pt>
                      <c:pt idx="58">
                        <c:v>9.5266666666666424</c:v>
                      </c:pt>
                      <c:pt idx="59">
                        <c:v>9.4496969696969302</c:v>
                      </c:pt>
                      <c:pt idx="60">
                        <c:v>9.3727272727272464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980-485D-AEE7-FBFFF8FD43E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Min - EAF</c:v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Calcs_ChemEx!$A$4:$A$64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1960</c:v>
                      </c:pt>
                      <c:pt idx="1">
                        <c:v>1961</c:v>
                      </c:pt>
                      <c:pt idx="2">
                        <c:v>1962</c:v>
                      </c:pt>
                      <c:pt idx="3">
                        <c:v>1963</c:v>
                      </c:pt>
                      <c:pt idx="4">
                        <c:v>1964</c:v>
                      </c:pt>
                      <c:pt idx="5">
                        <c:v>1965</c:v>
                      </c:pt>
                      <c:pt idx="6">
                        <c:v>1966</c:v>
                      </c:pt>
                      <c:pt idx="7">
                        <c:v>1967</c:v>
                      </c:pt>
                      <c:pt idx="8">
                        <c:v>1968</c:v>
                      </c:pt>
                      <c:pt idx="9">
                        <c:v>1969</c:v>
                      </c:pt>
                      <c:pt idx="10">
                        <c:v>1970</c:v>
                      </c:pt>
                      <c:pt idx="11">
                        <c:v>1971</c:v>
                      </c:pt>
                      <c:pt idx="12">
                        <c:v>1972</c:v>
                      </c:pt>
                      <c:pt idx="13">
                        <c:v>1973</c:v>
                      </c:pt>
                      <c:pt idx="14">
                        <c:v>1974</c:v>
                      </c:pt>
                      <c:pt idx="15">
                        <c:v>1975</c:v>
                      </c:pt>
                      <c:pt idx="16">
                        <c:v>1976</c:v>
                      </c:pt>
                      <c:pt idx="17">
                        <c:v>1977</c:v>
                      </c:pt>
                      <c:pt idx="18">
                        <c:v>1978</c:v>
                      </c:pt>
                      <c:pt idx="19">
                        <c:v>1979</c:v>
                      </c:pt>
                      <c:pt idx="20">
                        <c:v>1980</c:v>
                      </c:pt>
                      <c:pt idx="21">
                        <c:v>1981</c:v>
                      </c:pt>
                      <c:pt idx="22">
                        <c:v>1982</c:v>
                      </c:pt>
                      <c:pt idx="23">
                        <c:v>1983</c:v>
                      </c:pt>
                      <c:pt idx="24">
                        <c:v>1984</c:v>
                      </c:pt>
                      <c:pt idx="25">
                        <c:v>1985</c:v>
                      </c:pt>
                      <c:pt idx="26">
                        <c:v>1986</c:v>
                      </c:pt>
                      <c:pt idx="27">
                        <c:v>1987</c:v>
                      </c:pt>
                      <c:pt idx="28">
                        <c:v>1988</c:v>
                      </c:pt>
                      <c:pt idx="29">
                        <c:v>1989</c:v>
                      </c:pt>
                      <c:pt idx="30">
                        <c:v>1990</c:v>
                      </c:pt>
                      <c:pt idx="31">
                        <c:v>1991</c:v>
                      </c:pt>
                      <c:pt idx="32">
                        <c:v>1992</c:v>
                      </c:pt>
                      <c:pt idx="33">
                        <c:v>1993</c:v>
                      </c:pt>
                      <c:pt idx="34">
                        <c:v>1994</c:v>
                      </c:pt>
                      <c:pt idx="35">
                        <c:v>1995</c:v>
                      </c:pt>
                      <c:pt idx="36">
                        <c:v>1996</c:v>
                      </c:pt>
                      <c:pt idx="37">
                        <c:v>1997</c:v>
                      </c:pt>
                      <c:pt idx="38">
                        <c:v>1998</c:v>
                      </c:pt>
                      <c:pt idx="39">
                        <c:v>1999</c:v>
                      </c:pt>
                      <c:pt idx="40">
                        <c:v>2000</c:v>
                      </c:pt>
                      <c:pt idx="41">
                        <c:v>2001</c:v>
                      </c:pt>
                      <c:pt idx="42">
                        <c:v>2002</c:v>
                      </c:pt>
                      <c:pt idx="43">
                        <c:v>2003</c:v>
                      </c:pt>
                      <c:pt idx="44">
                        <c:v>2004</c:v>
                      </c:pt>
                      <c:pt idx="45">
                        <c:v>2005</c:v>
                      </c:pt>
                      <c:pt idx="46">
                        <c:v>2006</c:v>
                      </c:pt>
                      <c:pt idx="47">
                        <c:v>2007</c:v>
                      </c:pt>
                      <c:pt idx="48">
                        <c:v>2008</c:v>
                      </c:pt>
                      <c:pt idx="49">
                        <c:v>2009</c:v>
                      </c:pt>
                      <c:pt idx="50">
                        <c:v>2010</c:v>
                      </c:pt>
                      <c:pt idx="51">
                        <c:v>2011</c:v>
                      </c:pt>
                      <c:pt idx="52">
                        <c:v>2012</c:v>
                      </c:pt>
                      <c:pt idx="53">
                        <c:v>2013</c:v>
                      </c:pt>
                      <c:pt idx="54">
                        <c:v>2014</c:v>
                      </c:pt>
                      <c:pt idx="55">
                        <c:v>2015</c:v>
                      </c:pt>
                      <c:pt idx="56">
                        <c:v>2016</c:v>
                      </c:pt>
                      <c:pt idx="57">
                        <c:v>2017</c:v>
                      </c:pt>
                      <c:pt idx="58">
                        <c:v>2018</c:v>
                      </c:pt>
                      <c:pt idx="59">
                        <c:v>2019</c:v>
                      </c:pt>
                      <c:pt idx="60">
                        <c:v>2020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Calcs_ChemEx!$K$4:$K$64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1.3</c:v>
                      </c:pt>
                      <c:pt idx="1">
                        <c:v>1.3</c:v>
                      </c:pt>
                      <c:pt idx="2">
                        <c:v>1.3</c:v>
                      </c:pt>
                      <c:pt idx="3">
                        <c:v>1.3</c:v>
                      </c:pt>
                      <c:pt idx="4">
                        <c:v>1.3</c:v>
                      </c:pt>
                      <c:pt idx="5">
                        <c:v>1.3</c:v>
                      </c:pt>
                      <c:pt idx="6">
                        <c:v>1.3</c:v>
                      </c:pt>
                      <c:pt idx="7">
                        <c:v>1.3</c:v>
                      </c:pt>
                      <c:pt idx="8">
                        <c:v>1.3</c:v>
                      </c:pt>
                      <c:pt idx="9">
                        <c:v>1.3</c:v>
                      </c:pt>
                      <c:pt idx="10">
                        <c:v>1.3</c:v>
                      </c:pt>
                      <c:pt idx="11">
                        <c:v>1.3</c:v>
                      </c:pt>
                      <c:pt idx="12">
                        <c:v>1.3</c:v>
                      </c:pt>
                      <c:pt idx="13">
                        <c:v>1.3</c:v>
                      </c:pt>
                      <c:pt idx="14">
                        <c:v>1.3</c:v>
                      </c:pt>
                      <c:pt idx="15">
                        <c:v>1.3</c:v>
                      </c:pt>
                      <c:pt idx="16">
                        <c:v>1.3</c:v>
                      </c:pt>
                      <c:pt idx="17">
                        <c:v>1.3</c:v>
                      </c:pt>
                      <c:pt idx="18">
                        <c:v>1.3</c:v>
                      </c:pt>
                      <c:pt idx="19">
                        <c:v>1.3</c:v>
                      </c:pt>
                      <c:pt idx="20">
                        <c:v>1.3</c:v>
                      </c:pt>
                      <c:pt idx="21">
                        <c:v>1.3</c:v>
                      </c:pt>
                      <c:pt idx="22">
                        <c:v>1.3</c:v>
                      </c:pt>
                      <c:pt idx="23">
                        <c:v>1.3</c:v>
                      </c:pt>
                      <c:pt idx="24">
                        <c:v>1.3</c:v>
                      </c:pt>
                      <c:pt idx="25">
                        <c:v>1.3</c:v>
                      </c:pt>
                      <c:pt idx="26">
                        <c:v>1.3</c:v>
                      </c:pt>
                      <c:pt idx="27">
                        <c:v>1.3</c:v>
                      </c:pt>
                      <c:pt idx="28">
                        <c:v>1.3</c:v>
                      </c:pt>
                      <c:pt idx="29">
                        <c:v>1.3</c:v>
                      </c:pt>
                      <c:pt idx="30">
                        <c:v>1.3</c:v>
                      </c:pt>
                      <c:pt idx="31">
                        <c:v>1.3</c:v>
                      </c:pt>
                      <c:pt idx="32">
                        <c:v>1.3</c:v>
                      </c:pt>
                      <c:pt idx="33">
                        <c:v>1.3</c:v>
                      </c:pt>
                      <c:pt idx="34">
                        <c:v>1.3</c:v>
                      </c:pt>
                      <c:pt idx="35">
                        <c:v>1.3</c:v>
                      </c:pt>
                      <c:pt idx="36">
                        <c:v>1.3</c:v>
                      </c:pt>
                      <c:pt idx="37">
                        <c:v>1.3</c:v>
                      </c:pt>
                      <c:pt idx="38">
                        <c:v>1.3</c:v>
                      </c:pt>
                      <c:pt idx="39">
                        <c:v>1.3</c:v>
                      </c:pt>
                      <c:pt idx="40">
                        <c:v>1.3</c:v>
                      </c:pt>
                      <c:pt idx="41">
                        <c:v>1.3</c:v>
                      </c:pt>
                      <c:pt idx="42">
                        <c:v>1.3</c:v>
                      </c:pt>
                      <c:pt idx="43">
                        <c:v>1.3</c:v>
                      </c:pt>
                      <c:pt idx="44">
                        <c:v>1.3</c:v>
                      </c:pt>
                      <c:pt idx="45">
                        <c:v>1.3</c:v>
                      </c:pt>
                      <c:pt idx="46">
                        <c:v>1.3</c:v>
                      </c:pt>
                      <c:pt idx="47">
                        <c:v>1.3</c:v>
                      </c:pt>
                      <c:pt idx="48">
                        <c:v>1.3</c:v>
                      </c:pt>
                      <c:pt idx="49">
                        <c:v>1.3</c:v>
                      </c:pt>
                      <c:pt idx="50">
                        <c:v>1.3</c:v>
                      </c:pt>
                      <c:pt idx="51">
                        <c:v>1.3</c:v>
                      </c:pt>
                      <c:pt idx="52">
                        <c:v>1.3</c:v>
                      </c:pt>
                      <c:pt idx="53">
                        <c:v>1.3</c:v>
                      </c:pt>
                      <c:pt idx="54">
                        <c:v>1.3</c:v>
                      </c:pt>
                      <c:pt idx="55">
                        <c:v>1.3</c:v>
                      </c:pt>
                      <c:pt idx="56">
                        <c:v>1.3</c:v>
                      </c:pt>
                      <c:pt idx="57">
                        <c:v>1.3</c:v>
                      </c:pt>
                      <c:pt idx="58">
                        <c:v>1.3</c:v>
                      </c:pt>
                      <c:pt idx="59">
                        <c:v>1.3</c:v>
                      </c:pt>
                      <c:pt idx="60">
                        <c:v>1.3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980-485D-AEE7-FBFFF8FD43E0}"/>
                  </c:ext>
                </c:extLst>
              </c15:ser>
            </c15:filteredLineSeries>
          </c:ext>
        </c:extLst>
      </c:lineChart>
      <c:catAx>
        <c:axId val="62785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59480"/>
        <c:crosses val="autoZero"/>
        <c:auto val="1"/>
        <c:lblAlgn val="ctr"/>
        <c:lblOffset val="100"/>
        <c:noMultiLvlLbl val="0"/>
      </c:catAx>
      <c:valAx>
        <c:axId val="62785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Energy Intensity [GJ/ton]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5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BF-BOF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 Method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Calcs_ChemEx!$AF$4:$AF$64</c:f>
              <c:numCache>
                <c:formatCode>0.00%</c:formatCode>
                <c:ptCount val="61"/>
                <c:pt idx="0">
                  <c:v>0.15942346571782653</c:v>
                </c:pt>
                <c:pt idx="1">
                  <c:v>0.16095638365742101</c:v>
                </c:pt>
                <c:pt idx="2">
                  <c:v>0.16251906699390084</c:v>
                </c:pt>
                <c:pt idx="3">
                  <c:v>0.16411239118011559</c:v>
                </c:pt>
                <c:pt idx="4">
                  <c:v>0.16573726634031472</c:v>
                </c:pt>
                <c:pt idx="5">
                  <c:v>0.16739463900371787</c:v>
                </c:pt>
                <c:pt idx="6">
                  <c:v>0.16908549394314937</c:v>
                </c:pt>
                <c:pt idx="7">
                  <c:v>0.17081085612624272</c:v>
                </c:pt>
                <c:pt idx="8">
                  <c:v>0.17257179278733803</c:v>
                </c:pt>
                <c:pt idx="9">
                  <c:v>0.17436941562887279</c:v>
                </c:pt>
                <c:pt idx="10">
                  <c:v>0.1762048831618083</c:v>
                </c:pt>
                <c:pt idx="11">
                  <c:v>0.17807940319544455</c:v>
                </c:pt>
                <c:pt idx="12">
                  <c:v>0.17999423548786866</c:v>
                </c:pt>
                <c:pt idx="13">
                  <c:v>0.18195069456925858</c:v>
                </c:pt>
                <c:pt idx="14">
                  <c:v>0.1839501527513383</c:v>
                </c:pt>
                <c:pt idx="15">
                  <c:v>0.18599404333746428</c:v>
                </c:pt>
                <c:pt idx="16">
                  <c:v>0.1880838640491212</c:v>
                </c:pt>
                <c:pt idx="17">
                  <c:v>0.19022118068604302</c:v>
                </c:pt>
                <c:pt idx="18">
                  <c:v>0.19240763103875619</c:v>
                </c:pt>
                <c:pt idx="19">
                  <c:v>0.19464492907409056</c:v>
                </c:pt>
                <c:pt idx="20">
                  <c:v>0.19693486941613866</c:v>
                </c:pt>
                <c:pt idx="21">
                  <c:v>0.19927933214728316</c:v>
                </c:pt>
                <c:pt idx="22">
                  <c:v>0.20168028795628656</c:v>
                </c:pt>
                <c:pt idx="23">
                  <c:v>0.20413980366307058</c:v>
                </c:pt>
                <c:pt idx="24">
                  <c:v>0.20666004815273811</c:v>
                </c:pt>
                <c:pt idx="25">
                  <c:v>0.20924329875464734</c:v>
                </c:pt>
                <c:pt idx="26">
                  <c:v>0.21189194810597198</c:v>
                </c:pt>
                <c:pt idx="27">
                  <c:v>0.21460851154322808</c:v>
                </c:pt>
                <c:pt idx="28">
                  <c:v>0.21739563506976345</c:v>
                </c:pt>
                <c:pt idx="29">
                  <c:v>0.22025610395226033</c:v>
                </c:pt>
                <c:pt idx="30">
                  <c:v>0.22319285200495717</c:v>
                </c:pt>
                <c:pt idx="31">
                  <c:v>0.22620897162664574</c:v>
                </c:pt>
                <c:pt idx="32">
                  <c:v>0.22930772466262722</c:v>
                </c:pt>
                <c:pt idx="33">
                  <c:v>0.23249255417183037</c:v>
                </c:pt>
                <c:pt idx="34">
                  <c:v>0.23576709718833502</c:v>
                </c:pt>
                <c:pt idx="35">
                  <c:v>0.23913519857673979</c:v>
                </c:pt>
                <c:pt idx="36">
                  <c:v>0.24260092609234471</c:v>
                </c:pt>
                <c:pt idx="37">
                  <c:v>0.24616858677017334</c:v>
                </c:pt>
                <c:pt idx="38">
                  <c:v>0.24984274478166846</c:v>
                </c:pt>
                <c:pt idx="39">
                  <c:v>0.25362824091472402</c:v>
                </c:pt>
                <c:pt idx="40">
                  <c:v>0.25753021385187364</c:v>
                </c:pt>
                <c:pt idx="41">
                  <c:v>0.26155412344330914</c:v>
                </c:pt>
                <c:pt idx="42">
                  <c:v>0.26570577619637753</c:v>
                </c:pt>
                <c:pt idx="43">
                  <c:v>0.26999135323180301</c:v>
                </c:pt>
                <c:pt idx="44">
                  <c:v>0.27441744098970144</c:v>
                </c:pt>
                <c:pt idx="45">
                  <c:v>0.27899106500619641</c:v>
                </c:pt>
                <c:pt idx="46">
                  <c:v>0.27725820124839401</c:v>
                </c:pt>
                <c:pt idx="47">
                  <c:v>0.2755467308703175</c:v>
                </c:pt>
                <c:pt idx="48">
                  <c:v>0.27329736980198838</c:v>
                </c:pt>
                <c:pt idx="49">
                  <c:v>0.27668535372515352</c:v>
                </c:pt>
                <c:pt idx="50">
                  <c:v>0.27899106500619641</c:v>
                </c:pt>
                <c:pt idx="51">
                  <c:v>0.28492704511271127</c:v>
                </c:pt>
                <c:pt idx="52">
                  <c:v>0.28986084675968465</c:v>
                </c:pt>
                <c:pt idx="53">
                  <c:v>0.28492704511271127</c:v>
                </c:pt>
                <c:pt idx="54">
                  <c:v>0.28861144655813425</c:v>
                </c:pt>
                <c:pt idx="55">
                  <c:v>0.28015839163802153</c:v>
                </c:pt>
                <c:pt idx="56">
                  <c:v>0.28015839163802153</c:v>
                </c:pt>
                <c:pt idx="57">
                  <c:v>0.28015839163802153</c:v>
                </c:pt>
                <c:pt idx="58">
                  <c:v>0.28508879762200018</c:v>
                </c:pt>
                <c:pt idx="59">
                  <c:v>0.28571547983462742</c:v>
                </c:pt>
                <c:pt idx="60">
                  <c:v>0.28634492326271593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33-4BAD-896D-E5564FC95125}"/>
            </c:ext>
          </c:extLst>
        </c:ser>
        <c:ser>
          <c:idx val="1"/>
          <c:order val="1"/>
          <c:tx>
            <c:v>Theoretical Minimum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Calcs_ChemEx!$AP$4:$AP$64</c:f>
              <c:numCache>
                <c:formatCode>0.00%</c:formatCode>
                <c:ptCount val="61"/>
                <c:pt idx="0">
                  <c:v>0.18396547619047615</c:v>
                </c:pt>
                <c:pt idx="1">
                  <c:v>0.18573437499999995</c:v>
                </c:pt>
                <c:pt idx="2">
                  <c:v>0.18753762135922328</c:v>
                </c:pt>
                <c:pt idx="3">
                  <c:v>0.18937622549019609</c:v>
                </c:pt>
                <c:pt idx="4">
                  <c:v>0.19125123762376237</c:v>
                </c:pt>
                <c:pt idx="5">
                  <c:v>0.19316374999999997</c:v>
                </c:pt>
                <c:pt idx="6">
                  <c:v>0.19511489898989898</c:v>
                </c:pt>
                <c:pt idx="7">
                  <c:v>0.19710586734693875</c:v>
                </c:pt>
                <c:pt idx="8">
                  <c:v>0.19913788659793813</c:v>
                </c:pt>
                <c:pt idx="9">
                  <c:v>0.20121223958333331</c:v>
                </c:pt>
                <c:pt idx="10">
                  <c:v>0.20333026315789471</c:v>
                </c:pt>
                <c:pt idx="11">
                  <c:v>0.20549335106382977</c:v>
                </c:pt>
                <c:pt idx="12">
                  <c:v>0.20770295698924729</c:v>
                </c:pt>
                <c:pt idx="13">
                  <c:v>0.20996059782608695</c:v>
                </c:pt>
                <c:pt idx="14">
                  <c:v>0.21226785714285712</c:v>
                </c:pt>
                <c:pt idx="15">
                  <c:v>0.21462638888888885</c:v>
                </c:pt>
                <c:pt idx="16">
                  <c:v>0.21703792134831459</c:v>
                </c:pt>
                <c:pt idx="17">
                  <c:v>0.21950426136363632</c:v>
                </c:pt>
                <c:pt idx="18">
                  <c:v>0.22202729885057471</c:v>
                </c:pt>
                <c:pt idx="19">
                  <c:v>0.22460901162790697</c:v>
                </c:pt>
                <c:pt idx="20">
                  <c:v>0.22725147058823528</c:v>
                </c:pt>
                <c:pt idx="21">
                  <c:v>0.2299568452380952</c:v>
                </c:pt>
                <c:pt idx="22">
                  <c:v>0.23272740963855418</c:v>
                </c:pt>
                <c:pt idx="23">
                  <c:v>0.2355655487804878</c:v>
                </c:pt>
                <c:pt idx="24">
                  <c:v>0.23847376543209875</c:v>
                </c:pt>
                <c:pt idx="25">
                  <c:v>0.24145468749999999</c:v>
                </c:pt>
                <c:pt idx="26">
                  <c:v>0.24451107594936705</c:v>
                </c:pt>
                <c:pt idx="27">
                  <c:v>0.24764583333333334</c:v>
                </c:pt>
                <c:pt idx="28">
                  <c:v>0.25086201298701294</c:v>
                </c:pt>
                <c:pt idx="29">
                  <c:v>0.25416282894736836</c:v>
                </c:pt>
                <c:pt idx="30">
                  <c:v>0.25755166666666668</c:v>
                </c:pt>
                <c:pt idx="31">
                  <c:v>0.26103209459459453</c:v>
                </c:pt>
                <c:pt idx="32">
                  <c:v>0.26460787671232877</c:v>
                </c:pt>
                <c:pt idx="33">
                  <c:v>0.26828298611111112</c:v>
                </c:pt>
                <c:pt idx="34">
                  <c:v>0.27206161971830983</c:v>
                </c:pt>
                <c:pt idx="35">
                  <c:v>0.27594821428571426</c:v>
                </c:pt>
                <c:pt idx="36">
                  <c:v>0.27994746376811591</c:v>
                </c:pt>
                <c:pt idx="37">
                  <c:v>0.28406433823529409</c:v>
                </c:pt>
                <c:pt idx="38">
                  <c:v>0.2883041044776119</c:v>
                </c:pt>
                <c:pt idx="39">
                  <c:v>0.29267234848484847</c:v>
                </c:pt>
                <c:pt idx="40">
                  <c:v>0.29717499999999997</c:v>
                </c:pt>
                <c:pt idx="41">
                  <c:v>0.30181835937499996</c:v>
                </c:pt>
                <c:pt idx="42">
                  <c:v>0.30660912698412696</c:v>
                </c:pt>
                <c:pt idx="43">
                  <c:v>0.31155443548387091</c:v>
                </c:pt>
                <c:pt idx="44">
                  <c:v>0.31666188524590161</c:v>
                </c:pt>
                <c:pt idx="45">
                  <c:v>0.32193958333333328</c:v>
                </c:pt>
                <c:pt idx="46">
                  <c:v>0.31993995859213248</c:v>
                </c:pt>
                <c:pt idx="47">
                  <c:v>0.31796502057613169</c:v>
                </c:pt>
                <c:pt idx="48">
                  <c:v>0.31536938775510204</c:v>
                </c:pt>
                <c:pt idx="49">
                  <c:v>0.31927892561983467</c:v>
                </c:pt>
                <c:pt idx="50">
                  <c:v>0.32193958333333328</c:v>
                </c:pt>
                <c:pt idx="51">
                  <c:v>0.32878936170212764</c:v>
                </c:pt>
                <c:pt idx="52">
                  <c:v>0.33448268398268394</c:v>
                </c:pt>
                <c:pt idx="53">
                  <c:v>0.32878936170212764</c:v>
                </c:pt>
                <c:pt idx="54">
                  <c:v>0.33304094827586206</c:v>
                </c:pt>
                <c:pt idx="55">
                  <c:v>0.32328661087866106</c:v>
                </c:pt>
                <c:pt idx="56">
                  <c:v>0.32328661087866106</c:v>
                </c:pt>
                <c:pt idx="57">
                  <c:v>0.32328661087866106</c:v>
                </c:pt>
                <c:pt idx="58">
                  <c:v>0.32897601476014737</c:v>
                </c:pt>
                <c:pt idx="59">
                  <c:v>0.32969916985621162</c:v>
                </c:pt>
                <c:pt idx="60">
                  <c:v>0.33042551123551789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33-4BAD-896D-E5564FC95125}"/>
            </c:ext>
          </c:extLst>
        </c:ser>
        <c:ser>
          <c:idx val="2"/>
          <c:order val="2"/>
          <c:tx>
            <c:v>Chemical Energy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Calcs_ChemEx!$AZ$4:$AZ$64</c:f>
              <c:numCache>
                <c:formatCode>0.00%</c:formatCode>
                <c:ptCount val="61"/>
                <c:pt idx="0">
                  <c:v>0.18396547619047618</c:v>
                </c:pt>
                <c:pt idx="1">
                  <c:v>0.18573437499999998</c:v>
                </c:pt>
                <c:pt idx="2">
                  <c:v>0.18753762135922328</c:v>
                </c:pt>
                <c:pt idx="3">
                  <c:v>0.18937622549019609</c:v>
                </c:pt>
                <c:pt idx="4">
                  <c:v>0.19125123762376237</c:v>
                </c:pt>
                <c:pt idx="5">
                  <c:v>0.19316375</c:v>
                </c:pt>
                <c:pt idx="6">
                  <c:v>0.19511489898989898</c:v>
                </c:pt>
                <c:pt idx="7">
                  <c:v>0.19710586734693877</c:v>
                </c:pt>
                <c:pt idx="8">
                  <c:v>0.19913788659793816</c:v>
                </c:pt>
                <c:pt idx="9">
                  <c:v>0.20121223958333334</c:v>
                </c:pt>
                <c:pt idx="10">
                  <c:v>0.20333026315789474</c:v>
                </c:pt>
                <c:pt idx="11">
                  <c:v>0.20549335106382977</c:v>
                </c:pt>
                <c:pt idx="12">
                  <c:v>0.20770295698924726</c:v>
                </c:pt>
                <c:pt idx="13">
                  <c:v>0.20996059782608695</c:v>
                </c:pt>
                <c:pt idx="14">
                  <c:v>0.21226785714285715</c:v>
                </c:pt>
                <c:pt idx="15">
                  <c:v>0.21462638888888888</c:v>
                </c:pt>
                <c:pt idx="16">
                  <c:v>0.21703792134831457</c:v>
                </c:pt>
                <c:pt idx="17">
                  <c:v>0.21950426136363632</c:v>
                </c:pt>
                <c:pt idx="18">
                  <c:v>0.22202729885057471</c:v>
                </c:pt>
                <c:pt idx="19">
                  <c:v>0.22460901162790697</c:v>
                </c:pt>
                <c:pt idx="20">
                  <c:v>0.22725147058823528</c:v>
                </c:pt>
                <c:pt idx="21">
                  <c:v>0.22995684523809523</c:v>
                </c:pt>
                <c:pt idx="22">
                  <c:v>0.23272740963855421</c:v>
                </c:pt>
                <c:pt idx="23">
                  <c:v>0.23556554878048783</c:v>
                </c:pt>
                <c:pt idx="24">
                  <c:v>0.23847376543209878</c:v>
                </c:pt>
                <c:pt idx="25">
                  <c:v>0.24145468749999999</c:v>
                </c:pt>
                <c:pt idx="26">
                  <c:v>0.24451107594936705</c:v>
                </c:pt>
                <c:pt idx="27">
                  <c:v>0.24764583333333334</c:v>
                </c:pt>
                <c:pt idx="28">
                  <c:v>0.25086201298701294</c:v>
                </c:pt>
                <c:pt idx="29">
                  <c:v>0.25416282894736841</c:v>
                </c:pt>
                <c:pt idx="30">
                  <c:v>0.25755166666666662</c:v>
                </c:pt>
                <c:pt idx="31">
                  <c:v>0.26103209459459459</c:v>
                </c:pt>
                <c:pt idx="32">
                  <c:v>0.26460787671232877</c:v>
                </c:pt>
                <c:pt idx="33">
                  <c:v>0.26828298611111107</c:v>
                </c:pt>
                <c:pt idx="34">
                  <c:v>0.27206161971830983</c:v>
                </c:pt>
                <c:pt idx="35">
                  <c:v>0.27594821428571426</c:v>
                </c:pt>
                <c:pt idx="36">
                  <c:v>0.27994746376811591</c:v>
                </c:pt>
                <c:pt idx="37">
                  <c:v>0.28406433823529409</c:v>
                </c:pt>
                <c:pt idx="38">
                  <c:v>0.2883041044776119</c:v>
                </c:pt>
                <c:pt idx="39">
                  <c:v>0.29267234848484847</c:v>
                </c:pt>
                <c:pt idx="40">
                  <c:v>0.29717499999999997</c:v>
                </c:pt>
                <c:pt idx="41">
                  <c:v>0.30181835937499996</c:v>
                </c:pt>
                <c:pt idx="42">
                  <c:v>0.30660912698412696</c:v>
                </c:pt>
                <c:pt idx="43">
                  <c:v>0.31155443548387096</c:v>
                </c:pt>
                <c:pt idx="44">
                  <c:v>0.31666188524590161</c:v>
                </c:pt>
                <c:pt idx="45">
                  <c:v>0.32193958333333333</c:v>
                </c:pt>
                <c:pt idx="46">
                  <c:v>0.31993995859213248</c:v>
                </c:pt>
                <c:pt idx="47">
                  <c:v>0.31796502057613163</c:v>
                </c:pt>
                <c:pt idx="48">
                  <c:v>0.31536938775510204</c:v>
                </c:pt>
                <c:pt idx="49">
                  <c:v>0.31927892561983467</c:v>
                </c:pt>
                <c:pt idx="50">
                  <c:v>0.32193958333333333</c:v>
                </c:pt>
                <c:pt idx="51">
                  <c:v>0.32878936170212764</c:v>
                </c:pt>
                <c:pt idx="52">
                  <c:v>0.33448268398268394</c:v>
                </c:pt>
                <c:pt idx="53">
                  <c:v>0.32878936170212764</c:v>
                </c:pt>
                <c:pt idx="54">
                  <c:v>0.33304094827586206</c:v>
                </c:pt>
                <c:pt idx="55">
                  <c:v>0.32328661087866106</c:v>
                </c:pt>
                <c:pt idx="56">
                  <c:v>0.32328661087866106</c:v>
                </c:pt>
                <c:pt idx="57">
                  <c:v>0.32328661087866106</c:v>
                </c:pt>
                <c:pt idx="58">
                  <c:v>0.32897601476014737</c:v>
                </c:pt>
                <c:pt idx="59">
                  <c:v>0.32969916985621162</c:v>
                </c:pt>
                <c:pt idx="60">
                  <c:v>0.33042551123551794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33-4BAD-896D-E5564FC95125}"/>
            </c:ext>
          </c:extLst>
        </c:ser>
        <c:ser>
          <c:idx val="3"/>
          <c:order val="3"/>
          <c:tx>
            <c:v>Exergy Analysis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Calcs_ChemEx!$BJ$4:$BJ$64</c:f>
              <c:numCache>
                <c:formatCode>0.00%</c:formatCode>
                <c:ptCount val="61"/>
                <c:pt idx="0">
                  <c:v>0.17409512338591784</c:v>
                </c:pt>
                <c:pt idx="1">
                  <c:v>0.17567848295343658</c:v>
                </c:pt>
                <c:pt idx="2">
                  <c:v>0.17729090752457663</c:v>
                </c:pt>
                <c:pt idx="3">
                  <c:v>0.17893320481210701</c:v>
                </c:pt>
                <c:pt idx="4">
                  <c:v>0.1806062127369375</c:v>
                </c:pt>
                <c:pt idx="5">
                  <c:v>0.18231080085366322</c:v>
                </c:pt>
                <c:pt idx="6">
                  <c:v>0.18404787185760532</c:v>
                </c:pt>
                <c:pt idx="7">
                  <c:v>0.18581836317883554</c:v>
                </c:pt>
                <c:pt idx="8">
                  <c:v>0.18762324866909902</c:v>
                </c:pt>
                <c:pt idx="9">
                  <c:v>0.18946354038801358</c:v>
                </c:pt>
                <c:pt idx="10">
                  <c:v>0.19134029049542942</c:v>
                </c:pt>
                <c:pt idx="11">
                  <c:v>0.19325459325738364</c:v>
                </c:pt>
                <c:pt idx="12">
                  <c:v>0.19520758717368553</c:v>
                </c:pt>
                <c:pt idx="13">
                  <c:v>0.19720045723582469</c:v>
                </c:pt>
                <c:pt idx="14">
                  <c:v>0.19923443732461132</c:v>
                </c:pt>
                <c:pt idx="15">
                  <c:v>0.20131081275774246</c:v>
                </c:pt>
                <c:pt idx="16">
                  <c:v>0.20343092299834686</c:v>
                </c:pt>
                <c:pt idx="17">
                  <c:v>0.20559616453650195</c:v>
                </c:pt>
                <c:pt idx="18">
                  <c:v>0.20780799395674943</c:v>
                </c:pt>
                <c:pt idx="19">
                  <c:v>0.21006793120576819</c:v>
                </c:pt>
                <c:pt idx="20">
                  <c:v>0.21237756307561004</c:v>
                </c:pt>
                <c:pt idx="21">
                  <c:v>0.2147385469192718</c:v>
                </c:pt>
                <c:pt idx="22">
                  <c:v>0.21715261461688853</c:v>
                </c:pt>
                <c:pt idx="23">
                  <c:v>0.21962157681249289</c:v>
                </c:pt>
                <c:pt idx="24">
                  <c:v>0.2221473274431231</c:v>
                </c:pt>
                <c:pt idx="25">
                  <c:v>0.2247318485840881</c:v>
                </c:pt>
                <c:pt idx="26">
                  <c:v>0.22737721563644031</c:v>
                </c:pt>
                <c:pt idx="27">
                  <c:v>0.23008560288518998</c:v>
                </c:pt>
                <c:pt idx="28">
                  <c:v>0.23285928945954548</c:v>
                </c:pt>
                <c:pt idx="29">
                  <c:v>0.23570066572951939</c:v>
                </c:pt>
                <c:pt idx="30">
                  <c:v>0.23861224017663196</c:v>
                </c:pt>
                <c:pt idx="31">
                  <c:v>0.24159664678022041</c:v>
                </c:pt>
                <c:pt idx="32">
                  <c:v>0.24465665296506786</c:v>
                </c:pt>
                <c:pt idx="33">
                  <c:v>0.24779516816075683</c:v>
                </c:pt>
                <c:pt idx="34">
                  <c:v>0.251015253028393</c:v>
                </c:pt>
                <c:pt idx="35">
                  <c:v>0.25432012941620502</c:v>
                </c:pt>
                <c:pt idx="36">
                  <c:v>0.25771319111209207</c:v>
                </c:pt>
                <c:pt idx="37">
                  <c:v>0.26119801546855376</c:v>
                </c:pt>
                <c:pt idx="38">
                  <c:v>0.26477837598370896</c:v>
                </c:pt>
                <c:pt idx="39">
                  <c:v>0.26845825593141859</c:v>
                </c:pt>
                <c:pt idx="40">
                  <c:v>0.27224186314401211</c:v>
                </c:pt>
                <c:pt idx="41">
                  <c:v>0.27613364606295671</c:v>
                </c:pt>
                <c:pt idx="42">
                  <c:v>0.28013831118618826</c:v>
                </c:pt>
                <c:pt idx="43">
                  <c:v>0.28426084205597751</c:v>
                </c:pt>
                <c:pt idx="44">
                  <c:v>0.28850651994839632</c:v>
                </c:pt>
                <c:pt idx="45">
                  <c:v>0.29288094644498452</c:v>
                </c:pt>
                <c:pt idx="46">
                  <c:v>0.29122507914054985</c:v>
                </c:pt>
                <c:pt idx="47">
                  <c:v>0.2895878301982478</c:v>
                </c:pt>
                <c:pt idx="48">
                  <c:v>0.28743325480339921</c:v>
                </c:pt>
                <c:pt idx="49">
                  <c:v>0.29067727635140206</c:v>
                </c:pt>
                <c:pt idx="50">
                  <c:v>0.29288094644498452</c:v>
                </c:pt>
                <c:pt idx="51">
                  <c:v>0.29853912648100422</c:v>
                </c:pt>
                <c:pt idx="52">
                  <c:v>0.30322554877599006</c:v>
                </c:pt>
                <c:pt idx="53">
                  <c:v>0.29853912648100422</c:v>
                </c:pt>
                <c:pt idx="54">
                  <c:v>0.30204020335771731</c:v>
                </c:pt>
                <c:pt idx="55">
                  <c:v>0.29399535894445827</c:v>
                </c:pt>
                <c:pt idx="56">
                  <c:v>0.29399535894445827</c:v>
                </c:pt>
                <c:pt idx="57">
                  <c:v>0.29399535894445827</c:v>
                </c:pt>
                <c:pt idx="58">
                  <c:v>0.29869300550670108</c:v>
                </c:pt>
                <c:pt idx="59">
                  <c:v>0.29928903152159947</c:v>
                </c:pt>
                <c:pt idx="60">
                  <c:v>0.2998874409689703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33-4BAD-896D-E5564FC95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497552"/>
        <c:axId val="607495256"/>
      </c:lineChart>
      <c:catAx>
        <c:axId val="60749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495256"/>
        <c:crosses val="autoZero"/>
        <c:auto val="1"/>
        <c:lblAlgn val="ctr"/>
        <c:lblOffset val="100"/>
        <c:noMultiLvlLbl val="0"/>
      </c:catAx>
      <c:valAx>
        <c:axId val="607495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Eta.X.fu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49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EAF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 Method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Calcs_ChemEx!$AG$4:$AG$64</c:f>
              <c:numCache>
                <c:formatCode>0.00%</c:formatCode>
                <c:ptCount val="61"/>
                <c:pt idx="0">
                  <c:v>8.1225821823211253E-2</c:v>
                </c:pt>
                <c:pt idx="1">
                  <c:v>8.1831984672638206E-2</c:v>
                </c:pt>
                <c:pt idx="2">
                  <c:v>8.2447262752883596E-2</c:v>
                </c:pt>
                <c:pt idx="3">
                  <c:v>8.3071863228284248E-2</c:v>
                </c:pt>
                <c:pt idx="4">
                  <c:v>8.3705999588805494E-2</c:v>
                </c:pt>
                <c:pt idx="5">
                  <c:v>8.4349891893334764E-2</c:v>
                </c:pt>
                <c:pt idx="6">
                  <c:v>8.4349891893334764E-2</c:v>
                </c:pt>
                <c:pt idx="7">
                  <c:v>8.4349891893334764E-2</c:v>
                </c:pt>
                <c:pt idx="8">
                  <c:v>8.4349891893334764E-2</c:v>
                </c:pt>
                <c:pt idx="9">
                  <c:v>8.4349891893334764E-2</c:v>
                </c:pt>
                <c:pt idx="10">
                  <c:v>8.4349891893334764E-2</c:v>
                </c:pt>
                <c:pt idx="11">
                  <c:v>8.5003767024290841E-2</c:v>
                </c:pt>
                <c:pt idx="12">
                  <c:v>8.5667858954168119E-2</c:v>
                </c:pt>
                <c:pt idx="13">
                  <c:v>8.6342409024673383E-2</c:v>
                </c:pt>
                <c:pt idx="14">
                  <c:v>8.7027666239154922E-2</c:v>
                </c:pt>
                <c:pt idx="15">
                  <c:v>8.7723887569068154E-2</c:v>
                </c:pt>
                <c:pt idx="16">
                  <c:v>8.7723887569068154E-2</c:v>
                </c:pt>
                <c:pt idx="17">
                  <c:v>8.7723887569068154E-2</c:v>
                </c:pt>
                <c:pt idx="18">
                  <c:v>8.7723887569068154E-2</c:v>
                </c:pt>
                <c:pt idx="19">
                  <c:v>8.7723887569068154E-2</c:v>
                </c:pt>
                <c:pt idx="20">
                  <c:v>8.7723887569068154E-2</c:v>
                </c:pt>
                <c:pt idx="21">
                  <c:v>8.8431338275270319E-2</c:v>
                </c:pt>
                <c:pt idx="22">
                  <c:v>8.9150292244987953E-2</c:v>
                </c:pt>
                <c:pt idx="23">
                  <c:v>8.9881032345356715E-2</c:v>
                </c:pt>
                <c:pt idx="24">
                  <c:v>9.0623850794491895E-2</c:v>
                </c:pt>
                <c:pt idx="25">
                  <c:v>9.1379049551112659E-2</c:v>
                </c:pt>
                <c:pt idx="26">
                  <c:v>9.1379049551112659E-2</c:v>
                </c:pt>
                <c:pt idx="27">
                  <c:v>9.1379049551112659E-2</c:v>
                </c:pt>
                <c:pt idx="28">
                  <c:v>9.1379049551112659E-2</c:v>
                </c:pt>
                <c:pt idx="29">
                  <c:v>9.1379049551112659E-2</c:v>
                </c:pt>
                <c:pt idx="30">
                  <c:v>9.1379049551112659E-2</c:v>
                </c:pt>
                <c:pt idx="31">
                  <c:v>9.2146940723811077E-2</c:v>
                </c:pt>
                <c:pt idx="32">
                  <c:v>9.2927847001131519E-2</c:v>
                </c:pt>
                <c:pt idx="33">
                  <c:v>9.3722102103705296E-2</c:v>
                </c:pt>
                <c:pt idx="34">
                  <c:v>9.4530051259771722E-2</c:v>
                </c:pt>
                <c:pt idx="35">
                  <c:v>9.5352051705508853E-2</c:v>
                </c:pt>
                <c:pt idx="36">
                  <c:v>9.5352051705508853E-2</c:v>
                </c:pt>
                <c:pt idx="37">
                  <c:v>9.5352051705508853E-2</c:v>
                </c:pt>
                <c:pt idx="38">
                  <c:v>9.5352051705508853E-2</c:v>
                </c:pt>
                <c:pt idx="39">
                  <c:v>9.5352051705508853E-2</c:v>
                </c:pt>
                <c:pt idx="40">
                  <c:v>9.5352051705508853E-2</c:v>
                </c:pt>
                <c:pt idx="41">
                  <c:v>9.6188473211697531E-2</c:v>
                </c:pt>
                <c:pt idx="42">
                  <c:v>9.7039698638349728E-2</c:v>
                </c:pt>
                <c:pt idx="43">
                  <c:v>9.7906124519049287E-2</c:v>
                </c:pt>
                <c:pt idx="44">
                  <c:v>9.8788161676878553E-2</c:v>
                </c:pt>
                <c:pt idx="45">
                  <c:v>9.9686235873941084E-2</c:v>
                </c:pt>
                <c:pt idx="46">
                  <c:v>0.1006007884966378</c:v>
                </c:pt>
                <c:pt idx="47">
                  <c:v>0.10153227727901405</c:v>
                </c:pt>
                <c:pt idx="48">
                  <c:v>0.1096548594613352</c:v>
                </c:pt>
                <c:pt idx="49">
                  <c:v>0.10543736486666845</c:v>
                </c:pt>
                <c:pt idx="50">
                  <c:v>0.11076248430437899</c:v>
                </c:pt>
                <c:pt idx="51">
                  <c:v>0.10750476417777961</c:v>
                </c:pt>
                <c:pt idx="52">
                  <c:v>0.10543736486666845</c:v>
                </c:pt>
                <c:pt idx="53">
                  <c:v>0.10750476417777961</c:v>
                </c:pt>
                <c:pt idx="54">
                  <c:v>0.11422381193889083</c:v>
                </c:pt>
                <c:pt idx="55">
                  <c:v>0.11422381193889083</c:v>
                </c:pt>
                <c:pt idx="56">
                  <c:v>0.11422381193889083</c:v>
                </c:pt>
                <c:pt idx="57">
                  <c:v>0.11422381193889083</c:v>
                </c:pt>
                <c:pt idx="58">
                  <c:v>0.11510307151294837</c:v>
                </c:pt>
                <c:pt idx="59">
                  <c:v>0.11604060935813484</c:v>
                </c:pt>
                <c:pt idx="60">
                  <c:v>0.11699354549706019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B-4D4E-8E14-3128775DCE89}"/>
            </c:ext>
          </c:extLst>
        </c:ser>
        <c:ser>
          <c:idx val="1"/>
          <c:order val="1"/>
          <c:tx>
            <c:v>Theoretical Minimum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Calcs_ChemEx!$AQ$4:$AQ$64</c:f>
              <c:numCache>
                <c:formatCode>0.00%</c:formatCode>
                <c:ptCount val="61"/>
                <c:pt idx="0">
                  <c:v>0.57233703703703698</c:v>
                </c:pt>
                <c:pt idx="1">
                  <c:v>0.5766082089552238</c:v>
                </c:pt>
                <c:pt idx="2">
                  <c:v>0.58094360902255626</c:v>
                </c:pt>
                <c:pt idx="3">
                  <c:v>0.58534469696969693</c:v>
                </c:pt>
                <c:pt idx="4">
                  <c:v>0.58981297709923663</c:v>
                </c:pt>
                <c:pt idx="5">
                  <c:v>0.59434999999999993</c:v>
                </c:pt>
                <c:pt idx="6">
                  <c:v>0.59434999999999993</c:v>
                </c:pt>
                <c:pt idx="7">
                  <c:v>0.59434999999999993</c:v>
                </c:pt>
                <c:pt idx="8">
                  <c:v>0.59434999999999993</c:v>
                </c:pt>
                <c:pt idx="9">
                  <c:v>0.59434999999999993</c:v>
                </c:pt>
                <c:pt idx="10">
                  <c:v>0.59434999999999993</c:v>
                </c:pt>
                <c:pt idx="11">
                  <c:v>0.59895736434108515</c:v>
                </c:pt>
                <c:pt idx="12">
                  <c:v>0.60363671874999991</c:v>
                </c:pt>
                <c:pt idx="13">
                  <c:v>0.60838976377952758</c:v>
                </c:pt>
                <c:pt idx="14">
                  <c:v>0.61321825396825391</c:v>
                </c:pt>
                <c:pt idx="15">
                  <c:v>0.61812400000000001</c:v>
                </c:pt>
                <c:pt idx="16">
                  <c:v>0.61812400000000001</c:v>
                </c:pt>
                <c:pt idx="17">
                  <c:v>0.61812400000000001</c:v>
                </c:pt>
                <c:pt idx="18">
                  <c:v>0.61812400000000001</c:v>
                </c:pt>
                <c:pt idx="19">
                  <c:v>0.61812400000000001</c:v>
                </c:pt>
                <c:pt idx="20">
                  <c:v>0.61812400000000001</c:v>
                </c:pt>
                <c:pt idx="21">
                  <c:v>0.62310887096774192</c:v>
                </c:pt>
                <c:pt idx="22">
                  <c:v>0.62817479674796739</c:v>
                </c:pt>
                <c:pt idx="23">
                  <c:v>0.63332377049180322</c:v>
                </c:pt>
                <c:pt idx="24">
                  <c:v>0.63855785123966935</c:v>
                </c:pt>
                <c:pt idx="25">
                  <c:v>0.64387916666666667</c:v>
                </c:pt>
                <c:pt idx="26">
                  <c:v>0.64387916666666667</c:v>
                </c:pt>
                <c:pt idx="27">
                  <c:v>0.64387916666666667</c:v>
                </c:pt>
                <c:pt idx="28">
                  <c:v>0.64387916666666667</c:v>
                </c:pt>
                <c:pt idx="29">
                  <c:v>0.64387916666666667</c:v>
                </c:pt>
                <c:pt idx="30">
                  <c:v>0.64387916666666667</c:v>
                </c:pt>
                <c:pt idx="31">
                  <c:v>0.64928991596638652</c:v>
                </c:pt>
                <c:pt idx="32">
                  <c:v>0.65479237288135583</c:v>
                </c:pt>
                <c:pt idx="33">
                  <c:v>0.66038888888888891</c:v>
                </c:pt>
                <c:pt idx="34">
                  <c:v>0.66608189655172412</c:v>
                </c:pt>
                <c:pt idx="35">
                  <c:v>0.67187391304347821</c:v>
                </c:pt>
                <c:pt idx="36">
                  <c:v>0.67187391304347821</c:v>
                </c:pt>
                <c:pt idx="37">
                  <c:v>0.67187391304347821</c:v>
                </c:pt>
                <c:pt idx="38">
                  <c:v>0.67187391304347821</c:v>
                </c:pt>
                <c:pt idx="39">
                  <c:v>0.67187391304347821</c:v>
                </c:pt>
                <c:pt idx="40">
                  <c:v>0.67187391304347821</c:v>
                </c:pt>
                <c:pt idx="41">
                  <c:v>0.67776754385964899</c:v>
                </c:pt>
                <c:pt idx="42">
                  <c:v>0.68376548672566362</c:v>
                </c:pt>
                <c:pt idx="43">
                  <c:v>0.68987053571428569</c:v>
                </c:pt>
                <c:pt idx="44">
                  <c:v>0.69608558558558553</c:v>
                </c:pt>
                <c:pt idx="45">
                  <c:v>0.7024136363636363</c:v>
                </c:pt>
                <c:pt idx="46">
                  <c:v>0.70885779816513761</c:v>
                </c:pt>
                <c:pt idx="47">
                  <c:v>0.71542129629629614</c:v>
                </c:pt>
                <c:pt idx="48">
                  <c:v>0.77265499999999998</c:v>
                </c:pt>
                <c:pt idx="49">
                  <c:v>0.74293749999999992</c:v>
                </c:pt>
                <c:pt idx="50">
                  <c:v>0.78045959595959591</c:v>
                </c:pt>
                <c:pt idx="51">
                  <c:v>0.75750490196078435</c:v>
                </c:pt>
                <c:pt idx="52">
                  <c:v>0.74293749999999992</c:v>
                </c:pt>
                <c:pt idx="53">
                  <c:v>0.75750490196078435</c:v>
                </c:pt>
                <c:pt idx="54">
                  <c:v>0.80484895833333336</c:v>
                </c:pt>
                <c:pt idx="55">
                  <c:v>0.80484895833333336</c:v>
                </c:pt>
                <c:pt idx="56">
                  <c:v>0.80484895833333336</c:v>
                </c:pt>
                <c:pt idx="57">
                  <c:v>0.80484895833333336</c:v>
                </c:pt>
                <c:pt idx="58">
                  <c:v>0.81104443666900128</c:v>
                </c:pt>
                <c:pt idx="59">
                  <c:v>0.81765055797845387</c:v>
                </c:pt>
                <c:pt idx="60">
                  <c:v>0.8243651794374417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3B-4D4E-8E14-3128775DCE89}"/>
            </c:ext>
          </c:extLst>
        </c:ser>
        <c:ser>
          <c:idx val="2"/>
          <c:order val="2"/>
          <c:tx>
            <c:v>Chemical Energy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Calcs_ChemEx!$BA$4:$BA$64</c:f>
              <c:numCache>
                <c:formatCode>0.00%</c:formatCode>
                <c:ptCount val="61"/>
                <c:pt idx="0">
                  <c:v>0.57233703703703698</c:v>
                </c:pt>
                <c:pt idx="1">
                  <c:v>0.5766082089552238</c:v>
                </c:pt>
                <c:pt idx="2">
                  <c:v>0.58094360902255626</c:v>
                </c:pt>
                <c:pt idx="3">
                  <c:v>0.58534469696969693</c:v>
                </c:pt>
                <c:pt idx="4">
                  <c:v>0.58981297709923663</c:v>
                </c:pt>
                <c:pt idx="5">
                  <c:v>0.59434999999999993</c:v>
                </c:pt>
                <c:pt idx="6">
                  <c:v>0.59434999999999993</c:v>
                </c:pt>
                <c:pt idx="7">
                  <c:v>0.59434999999999993</c:v>
                </c:pt>
                <c:pt idx="8">
                  <c:v>0.59434999999999993</c:v>
                </c:pt>
                <c:pt idx="9">
                  <c:v>0.59434999999999993</c:v>
                </c:pt>
                <c:pt idx="10">
                  <c:v>0.59434999999999993</c:v>
                </c:pt>
                <c:pt idx="11">
                  <c:v>0.59895736434108515</c:v>
                </c:pt>
                <c:pt idx="12">
                  <c:v>0.60363671874999991</c:v>
                </c:pt>
                <c:pt idx="13">
                  <c:v>0.60838976377952758</c:v>
                </c:pt>
                <c:pt idx="14">
                  <c:v>0.61321825396825391</c:v>
                </c:pt>
                <c:pt idx="15">
                  <c:v>0.61812400000000001</c:v>
                </c:pt>
                <c:pt idx="16">
                  <c:v>0.61812400000000001</c:v>
                </c:pt>
                <c:pt idx="17">
                  <c:v>0.61812400000000001</c:v>
                </c:pt>
                <c:pt idx="18">
                  <c:v>0.61812400000000001</c:v>
                </c:pt>
                <c:pt idx="19">
                  <c:v>0.61812400000000001</c:v>
                </c:pt>
                <c:pt idx="20">
                  <c:v>0.61812400000000001</c:v>
                </c:pt>
                <c:pt idx="21">
                  <c:v>0.62310887096774192</c:v>
                </c:pt>
                <c:pt idx="22">
                  <c:v>0.62817479674796739</c:v>
                </c:pt>
                <c:pt idx="23">
                  <c:v>0.63332377049180322</c:v>
                </c:pt>
                <c:pt idx="24">
                  <c:v>0.63855785123966935</c:v>
                </c:pt>
                <c:pt idx="25">
                  <c:v>0.64387916666666667</c:v>
                </c:pt>
                <c:pt idx="26">
                  <c:v>0.64387916666666667</c:v>
                </c:pt>
                <c:pt idx="27">
                  <c:v>0.64387916666666667</c:v>
                </c:pt>
                <c:pt idx="28">
                  <c:v>0.64387916666666667</c:v>
                </c:pt>
                <c:pt idx="29">
                  <c:v>0.64387916666666667</c:v>
                </c:pt>
                <c:pt idx="30">
                  <c:v>0.64387916666666667</c:v>
                </c:pt>
                <c:pt idx="31">
                  <c:v>0.64928991596638652</c:v>
                </c:pt>
                <c:pt idx="32">
                  <c:v>0.65479237288135583</c:v>
                </c:pt>
                <c:pt idx="33">
                  <c:v>0.66038888888888891</c:v>
                </c:pt>
                <c:pt idx="34">
                  <c:v>0.66608189655172412</c:v>
                </c:pt>
                <c:pt idx="35">
                  <c:v>0.67187391304347821</c:v>
                </c:pt>
                <c:pt idx="36">
                  <c:v>0.67187391304347821</c:v>
                </c:pt>
                <c:pt idx="37">
                  <c:v>0.67187391304347821</c:v>
                </c:pt>
                <c:pt idx="38">
                  <c:v>0.67187391304347821</c:v>
                </c:pt>
                <c:pt idx="39">
                  <c:v>0.67187391304347821</c:v>
                </c:pt>
                <c:pt idx="40">
                  <c:v>0.67187391304347821</c:v>
                </c:pt>
                <c:pt idx="41">
                  <c:v>0.67776754385964899</c:v>
                </c:pt>
                <c:pt idx="42">
                  <c:v>0.68376548672566362</c:v>
                </c:pt>
                <c:pt idx="43">
                  <c:v>0.68987053571428569</c:v>
                </c:pt>
                <c:pt idx="44">
                  <c:v>0.69608558558558553</c:v>
                </c:pt>
                <c:pt idx="45">
                  <c:v>0.7024136363636363</c:v>
                </c:pt>
                <c:pt idx="46">
                  <c:v>0.70885779816513761</c:v>
                </c:pt>
                <c:pt idx="47">
                  <c:v>0.71542129629629614</c:v>
                </c:pt>
                <c:pt idx="48">
                  <c:v>0.77265499999999998</c:v>
                </c:pt>
                <c:pt idx="49">
                  <c:v>0.74293749999999992</c:v>
                </c:pt>
                <c:pt idx="50">
                  <c:v>0.78045959595959591</c:v>
                </c:pt>
                <c:pt idx="51">
                  <c:v>0.75750490196078435</c:v>
                </c:pt>
                <c:pt idx="52">
                  <c:v>0.74293749999999992</c:v>
                </c:pt>
                <c:pt idx="53">
                  <c:v>0.75750490196078435</c:v>
                </c:pt>
                <c:pt idx="54">
                  <c:v>0.80484895833333336</c:v>
                </c:pt>
                <c:pt idx="55">
                  <c:v>0.80484895833333336</c:v>
                </c:pt>
                <c:pt idx="56">
                  <c:v>0.80484895833333336</c:v>
                </c:pt>
                <c:pt idx="57">
                  <c:v>0.80484895833333336</c:v>
                </c:pt>
                <c:pt idx="58">
                  <c:v>0.81104443666900128</c:v>
                </c:pt>
                <c:pt idx="59">
                  <c:v>0.81765055797845387</c:v>
                </c:pt>
                <c:pt idx="60">
                  <c:v>0.8243651794374417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3B-4D4E-8E14-3128775DCE89}"/>
            </c:ext>
          </c:extLst>
        </c:ser>
        <c:ser>
          <c:idx val="3"/>
          <c:order val="3"/>
          <c:tx>
            <c:v>Exergy Analysis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Calcs_ChemEx!$BK$4:$BK$64</c:f>
              <c:numCache>
                <c:formatCode>0.00%</c:formatCode>
                <c:ptCount val="61"/>
                <c:pt idx="0">
                  <c:v>0.36579436491426742</c:v>
                </c:pt>
                <c:pt idx="1">
                  <c:v>0.36753436529915812</c:v>
                </c:pt>
                <c:pt idx="2">
                  <c:v>0.36929099837209989</c:v>
                </c:pt>
                <c:pt idx="3">
                  <c:v>0.37106450376656969</c:v>
                </c:pt>
                <c:pt idx="4">
                  <c:v>0.37285512574157953</c:v>
                </c:pt>
                <c:pt idx="5">
                  <c:v>0.3746631132938234</c:v>
                </c:pt>
                <c:pt idx="6">
                  <c:v>0.3746631132938234</c:v>
                </c:pt>
                <c:pt idx="7">
                  <c:v>0.3746631132938234</c:v>
                </c:pt>
                <c:pt idx="8">
                  <c:v>0.3746631132938234</c:v>
                </c:pt>
                <c:pt idx="9">
                  <c:v>0.3746631132938234</c:v>
                </c:pt>
                <c:pt idx="10">
                  <c:v>0.3746631132938234</c:v>
                </c:pt>
                <c:pt idx="11">
                  <c:v>0.37648872027310293</c:v>
                </c:pt>
                <c:pt idx="12">
                  <c:v>0.37833220550114427</c:v>
                </c:pt>
                <c:pt idx="13">
                  <c:v>0.38019383289392233</c:v>
                </c:pt>
                <c:pt idx="14">
                  <c:v>0.38207387158761513</c:v>
                </c:pt>
                <c:pt idx="15">
                  <c:v>0.38397259606831302</c:v>
                </c:pt>
                <c:pt idx="16">
                  <c:v>0.38397259606831302</c:v>
                </c:pt>
                <c:pt idx="17">
                  <c:v>0.38397259606831302</c:v>
                </c:pt>
                <c:pt idx="18">
                  <c:v>0.38397259606831302</c:v>
                </c:pt>
                <c:pt idx="19">
                  <c:v>0.38397259606831302</c:v>
                </c:pt>
                <c:pt idx="20">
                  <c:v>0.38397259606831302</c:v>
                </c:pt>
                <c:pt idx="21">
                  <c:v>0.38589028630561567</c:v>
                </c:pt>
                <c:pt idx="22">
                  <c:v>0.38782722789025159</c:v>
                </c:pt>
                <c:pt idx="23">
                  <c:v>0.38978371217586338</c:v>
                </c:pt>
                <c:pt idx="24">
                  <c:v>0.39176003642510698</c:v>
                </c:pt>
                <c:pt idx="25">
                  <c:v>0.39375650396021739</c:v>
                </c:pt>
                <c:pt idx="26">
                  <c:v>0.39375650396021739</c:v>
                </c:pt>
                <c:pt idx="27">
                  <c:v>0.39375650396021739</c:v>
                </c:pt>
                <c:pt idx="28">
                  <c:v>0.39375650396021739</c:v>
                </c:pt>
                <c:pt idx="29">
                  <c:v>0.39375650396021739</c:v>
                </c:pt>
                <c:pt idx="30">
                  <c:v>0.39375650396021739</c:v>
                </c:pt>
                <c:pt idx="31">
                  <c:v>0.3957734243182025</c:v>
                </c:pt>
                <c:pt idx="32">
                  <c:v>0.39781111341083042</c:v>
                </c:pt>
                <c:pt idx="33">
                  <c:v>0.3998698936895852</c:v>
                </c:pt>
                <c:pt idx="34">
                  <c:v>0.40195009431577111</c:v>
                </c:pt>
                <c:pt idx="35">
                  <c:v>0.40405205133595429</c:v>
                </c:pt>
                <c:pt idx="36">
                  <c:v>0.40405205133595429</c:v>
                </c:pt>
                <c:pt idx="37">
                  <c:v>0.40405205133595429</c:v>
                </c:pt>
                <c:pt idx="38">
                  <c:v>0.40405205133595429</c:v>
                </c:pt>
                <c:pt idx="39">
                  <c:v>0.40405205133595429</c:v>
                </c:pt>
                <c:pt idx="40">
                  <c:v>0.40405205133595429</c:v>
                </c:pt>
                <c:pt idx="41">
                  <c:v>0.40617610786293812</c:v>
                </c:pt>
                <c:pt idx="42">
                  <c:v>0.40832261426247679</c:v>
                </c:pt>
                <c:pt idx="43">
                  <c:v>0.41049192834594045</c:v>
                </c:pt>
                <c:pt idx="44">
                  <c:v>0.41268441556915525</c:v>
                </c:pt>
                <c:pt idx="45">
                  <c:v>0.41490044923764918</c:v>
                </c:pt>
                <c:pt idx="46">
                  <c:v>0.41714041071854685</c:v>
                </c:pt>
                <c:pt idx="47">
                  <c:v>0.41940468965936512</c:v>
                </c:pt>
                <c:pt idx="48">
                  <c:v>0.43844402604374139</c:v>
                </c:pt>
                <c:pt idx="49">
                  <c:v>0.42871307565032013</c:v>
                </c:pt>
                <c:pt idx="50">
                  <c:v>0.44094618054564766</c:v>
                </c:pt>
                <c:pt idx="51">
                  <c:v>0.43352395209244859</c:v>
                </c:pt>
                <c:pt idx="52">
                  <c:v>0.42871307565032013</c:v>
                </c:pt>
                <c:pt idx="53">
                  <c:v>0.43352395209244859</c:v>
                </c:pt>
                <c:pt idx="54">
                  <c:v>0.44862698328829581</c:v>
                </c:pt>
                <c:pt idx="55">
                  <c:v>0.44862698328829581</c:v>
                </c:pt>
                <c:pt idx="56">
                  <c:v>0.44862698328829581</c:v>
                </c:pt>
                <c:pt idx="57">
                  <c:v>0.44862698328829581</c:v>
                </c:pt>
                <c:pt idx="58">
                  <c:v>0.45054538584410958</c:v>
                </c:pt>
                <c:pt idx="59">
                  <c:v>0.45257664268117526</c:v>
                </c:pt>
                <c:pt idx="60">
                  <c:v>0.45462629806611765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3B-4D4E-8E14-3128775DC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497552"/>
        <c:axId val="607495256"/>
      </c:lineChart>
      <c:catAx>
        <c:axId val="60749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495256"/>
        <c:crosses val="autoZero"/>
        <c:auto val="1"/>
        <c:lblAlgn val="ctr"/>
        <c:lblOffset val="100"/>
        <c:noMultiLvlLbl val="0"/>
      </c:catAx>
      <c:valAx>
        <c:axId val="607495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Eta.X.fu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49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BF-BOF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 Method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Calcs_ChemEx!$Z$4:$Z$64</c:f>
              <c:numCache>
                <c:formatCode>0.00%</c:formatCode>
                <c:ptCount val="61"/>
                <c:pt idx="0">
                  <c:v>0.18809523809523809</c:v>
                </c:pt>
                <c:pt idx="1">
                  <c:v>0.18990384615384615</c:v>
                </c:pt>
                <c:pt idx="2">
                  <c:v>0.19174757281553398</c:v>
                </c:pt>
                <c:pt idx="3">
                  <c:v>0.19362745098039219</c:v>
                </c:pt>
                <c:pt idx="4">
                  <c:v>0.19554455445544555</c:v>
                </c:pt>
                <c:pt idx="5">
                  <c:v>0.19750000000000001</c:v>
                </c:pt>
                <c:pt idx="6">
                  <c:v>0.1994949494949495</c:v>
                </c:pt>
                <c:pt idx="7">
                  <c:v>0.20153061224489796</c:v>
                </c:pt>
                <c:pt idx="8">
                  <c:v>0.20360824742268044</c:v>
                </c:pt>
                <c:pt idx="9">
                  <c:v>0.20572916666666669</c:v>
                </c:pt>
                <c:pt idx="10">
                  <c:v>0.20789473684210527</c:v>
                </c:pt>
                <c:pt idx="11">
                  <c:v>0.21010638297872342</c:v>
                </c:pt>
                <c:pt idx="12">
                  <c:v>0.21236559139784947</c:v>
                </c:pt>
                <c:pt idx="13">
                  <c:v>0.2146739130434783</c:v>
                </c:pt>
                <c:pt idx="14">
                  <c:v>0.21703296703296704</c:v>
                </c:pt>
                <c:pt idx="15">
                  <c:v>0.21944444444444444</c:v>
                </c:pt>
                <c:pt idx="16">
                  <c:v>0.22191011235955058</c:v>
                </c:pt>
                <c:pt idx="17">
                  <c:v>0.22443181818181818</c:v>
                </c:pt>
                <c:pt idx="18">
                  <c:v>0.22701149425287359</c:v>
                </c:pt>
                <c:pt idx="19">
                  <c:v>0.22965116279069769</c:v>
                </c:pt>
                <c:pt idx="20">
                  <c:v>0.2323529411764706</c:v>
                </c:pt>
                <c:pt idx="21">
                  <c:v>0.23511904761904762</c:v>
                </c:pt>
                <c:pt idx="22">
                  <c:v>0.23795180722891565</c:v>
                </c:pt>
                <c:pt idx="23">
                  <c:v>0.24085365853658539</c:v>
                </c:pt>
                <c:pt idx="24">
                  <c:v>0.24382716049382719</c:v>
                </c:pt>
                <c:pt idx="25">
                  <c:v>0.24687500000000001</c:v>
                </c:pt>
                <c:pt idx="26">
                  <c:v>0.25</c:v>
                </c:pt>
                <c:pt idx="27">
                  <c:v>0.25320512820512825</c:v>
                </c:pt>
                <c:pt idx="28">
                  <c:v>0.2564935064935065</c:v>
                </c:pt>
                <c:pt idx="29">
                  <c:v>0.25986842105263158</c:v>
                </c:pt>
                <c:pt idx="30">
                  <c:v>0.26333333333333336</c:v>
                </c:pt>
                <c:pt idx="31">
                  <c:v>0.26689189189189189</c:v>
                </c:pt>
                <c:pt idx="32">
                  <c:v>0.27054794520547948</c:v>
                </c:pt>
                <c:pt idx="33">
                  <c:v>0.27430555555555558</c:v>
                </c:pt>
                <c:pt idx="34">
                  <c:v>0.27816901408450706</c:v>
                </c:pt>
                <c:pt idx="35">
                  <c:v>0.28214285714285714</c:v>
                </c:pt>
                <c:pt idx="36">
                  <c:v>0.28623188405797101</c:v>
                </c:pt>
                <c:pt idx="37">
                  <c:v>0.29044117647058826</c:v>
                </c:pt>
                <c:pt idx="38">
                  <c:v>0.29477611940298509</c:v>
                </c:pt>
                <c:pt idx="39">
                  <c:v>0.29924242424242425</c:v>
                </c:pt>
                <c:pt idx="40">
                  <c:v>0.30384615384615388</c:v>
                </c:pt>
                <c:pt idx="41">
                  <c:v>0.30859375</c:v>
                </c:pt>
                <c:pt idx="42">
                  <c:v>0.31349206349206349</c:v>
                </c:pt>
                <c:pt idx="43">
                  <c:v>0.31854838709677419</c:v>
                </c:pt>
                <c:pt idx="44">
                  <c:v>0.32377049180327871</c:v>
                </c:pt>
                <c:pt idx="45">
                  <c:v>0.32916666666666666</c:v>
                </c:pt>
                <c:pt idx="46">
                  <c:v>0.32712215320910976</c:v>
                </c:pt>
                <c:pt idx="47">
                  <c:v>0.32510288065843623</c:v>
                </c:pt>
                <c:pt idx="48">
                  <c:v>0.32244897959183677</c:v>
                </c:pt>
                <c:pt idx="49">
                  <c:v>0.32644628099173556</c:v>
                </c:pt>
                <c:pt idx="50">
                  <c:v>0.32916666666666666</c:v>
                </c:pt>
                <c:pt idx="51">
                  <c:v>0.33617021276595749</c:v>
                </c:pt>
                <c:pt idx="52">
                  <c:v>0.34199134199134201</c:v>
                </c:pt>
                <c:pt idx="53">
                  <c:v>0.33617021276595749</c:v>
                </c:pt>
                <c:pt idx="54">
                  <c:v>0.34051724137931039</c:v>
                </c:pt>
                <c:pt idx="55">
                  <c:v>0.33054393305439334</c:v>
                </c:pt>
                <c:pt idx="56">
                  <c:v>0.33054393305439334</c:v>
                </c:pt>
                <c:pt idx="57">
                  <c:v>0.33054393305439334</c:v>
                </c:pt>
                <c:pt idx="58">
                  <c:v>0.33636105591825133</c:v>
                </c:pt>
                <c:pt idx="59">
                  <c:v>0.33710044481224766</c:v>
                </c:pt>
                <c:pt idx="60">
                  <c:v>0.33784309151698905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CC-4C0C-848E-DED34B3E5396}"/>
            </c:ext>
          </c:extLst>
        </c:ser>
        <c:ser>
          <c:idx val="1"/>
          <c:order val="1"/>
          <c:tx>
            <c:v>Theoretical Minimum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Calcs_ChemEx!$AJ$4:$AJ$64</c:f>
              <c:numCache>
                <c:formatCode>0.00%</c:formatCode>
                <c:ptCount val="61"/>
                <c:pt idx="0">
                  <c:v>0.18809523809523809</c:v>
                </c:pt>
                <c:pt idx="1">
                  <c:v>0.18990384615384615</c:v>
                </c:pt>
                <c:pt idx="2">
                  <c:v>0.19174757281553398</c:v>
                </c:pt>
                <c:pt idx="3">
                  <c:v>0.19362745098039219</c:v>
                </c:pt>
                <c:pt idx="4">
                  <c:v>0.19554455445544555</c:v>
                </c:pt>
                <c:pt idx="5">
                  <c:v>0.19750000000000001</c:v>
                </c:pt>
                <c:pt idx="6">
                  <c:v>0.1994949494949495</c:v>
                </c:pt>
                <c:pt idx="7">
                  <c:v>0.20153061224489796</c:v>
                </c:pt>
                <c:pt idx="8">
                  <c:v>0.20360824742268044</c:v>
                </c:pt>
                <c:pt idx="9">
                  <c:v>0.20572916666666669</c:v>
                </c:pt>
                <c:pt idx="10">
                  <c:v>0.20789473684210527</c:v>
                </c:pt>
                <c:pt idx="11">
                  <c:v>0.21010638297872342</c:v>
                </c:pt>
                <c:pt idx="12">
                  <c:v>0.21236559139784947</c:v>
                </c:pt>
                <c:pt idx="13">
                  <c:v>0.2146739130434783</c:v>
                </c:pt>
                <c:pt idx="14">
                  <c:v>0.21703296703296704</c:v>
                </c:pt>
                <c:pt idx="15">
                  <c:v>0.21944444444444444</c:v>
                </c:pt>
                <c:pt idx="16">
                  <c:v>0.22191011235955058</c:v>
                </c:pt>
                <c:pt idx="17">
                  <c:v>0.22443181818181818</c:v>
                </c:pt>
                <c:pt idx="18">
                  <c:v>0.22701149425287359</c:v>
                </c:pt>
                <c:pt idx="19">
                  <c:v>0.22965116279069769</c:v>
                </c:pt>
                <c:pt idx="20">
                  <c:v>0.2323529411764706</c:v>
                </c:pt>
                <c:pt idx="21">
                  <c:v>0.23511904761904762</c:v>
                </c:pt>
                <c:pt idx="22">
                  <c:v>0.23795180722891565</c:v>
                </c:pt>
                <c:pt idx="23">
                  <c:v>0.24085365853658539</c:v>
                </c:pt>
                <c:pt idx="24">
                  <c:v>0.24382716049382719</c:v>
                </c:pt>
                <c:pt idx="25">
                  <c:v>0.24687500000000001</c:v>
                </c:pt>
                <c:pt idx="26">
                  <c:v>0.25</c:v>
                </c:pt>
                <c:pt idx="27">
                  <c:v>0.25320512820512825</c:v>
                </c:pt>
                <c:pt idx="28">
                  <c:v>0.2564935064935065</c:v>
                </c:pt>
                <c:pt idx="29">
                  <c:v>0.25986842105263158</c:v>
                </c:pt>
                <c:pt idx="30">
                  <c:v>0.26333333333333336</c:v>
                </c:pt>
                <c:pt idx="31">
                  <c:v>0.26689189189189189</c:v>
                </c:pt>
                <c:pt idx="32">
                  <c:v>0.27054794520547948</c:v>
                </c:pt>
                <c:pt idx="33">
                  <c:v>0.27430555555555558</c:v>
                </c:pt>
                <c:pt idx="34">
                  <c:v>0.27816901408450706</c:v>
                </c:pt>
                <c:pt idx="35">
                  <c:v>0.28214285714285714</c:v>
                </c:pt>
                <c:pt idx="36">
                  <c:v>0.28623188405797101</c:v>
                </c:pt>
                <c:pt idx="37">
                  <c:v>0.29044117647058826</c:v>
                </c:pt>
                <c:pt idx="38">
                  <c:v>0.29477611940298509</c:v>
                </c:pt>
                <c:pt idx="39">
                  <c:v>0.29924242424242425</c:v>
                </c:pt>
                <c:pt idx="40">
                  <c:v>0.30384615384615388</c:v>
                </c:pt>
                <c:pt idx="41">
                  <c:v>0.30859375</c:v>
                </c:pt>
                <c:pt idx="42">
                  <c:v>0.31349206349206349</c:v>
                </c:pt>
                <c:pt idx="43">
                  <c:v>0.31854838709677419</c:v>
                </c:pt>
                <c:pt idx="44">
                  <c:v>0.32377049180327871</c:v>
                </c:pt>
                <c:pt idx="45">
                  <c:v>0.32916666666666666</c:v>
                </c:pt>
                <c:pt idx="46">
                  <c:v>0.32712215320910976</c:v>
                </c:pt>
                <c:pt idx="47">
                  <c:v>0.32510288065843623</c:v>
                </c:pt>
                <c:pt idx="48">
                  <c:v>0.32244897959183677</c:v>
                </c:pt>
                <c:pt idx="49">
                  <c:v>0.32644628099173556</c:v>
                </c:pt>
                <c:pt idx="50">
                  <c:v>0.32916666666666666</c:v>
                </c:pt>
                <c:pt idx="51">
                  <c:v>0.33617021276595749</c:v>
                </c:pt>
                <c:pt idx="52">
                  <c:v>0.34199134199134201</c:v>
                </c:pt>
                <c:pt idx="53">
                  <c:v>0.33617021276595749</c:v>
                </c:pt>
                <c:pt idx="54">
                  <c:v>0.34051724137931039</c:v>
                </c:pt>
                <c:pt idx="55">
                  <c:v>0.33054393305439334</c:v>
                </c:pt>
                <c:pt idx="56">
                  <c:v>0.33054393305439334</c:v>
                </c:pt>
                <c:pt idx="57">
                  <c:v>0.33054393305439334</c:v>
                </c:pt>
                <c:pt idx="58">
                  <c:v>0.33636105591825133</c:v>
                </c:pt>
                <c:pt idx="59">
                  <c:v>0.33710044481224766</c:v>
                </c:pt>
                <c:pt idx="60">
                  <c:v>0.33784309151698905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CC-4C0C-848E-DED34B3E5396}"/>
            </c:ext>
          </c:extLst>
        </c:ser>
        <c:ser>
          <c:idx val="2"/>
          <c:order val="2"/>
          <c:tx>
            <c:v>Chemical Energy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Calcs_ChemEx!$AT$4:$AT$64</c:f>
              <c:numCache>
                <c:formatCode>0.00%</c:formatCode>
                <c:ptCount val="61"/>
                <c:pt idx="0">
                  <c:v>0.12380952380952381</c:v>
                </c:pt>
                <c:pt idx="1">
                  <c:v>0.125</c:v>
                </c:pt>
                <c:pt idx="2">
                  <c:v>0.12621359223300971</c:v>
                </c:pt>
                <c:pt idx="3">
                  <c:v>0.12745098039215688</c:v>
                </c:pt>
                <c:pt idx="4">
                  <c:v>0.12871287128712872</c:v>
                </c:pt>
                <c:pt idx="5">
                  <c:v>0.13</c:v>
                </c:pt>
                <c:pt idx="6">
                  <c:v>0.13131313131313133</c:v>
                </c:pt>
                <c:pt idx="7">
                  <c:v>0.1326530612244898</c:v>
                </c:pt>
                <c:pt idx="8">
                  <c:v>0.13402061855670105</c:v>
                </c:pt>
                <c:pt idx="9">
                  <c:v>0.13541666666666669</c:v>
                </c:pt>
                <c:pt idx="10">
                  <c:v>0.1368421052631579</c:v>
                </c:pt>
                <c:pt idx="11">
                  <c:v>0.13829787234042554</c:v>
                </c:pt>
                <c:pt idx="12">
                  <c:v>0.13978494623655913</c:v>
                </c:pt>
                <c:pt idx="13">
                  <c:v>0.14130434782608697</c:v>
                </c:pt>
                <c:pt idx="14">
                  <c:v>0.14285714285714288</c:v>
                </c:pt>
                <c:pt idx="15">
                  <c:v>0.14444444444444446</c:v>
                </c:pt>
                <c:pt idx="16">
                  <c:v>0.14606741573033707</c:v>
                </c:pt>
                <c:pt idx="17">
                  <c:v>0.14772727272727271</c:v>
                </c:pt>
                <c:pt idx="18">
                  <c:v>0.14942528735632185</c:v>
                </c:pt>
                <c:pt idx="19">
                  <c:v>0.15116279069767444</c:v>
                </c:pt>
                <c:pt idx="20">
                  <c:v>0.15294117647058825</c:v>
                </c:pt>
                <c:pt idx="21">
                  <c:v>0.15476190476190477</c:v>
                </c:pt>
                <c:pt idx="22">
                  <c:v>0.15662650602409639</c:v>
                </c:pt>
                <c:pt idx="23">
                  <c:v>0.15853658536585369</c:v>
                </c:pt>
                <c:pt idx="24">
                  <c:v>0.16049382716049385</c:v>
                </c:pt>
                <c:pt idx="25">
                  <c:v>0.16250000000000001</c:v>
                </c:pt>
                <c:pt idx="26">
                  <c:v>0.16455696202531644</c:v>
                </c:pt>
                <c:pt idx="27">
                  <c:v>0.16666666666666669</c:v>
                </c:pt>
                <c:pt idx="28">
                  <c:v>0.16883116883116883</c:v>
                </c:pt>
                <c:pt idx="29">
                  <c:v>0.17105263157894737</c:v>
                </c:pt>
                <c:pt idx="30">
                  <c:v>0.17333333333333334</c:v>
                </c:pt>
                <c:pt idx="31">
                  <c:v>0.17567567567567569</c:v>
                </c:pt>
                <c:pt idx="32">
                  <c:v>0.17808219178082194</c:v>
                </c:pt>
                <c:pt idx="33">
                  <c:v>0.18055555555555555</c:v>
                </c:pt>
                <c:pt idx="34">
                  <c:v>0.18309859154929578</c:v>
                </c:pt>
                <c:pt idx="35">
                  <c:v>0.18571428571428572</c:v>
                </c:pt>
                <c:pt idx="36">
                  <c:v>0.18840579710144928</c:v>
                </c:pt>
                <c:pt idx="37">
                  <c:v>0.19117647058823531</c:v>
                </c:pt>
                <c:pt idx="38">
                  <c:v>0.19402985074626866</c:v>
                </c:pt>
                <c:pt idx="39">
                  <c:v>0.19696969696969699</c:v>
                </c:pt>
                <c:pt idx="40">
                  <c:v>0.2</c:v>
                </c:pt>
                <c:pt idx="41">
                  <c:v>0.203125</c:v>
                </c:pt>
                <c:pt idx="42">
                  <c:v>0.20634920634920637</c:v>
                </c:pt>
                <c:pt idx="43">
                  <c:v>0.20967741935483872</c:v>
                </c:pt>
                <c:pt idx="44">
                  <c:v>0.21311475409836067</c:v>
                </c:pt>
                <c:pt idx="45">
                  <c:v>0.21666666666666667</c:v>
                </c:pt>
                <c:pt idx="46">
                  <c:v>0.21532091097308489</c:v>
                </c:pt>
                <c:pt idx="47">
                  <c:v>0.2139917695473251</c:v>
                </c:pt>
                <c:pt idx="48">
                  <c:v>0.21224489795918369</c:v>
                </c:pt>
                <c:pt idx="49">
                  <c:v>0.21487603305785125</c:v>
                </c:pt>
                <c:pt idx="50">
                  <c:v>0.21666666666666667</c:v>
                </c:pt>
                <c:pt idx="51">
                  <c:v>0.22127659574468087</c:v>
                </c:pt>
                <c:pt idx="52">
                  <c:v>0.22510822510822509</c:v>
                </c:pt>
                <c:pt idx="53">
                  <c:v>0.22127659574468087</c:v>
                </c:pt>
                <c:pt idx="54">
                  <c:v>0.22413793103448276</c:v>
                </c:pt>
                <c:pt idx="55">
                  <c:v>0.21757322175732219</c:v>
                </c:pt>
                <c:pt idx="56">
                  <c:v>0.21757322175732219</c:v>
                </c:pt>
                <c:pt idx="57">
                  <c:v>0.21757322175732219</c:v>
                </c:pt>
                <c:pt idx="58">
                  <c:v>0.22140221402214011</c:v>
                </c:pt>
                <c:pt idx="59">
                  <c:v>0.22188890038274528</c:v>
                </c:pt>
                <c:pt idx="60">
                  <c:v>0.22237773112510673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CC-4C0C-848E-DED34B3E5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497552"/>
        <c:axId val="607495256"/>
      </c:lineChart>
      <c:catAx>
        <c:axId val="60749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495256"/>
        <c:crosses val="autoZero"/>
        <c:auto val="1"/>
        <c:lblAlgn val="ctr"/>
        <c:lblOffset val="100"/>
        <c:noMultiLvlLbl val="0"/>
      </c:catAx>
      <c:valAx>
        <c:axId val="607495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Eta.fu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49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EAF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 Method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Calcs_ChemEx!$AA$4:$AA$64</c:f>
              <c:numCache>
                <c:formatCode>0.00%</c:formatCode>
                <c:ptCount val="61"/>
                <c:pt idx="0">
                  <c:v>9.6296296296296297E-2</c:v>
                </c:pt>
                <c:pt idx="1">
                  <c:v>9.7014925373134331E-2</c:v>
                </c:pt>
                <c:pt idx="2">
                  <c:v>9.7744360902255634E-2</c:v>
                </c:pt>
                <c:pt idx="3">
                  <c:v>9.8484848484848495E-2</c:v>
                </c:pt>
                <c:pt idx="4">
                  <c:v>9.9236641221374058E-2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0.10077519379844961</c:v>
                </c:pt>
                <c:pt idx="12">
                  <c:v>0.1015625</c:v>
                </c:pt>
                <c:pt idx="13">
                  <c:v>0.10236220472440946</c:v>
                </c:pt>
                <c:pt idx="14">
                  <c:v>0.10317460317460318</c:v>
                </c:pt>
                <c:pt idx="15">
                  <c:v>0.10400000000000001</c:v>
                </c:pt>
                <c:pt idx="16">
                  <c:v>0.10400000000000001</c:v>
                </c:pt>
                <c:pt idx="17">
                  <c:v>0.10400000000000001</c:v>
                </c:pt>
                <c:pt idx="18">
                  <c:v>0.10400000000000001</c:v>
                </c:pt>
                <c:pt idx="19">
                  <c:v>0.10400000000000001</c:v>
                </c:pt>
                <c:pt idx="20">
                  <c:v>0.10400000000000001</c:v>
                </c:pt>
                <c:pt idx="21">
                  <c:v>0.10483870967741936</c:v>
                </c:pt>
                <c:pt idx="22">
                  <c:v>0.1056910569105691</c:v>
                </c:pt>
                <c:pt idx="23">
                  <c:v>0.10655737704918034</c:v>
                </c:pt>
                <c:pt idx="24">
                  <c:v>0.10743801652892562</c:v>
                </c:pt>
                <c:pt idx="25">
                  <c:v>0.10833333333333334</c:v>
                </c:pt>
                <c:pt idx="26">
                  <c:v>0.10833333333333334</c:v>
                </c:pt>
                <c:pt idx="27">
                  <c:v>0.10833333333333334</c:v>
                </c:pt>
                <c:pt idx="28">
                  <c:v>0.10833333333333334</c:v>
                </c:pt>
                <c:pt idx="29">
                  <c:v>0.10833333333333334</c:v>
                </c:pt>
                <c:pt idx="30">
                  <c:v>0.10833333333333334</c:v>
                </c:pt>
                <c:pt idx="31">
                  <c:v>0.1092436974789916</c:v>
                </c:pt>
                <c:pt idx="32">
                  <c:v>0.11016949152542373</c:v>
                </c:pt>
                <c:pt idx="33">
                  <c:v>0.11111111111111112</c:v>
                </c:pt>
                <c:pt idx="34">
                  <c:v>0.11206896551724138</c:v>
                </c:pt>
                <c:pt idx="35">
                  <c:v>0.11304347826086956</c:v>
                </c:pt>
                <c:pt idx="36">
                  <c:v>0.11304347826086956</c:v>
                </c:pt>
                <c:pt idx="37">
                  <c:v>0.11304347826086956</c:v>
                </c:pt>
                <c:pt idx="38">
                  <c:v>0.11304347826086956</c:v>
                </c:pt>
                <c:pt idx="39">
                  <c:v>0.11304347826086956</c:v>
                </c:pt>
                <c:pt idx="40">
                  <c:v>0.11304347826086956</c:v>
                </c:pt>
                <c:pt idx="41">
                  <c:v>0.11403508771929824</c:v>
                </c:pt>
                <c:pt idx="42">
                  <c:v>0.11504424778761062</c:v>
                </c:pt>
                <c:pt idx="43">
                  <c:v>0.11607142857142859</c:v>
                </c:pt>
                <c:pt idx="44">
                  <c:v>0.11711711711711713</c:v>
                </c:pt>
                <c:pt idx="45">
                  <c:v>0.11818181818181818</c:v>
                </c:pt>
                <c:pt idx="46">
                  <c:v>0.11926605504587157</c:v>
                </c:pt>
                <c:pt idx="47">
                  <c:v>0.12037037037037036</c:v>
                </c:pt>
                <c:pt idx="48">
                  <c:v>0.13</c:v>
                </c:pt>
                <c:pt idx="49">
                  <c:v>0.125</c:v>
                </c:pt>
                <c:pt idx="50">
                  <c:v>0.13131313131313133</c:v>
                </c:pt>
                <c:pt idx="51">
                  <c:v>0.12745098039215688</c:v>
                </c:pt>
                <c:pt idx="52">
                  <c:v>0.125</c:v>
                </c:pt>
                <c:pt idx="53">
                  <c:v>0.12745098039215688</c:v>
                </c:pt>
                <c:pt idx="54">
                  <c:v>0.13541666666666669</c:v>
                </c:pt>
                <c:pt idx="55">
                  <c:v>0.13541666666666669</c:v>
                </c:pt>
                <c:pt idx="56">
                  <c:v>0.13541666666666669</c:v>
                </c:pt>
                <c:pt idx="57">
                  <c:v>0.13541666666666669</c:v>
                </c:pt>
                <c:pt idx="58">
                  <c:v>0.13645906228131596</c:v>
                </c:pt>
                <c:pt idx="59">
                  <c:v>0.13757054899948751</c:v>
                </c:pt>
                <c:pt idx="60">
                  <c:v>0.13870029097963182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B1-48FD-AC42-DD854CC24DB7}"/>
            </c:ext>
          </c:extLst>
        </c:ser>
        <c:ser>
          <c:idx val="1"/>
          <c:order val="1"/>
          <c:tx>
            <c:v>Theoretical Minimum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Calcs_ChemEx!$AK$4:$AK$64</c:f>
              <c:numCache>
                <c:formatCode>0.00%</c:formatCode>
                <c:ptCount val="61"/>
                <c:pt idx="0">
                  <c:v>9.6296296296296297E-2</c:v>
                </c:pt>
                <c:pt idx="1">
                  <c:v>9.7014925373134331E-2</c:v>
                </c:pt>
                <c:pt idx="2">
                  <c:v>9.7744360902255634E-2</c:v>
                </c:pt>
                <c:pt idx="3">
                  <c:v>9.8484848484848495E-2</c:v>
                </c:pt>
                <c:pt idx="4">
                  <c:v>9.9236641221374058E-2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0.10077519379844961</c:v>
                </c:pt>
                <c:pt idx="12">
                  <c:v>0.1015625</c:v>
                </c:pt>
                <c:pt idx="13">
                  <c:v>0.10236220472440946</c:v>
                </c:pt>
                <c:pt idx="14">
                  <c:v>0.10317460317460318</c:v>
                </c:pt>
                <c:pt idx="15">
                  <c:v>0.10400000000000001</c:v>
                </c:pt>
                <c:pt idx="16">
                  <c:v>0.10400000000000001</c:v>
                </c:pt>
                <c:pt idx="17">
                  <c:v>0.10400000000000001</c:v>
                </c:pt>
                <c:pt idx="18">
                  <c:v>0.10400000000000001</c:v>
                </c:pt>
                <c:pt idx="19">
                  <c:v>0.10400000000000001</c:v>
                </c:pt>
                <c:pt idx="20">
                  <c:v>0.10400000000000001</c:v>
                </c:pt>
                <c:pt idx="21">
                  <c:v>0.10483870967741936</c:v>
                </c:pt>
                <c:pt idx="22">
                  <c:v>0.1056910569105691</c:v>
                </c:pt>
                <c:pt idx="23">
                  <c:v>0.10655737704918034</c:v>
                </c:pt>
                <c:pt idx="24">
                  <c:v>0.10743801652892562</c:v>
                </c:pt>
                <c:pt idx="25">
                  <c:v>0.10833333333333334</c:v>
                </c:pt>
                <c:pt idx="26">
                  <c:v>0.10833333333333334</c:v>
                </c:pt>
                <c:pt idx="27">
                  <c:v>0.10833333333333334</c:v>
                </c:pt>
                <c:pt idx="28">
                  <c:v>0.10833333333333334</c:v>
                </c:pt>
                <c:pt idx="29">
                  <c:v>0.10833333333333334</c:v>
                </c:pt>
                <c:pt idx="30">
                  <c:v>0.10833333333333334</c:v>
                </c:pt>
                <c:pt idx="31">
                  <c:v>0.1092436974789916</c:v>
                </c:pt>
                <c:pt idx="32">
                  <c:v>0.11016949152542373</c:v>
                </c:pt>
                <c:pt idx="33">
                  <c:v>0.11111111111111112</c:v>
                </c:pt>
                <c:pt idx="34">
                  <c:v>0.11206896551724138</c:v>
                </c:pt>
                <c:pt idx="35">
                  <c:v>0.11304347826086956</c:v>
                </c:pt>
                <c:pt idx="36">
                  <c:v>0.11304347826086956</c:v>
                </c:pt>
                <c:pt idx="37">
                  <c:v>0.11304347826086956</c:v>
                </c:pt>
                <c:pt idx="38">
                  <c:v>0.11304347826086956</c:v>
                </c:pt>
                <c:pt idx="39">
                  <c:v>0.11304347826086956</c:v>
                </c:pt>
                <c:pt idx="40">
                  <c:v>0.11304347826086956</c:v>
                </c:pt>
                <c:pt idx="41">
                  <c:v>0.11403508771929824</c:v>
                </c:pt>
                <c:pt idx="42">
                  <c:v>0.11504424778761062</c:v>
                </c:pt>
                <c:pt idx="43">
                  <c:v>0.11607142857142859</c:v>
                </c:pt>
                <c:pt idx="44">
                  <c:v>0.11711711711711713</c:v>
                </c:pt>
                <c:pt idx="45">
                  <c:v>0.11818181818181818</c:v>
                </c:pt>
                <c:pt idx="46">
                  <c:v>0.11926605504587157</c:v>
                </c:pt>
                <c:pt idx="47">
                  <c:v>0.12037037037037036</c:v>
                </c:pt>
                <c:pt idx="48">
                  <c:v>0.13</c:v>
                </c:pt>
                <c:pt idx="49">
                  <c:v>0.125</c:v>
                </c:pt>
                <c:pt idx="50">
                  <c:v>0.13131313131313133</c:v>
                </c:pt>
                <c:pt idx="51">
                  <c:v>0.12745098039215688</c:v>
                </c:pt>
                <c:pt idx="52">
                  <c:v>0.125</c:v>
                </c:pt>
                <c:pt idx="53">
                  <c:v>0.12745098039215688</c:v>
                </c:pt>
                <c:pt idx="54">
                  <c:v>0.13541666666666669</c:v>
                </c:pt>
                <c:pt idx="55">
                  <c:v>0.13541666666666669</c:v>
                </c:pt>
                <c:pt idx="56">
                  <c:v>0.13541666666666669</c:v>
                </c:pt>
                <c:pt idx="57">
                  <c:v>0.13541666666666669</c:v>
                </c:pt>
                <c:pt idx="58">
                  <c:v>0.13645906228131596</c:v>
                </c:pt>
                <c:pt idx="59">
                  <c:v>0.13757054899948751</c:v>
                </c:pt>
                <c:pt idx="60">
                  <c:v>0.13870029097963182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B1-48FD-AC42-DD854CC24DB7}"/>
            </c:ext>
          </c:extLst>
        </c:ser>
        <c:ser>
          <c:idx val="2"/>
          <c:order val="2"/>
          <c:tx>
            <c:v>Chemical Energy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Calcs_ChemEx!$A$4:$A$64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Calcs_ChemEx!$AU$4:$AU$64</c:f>
              <c:numCache>
                <c:formatCode>0.00%</c:formatCode>
                <c:ptCount val="61"/>
                <c:pt idx="0">
                  <c:v>0.38518518518518519</c:v>
                </c:pt>
                <c:pt idx="1">
                  <c:v>0.38805970149253732</c:v>
                </c:pt>
                <c:pt idx="2">
                  <c:v>0.39097744360902253</c:v>
                </c:pt>
                <c:pt idx="3">
                  <c:v>0.39393939393939398</c:v>
                </c:pt>
                <c:pt idx="4">
                  <c:v>0.39694656488549623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0.40310077519379844</c:v>
                </c:pt>
                <c:pt idx="12">
                  <c:v>0.40625</c:v>
                </c:pt>
                <c:pt idx="13">
                  <c:v>0.40944881889763785</c:v>
                </c:pt>
                <c:pt idx="14">
                  <c:v>0.41269841269841273</c:v>
                </c:pt>
                <c:pt idx="15">
                  <c:v>0.41600000000000004</c:v>
                </c:pt>
                <c:pt idx="16">
                  <c:v>0.41600000000000004</c:v>
                </c:pt>
                <c:pt idx="17">
                  <c:v>0.41600000000000004</c:v>
                </c:pt>
                <c:pt idx="18">
                  <c:v>0.41600000000000004</c:v>
                </c:pt>
                <c:pt idx="19">
                  <c:v>0.41600000000000004</c:v>
                </c:pt>
                <c:pt idx="20">
                  <c:v>0.41600000000000004</c:v>
                </c:pt>
                <c:pt idx="21">
                  <c:v>0.41935483870967744</c:v>
                </c:pt>
                <c:pt idx="22">
                  <c:v>0.42276422764227639</c:v>
                </c:pt>
                <c:pt idx="23">
                  <c:v>0.42622950819672134</c:v>
                </c:pt>
                <c:pt idx="24">
                  <c:v>0.42975206611570249</c:v>
                </c:pt>
                <c:pt idx="25">
                  <c:v>0.43333333333333335</c:v>
                </c:pt>
                <c:pt idx="26">
                  <c:v>0.43333333333333335</c:v>
                </c:pt>
                <c:pt idx="27">
                  <c:v>0.43333333333333335</c:v>
                </c:pt>
                <c:pt idx="28">
                  <c:v>0.43333333333333335</c:v>
                </c:pt>
                <c:pt idx="29">
                  <c:v>0.43333333333333335</c:v>
                </c:pt>
                <c:pt idx="30">
                  <c:v>0.43333333333333335</c:v>
                </c:pt>
                <c:pt idx="31">
                  <c:v>0.43697478991596639</c:v>
                </c:pt>
                <c:pt idx="32">
                  <c:v>0.44067796610169491</c:v>
                </c:pt>
                <c:pt idx="33">
                  <c:v>0.44444444444444448</c:v>
                </c:pt>
                <c:pt idx="34">
                  <c:v>0.44827586206896552</c:v>
                </c:pt>
                <c:pt idx="35">
                  <c:v>0.45217391304347826</c:v>
                </c:pt>
                <c:pt idx="36">
                  <c:v>0.45217391304347826</c:v>
                </c:pt>
                <c:pt idx="37">
                  <c:v>0.45217391304347826</c:v>
                </c:pt>
                <c:pt idx="38">
                  <c:v>0.45217391304347826</c:v>
                </c:pt>
                <c:pt idx="39">
                  <c:v>0.45217391304347826</c:v>
                </c:pt>
                <c:pt idx="40">
                  <c:v>0.45217391304347826</c:v>
                </c:pt>
                <c:pt idx="41">
                  <c:v>0.45614035087719296</c:v>
                </c:pt>
                <c:pt idx="42">
                  <c:v>0.46017699115044247</c:v>
                </c:pt>
                <c:pt idx="43">
                  <c:v>0.46428571428571436</c:v>
                </c:pt>
                <c:pt idx="44">
                  <c:v>0.46846846846846851</c:v>
                </c:pt>
                <c:pt idx="45">
                  <c:v>0.47272727272727272</c:v>
                </c:pt>
                <c:pt idx="46">
                  <c:v>0.47706422018348627</c:v>
                </c:pt>
                <c:pt idx="47">
                  <c:v>0.48148148148148145</c:v>
                </c:pt>
                <c:pt idx="48">
                  <c:v>0.52</c:v>
                </c:pt>
                <c:pt idx="49">
                  <c:v>0.5</c:v>
                </c:pt>
                <c:pt idx="50">
                  <c:v>0.5252525252525253</c:v>
                </c:pt>
                <c:pt idx="51">
                  <c:v>0.50980392156862753</c:v>
                </c:pt>
                <c:pt idx="52">
                  <c:v>0.5</c:v>
                </c:pt>
                <c:pt idx="53">
                  <c:v>0.50980392156862753</c:v>
                </c:pt>
                <c:pt idx="54">
                  <c:v>0.54166666666666674</c:v>
                </c:pt>
                <c:pt idx="55">
                  <c:v>0.54166666666666674</c:v>
                </c:pt>
                <c:pt idx="56">
                  <c:v>0.54166666666666674</c:v>
                </c:pt>
                <c:pt idx="57">
                  <c:v>0.54166666666666674</c:v>
                </c:pt>
                <c:pt idx="58">
                  <c:v>0.54583624912526385</c:v>
                </c:pt>
                <c:pt idx="59">
                  <c:v>0.55028219599795003</c:v>
                </c:pt>
                <c:pt idx="60">
                  <c:v>0.5548011639185273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B1-48FD-AC42-DD854CC24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497552"/>
        <c:axId val="607495256"/>
      </c:lineChart>
      <c:catAx>
        <c:axId val="60749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495256"/>
        <c:crosses val="autoZero"/>
        <c:auto val="1"/>
        <c:lblAlgn val="ctr"/>
        <c:lblOffset val="100"/>
        <c:noMultiLvlLbl val="0"/>
      </c:catAx>
      <c:valAx>
        <c:axId val="607495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Eta.fu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49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chart" Target="../charts/chart1.xml"/><Relationship Id="rId6" Type="http://schemas.openxmlformats.org/officeDocument/2006/relationships/chart" Target="../charts/chart2.xml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2.png"/><Relationship Id="rId18" Type="http://schemas.openxmlformats.org/officeDocument/2006/relationships/image" Target="../media/image36.png"/><Relationship Id="rId3" Type="http://schemas.openxmlformats.org/officeDocument/2006/relationships/chart" Target="../charts/chart3.xml"/><Relationship Id="rId7" Type="http://schemas.openxmlformats.org/officeDocument/2006/relationships/image" Target="../media/image28.emf"/><Relationship Id="rId12" Type="http://schemas.openxmlformats.org/officeDocument/2006/relationships/image" Target="../media/image31.png"/><Relationship Id="rId17" Type="http://schemas.openxmlformats.org/officeDocument/2006/relationships/image" Target="../media/image35.png"/><Relationship Id="rId2" Type="http://schemas.openxmlformats.org/officeDocument/2006/relationships/image" Target="../media/image25.emf"/><Relationship Id="rId16" Type="http://schemas.openxmlformats.org/officeDocument/2006/relationships/chart" Target="../charts/chart7.xml"/><Relationship Id="rId20" Type="http://schemas.openxmlformats.org/officeDocument/2006/relationships/image" Target="../media/image38.png"/><Relationship Id="rId1" Type="http://schemas.openxmlformats.org/officeDocument/2006/relationships/image" Target="../media/image24.emf"/><Relationship Id="rId6" Type="http://schemas.openxmlformats.org/officeDocument/2006/relationships/image" Target="../media/image27.emf"/><Relationship Id="rId11" Type="http://schemas.openxmlformats.org/officeDocument/2006/relationships/chart" Target="../charts/chart6.xml"/><Relationship Id="rId5" Type="http://schemas.openxmlformats.org/officeDocument/2006/relationships/image" Target="../media/image26.png"/><Relationship Id="rId15" Type="http://schemas.openxmlformats.org/officeDocument/2006/relationships/image" Target="../media/image34.png"/><Relationship Id="rId10" Type="http://schemas.openxmlformats.org/officeDocument/2006/relationships/chart" Target="../charts/chart5.xml"/><Relationship Id="rId19" Type="http://schemas.openxmlformats.org/officeDocument/2006/relationships/image" Target="../media/image37.gif"/><Relationship Id="rId4" Type="http://schemas.openxmlformats.org/officeDocument/2006/relationships/chart" Target="../charts/chart4.xml"/><Relationship Id="rId9" Type="http://schemas.openxmlformats.org/officeDocument/2006/relationships/image" Target="../media/image30.png"/><Relationship Id="rId14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4" Type="http://schemas.openxmlformats.org/officeDocument/2006/relationships/image" Target="../media/image66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3</xdr:row>
      <xdr:rowOff>133350</xdr:rowOff>
    </xdr:from>
    <xdr:to>
      <xdr:col>12</xdr:col>
      <xdr:colOff>561301</xdr:colOff>
      <xdr:row>29</xdr:row>
      <xdr:rowOff>66017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704850"/>
          <a:ext cx="5390476" cy="52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33</xdr:row>
      <xdr:rowOff>180975</xdr:rowOff>
    </xdr:from>
    <xdr:to>
      <xdr:col>19</xdr:col>
      <xdr:colOff>9525</xdr:colOff>
      <xdr:row>59</xdr:row>
      <xdr:rowOff>116717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53200" y="6848475"/>
          <a:ext cx="5334000" cy="4888742"/>
        </a:xfrm>
        <a:prstGeom prst="rect">
          <a:avLst/>
        </a:prstGeom>
      </xdr:spPr>
    </xdr:pic>
    <xdr:clientData/>
  </xdr:twoCellAnchor>
  <xdr:twoCellAnchor editAs="oneCell">
    <xdr:from>
      <xdr:col>19</xdr:col>
      <xdr:colOff>333375</xdr:colOff>
      <xdr:row>34</xdr:row>
      <xdr:rowOff>28575</xdr:rowOff>
    </xdr:from>
    <xdr:to>
      <xdr:col>28</xdr:col>
      <xdr:colOff>342213</xdr:colOff>
      <xdr:row>60</xdr:row>
      <xdr:rowOff>142242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11050" y="6886575"/>
          <a:ext cx="5495238" cy="50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600075</xdr:colOff>
      <xdr:row>4</xdr:row>
      <xdr:rowOff>35719</xdr:rowOff>
    </xdr:from>
    <xdr:to>
      <xdr:col>20</xdr:col>
      <xdr:colOff>68208</xdr:colOff>
      <xdr:row>38</xdr:row>
      <xdr:rowOff>177767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7825" y="797719"/>
          <a:ext cx="6754758" cy="6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2</xdr:row>
      <xdr:rowOff>171450</xdr:rowOff>
    </xdr:from>
    <xdr:to>
      <xdr:col>19</xdr:col>
      <xdr:colOff>293259</xdr:colOff>
      <xdr:row>32</xdr:row>
      <xdr:rowOff>65720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05525" y="552450"/>
          <a:ext cx="5770135" cy="5609270"/>
        </a:xfrm>
        <a:prstGeom prst="rect">
          <a:avLst/>
        </a:prstGeom>
      </xdr:spPr>
    </xdr:pic>
    <xdr:clientData/>
  </xdr:twoCellAnchor>
  <xdr:twoCellAnchor editAs="oneCell">
    <xdr:from>
      <xdr:col>29</xdr:col>
      <xdr:colOff>202405</xdr:colOff>
      <xdr:row>2</xdr:row>
      <xdr:rowOff>154781</xdr:rowOff>
    </xdr:from>
    <xdr:to>
      <xdr:col>36</xdr:col>
      <xdr:colOff>358847</xdr:colOff>
      <xdr:row>32</xdr:row>
      <xdr:rowOff>98841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11749" y="535781"/>
          <a:ext cx="4406973" cy="56590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18</xdr:col>
      <xdr:colOff>561295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6286500"/>
          <a:ext cx="5438095" cy="58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381001</xdr:colOff>
      <xdr:row>3</xdr:row>
      <xdr:rowOff>0</xdr:rowOff>
    </xdr:from>
    <xdr:to>
      <xdr:col>29</xdr:col>
      <xdr:colOff>38937</xdr:colOff>
      <xdr:row>32</xdr:row>
      <xdr:rowOff>59531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18157" y="571500"/>
          <a:ext cx="5730124" cy="5584031"/>
        </a:xfrm>
        <a:prstGeom prst="rect">
          <a:avLst/>
        </a:prstGeom>
      </xdr:spPr>
    </xdr:pic>
    <xdr:clientData/>
  </xdr:twoCellAnchor>
  <xdr:twoCellAnchor editAs="oneCell">
    <xdr:from>
      <xdr:col>19</xdr:col>
      <xdr:colOff>226219</xdr:colOff>
      <xdr:row>33</xdr:row>
      <xdr:rowOff>23813</xdr:rowOff>
    </xdr:from>
    <xdr:to>
      <xdr:col>35</xdr:col>
      <xdr:colOff>34528</xdr:colOff>
      <xdr:row>57</xdr:row>
      <xdr:rowOff>51813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63375" y="6310313"/>
          <a:ext cx="9523809" cy="4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65</xdr:row>
      <xdr:rowOff>0</xdr:rowOff>
    </xdr:from>
    <xdr:to>
      <xdr:col>21</xdr:col>
      <xdr:colOff>339641</xdr:colOff>
      <xdr:row>89</xdr:row>
      <xdr:rowOff>66095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72188" y="12382500"/>
          <a:ext cx="7019048" cy="463809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65</xdr:row>
      <xdr:rowOff>0</xdr:rowOff>
    </xdr:from>
    <xdr:to>
      <xdr:col>33</xdr:col>
      <xdr:colOff>425355</xdr:colOff>
      <xdr:row>82</xdr:row>
      <xdr:rowOff>132929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58813" y="12382500"/>
          <a:ext cx="7104762" cy="33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90</xdr:row>
      <xdr:rowOff>0</xdr:rowOff>
    </xdr:from>
    <xdr:to>
      <xdr:col>27</xdr:col>
      <xdr:colOff>315376</xdr:colOff>
      <xdr:row>127</xdr:row>
      <xdr:rowOff>37214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72188" y="17145000"/>
          <a:ext cx="10638095" cy="70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128</xdr:row>
      <xdr:rowOff>0</xdr:rowOff>
    </xdr:from>
    <xdr:to>
      <xdr:col>27</xdr:col>
      <xdr:colOff>48709</xdr:colOff>
      <xdr:row>164</xdr:row>
      <xdr:rowOff>189619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72188" y="24384000"/>
          <a:ext cx="10371428" cy="70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166</xdr:row>
      <xdr:rowOff>0</xdr:rowOff>
    </xdr:from>
    <xdr:to>
      <xdr:col>27</xdr:col>
      <xdr:colOff>10614</xdr:colOff>
      <xdr:row>202</xdr:row>
      <xdr:rowOff>103905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72188" y="31623000"/>
          <a:ext cx="10333333" cy="69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203</xdr:row>
      <xdr:rowOff>0</xdr:rowOff>
    </xdr:from>
    <xdr:to>
      <xdr:col>27</xdr:col>
      <xdr:colOff>1090</xdr:colOff>
      <xdr:row>240</xdr:row>
      <xdr:rowOff>27690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72188" y="38671500"/>
          <a:ext cx="10323809" cy="70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27</xdr:col>
      <xdr:colOff>20138</xdr:colOff>
      <xdr:row>265</xdr:row>
      <xdr:rowOff>94667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2188" y="45910500"/>
          <a:ext cx="10342857" cy="46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419100</xdr:colOff>
      <xdr:row>0</xdr:row>
      <xdr:rowOff>0</xdr:rowOff>
    </xdr:from>
    <xdr:to>
      <xdr:col>22</xdr:col>
      <xdr:colOff>275252</xdr:colOff>
      <xdr:row>34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86300" y="0"/>
          <a:ext cx="7780952" cy="66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3</xdr:row>
      <xdr:rowOff>38100</xdr:rowOff>
    </xdr:from>
    <xdr:to>
      <xdr:col>13</xdr:col>
      <xdr:colOff>285261</xdr:colOff>
      <xdr:row>19</xdr:row>
      <xdr:rowOff>47243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0" y="609600"/>
          <a:ext cx="3914286" cy="30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400050</xdr:colOff>
      <xdr:row>2</xdr:row>
      <xdr:rowOff>152400</xdr:rowOff>
    </xdr:from>
    <xdr:to>
      <xdr:col>13</xdr:col>
      <xdr:colOff>390069</xdr:colOff>
      <xdr:row>19</xdr:row>
      <xdr:rowOff>132948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0" y="533400"/>
          <a:ext cx="3647619" cy="32190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95249</xdr:colOff>
      <xdr:row>0</xdr:row>
      <xdr:rowOff>166686</xdr:rowOff>
    </xdr:from>
    <xdr:to>
      <xdr:col>22</xdr:col>
      <xdr:colOff>200024</xdr:colOff>
      <xdr:row>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15</xdr:row>
      <xdr:rowOff>0</xdr:rowOff>
    </xdr:from>
    <xdr:to>
      <xdr:col>7</xdr:col>
      <xdr:colOff>391584</xdr:colOff>
      <xdr:row>38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5863"/>
        <a:stretch/>
      </xdr:blipFill>
      <xdr:spPr>
        <a:xfrm>
          <a:off x="0" y="2457450"/>
          <a:ext cx="10411884" cy="4597400"/>
        </a:xfrm>
        <a:prstGeom prst="rect">
          <a:avLst/>
        </a:prstGeom>
      </xdr:spPr>
    </xdr:pic>
    <xdr:clientData/>
  </xdr:twoCellAnchor>
  <xdr:twoCellAnchor editAs="oneCell">
    <xdr:from>
      <xdr:col>0</xdr:col>
      <xdr:colOff>21166</xdr:colOff>
      <xdr:row>110</xdr:row>
      <xdr:rowOff>0</xdr:rowOff>
    </xdr:from>
    <xdr:to>
      <xdr:col>7</xdr:col>
      <xdr:colOff>698499</xdr:colOff>
      <xdr:row>137</xdr:row>
      <xdr:rowOff>176902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66" y="17840325"/>
          <a:ext cx="10697633" cy="53267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116416</xdr:rowOff>
    </xdr:from>
    <xdr:to>
      <xdr:col>2</xdr:col>
      <xdr:colOff>3016250</xdr:colOff>
      <xdr:row>83</xdr:row>
      <xdr:rowOff>103869</xdr:rowOff>
    </xdr:to>
    <xdr:pic>
      <xdr:nvPicPr>
        <xdr:cNvPr id="5" name="Picture 11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4716"/>
          <a:ext cx="6588125" cy="41975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</xdr:col>
      <xdr:colOff>2164927</xdr:colOff>
      <xdr:row>105</xdr:row>
      <xdr:rowOff>78740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601825"/>
          <a:ext cx="5736802" cy="2507615"/>
        </a:xfrm>
        <a:prstGeom prst="rect">
          <a:avLst/>
        </a:prstGeom>
      </xdr:spPr>
    </xdr:pic>
    <xdr:clientData/>
  </xdr:twoCellAnchor>
  <xdr:twoCellAnchor>
    <xdr:from>
      <xdr:col>0</xdr:col>
      <xdr:colOff>1185333</xdr:colOff>
      <xdr:row>27</xdr:row>
      <xdr:rowOff>63500</xdr:rowOff>
    </xdr:from>
    <xdr:to>
      <xdr:col>3</xdr:col>
      <xdr:colOff>95250</xdr:colOff>
      <xdr:row>27</xdr:row>
      <xdr:rowOff>63500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>
          <a:off x="1185333" y="4464050"/>
          <a:ext cx="5710767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1189566</xdr:colOff>
      <xdr:row>16</xdr:row>
      <xdr:rowOff>0</xdr:rowOff>
    </xdr:from>
    <xdr:to>
      <xdr:col>0</xdr:col>
      <xdr:colOff>1195917</xdr:colOff>
      <xdr:row>35</xdr:row>
      <xdr:rowOff>131234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/>
      </xdr:nvCxnSpPr>
      <xdr:spPr>
        <a:xfrm flipH="1">
          <a:off x="1189566" y="2619375"/>
          <a:ext cx="6351" cy="320780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1543049</xdr:colOff>
      <xdr:row>16</xdr:row>
      <xdr:rowOff>4233</xdr:rowOff>
    </xdr:from>
    <xdr:to>
      <xdr:col>2</xdr:col>
      <xdr:colOff>1549400</xdr:colOff>
      <xdr:row>35</xdr:row>
      <xdr:rowOff>135467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 flipH="1">
          <a:off x="5114924" y="2623608"/>
          <a:ext cx="6351" cy="320780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2171699</xdr:colOff>
      <xdr:row>15</xdr:row>
      <xdr:rowOff>146050</xdr:rowOff>
    </xdr:from>
    <xdr:to>
      <xdr:col>0</xdr:col>
      <xdr:colOff>2178050</xdr:colOff>
      <xdr:row>35</xdr:row>
      <xdr:rowOff>118534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CxnSpPr/>
      </xdr:nvCxnSpPr>
      <xdr:spPr>
        <a:xfrm flipH="1">
          <a:off x="2171699" y="2603500"/>
          <a:ext cx="6351" cy="321098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673099</xdr:colOff>
      <xdr:row>15</xdr:row>
      <xdr:rowOff>150283</xdr:rowOff>
    </xdr:from>
    <xdr:to>
      <xdr:col>1</xdr:col>
      <xdr:colOff>679450</xdr:colOff>
      <xdr:row>35</xdr:row>
      <xdr:rowOff>122767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/>
      </xdr:nvCxnSpPr>
      <xdr:spPr>
        <a:xfrm flipH="1">
          <a:off x="3140074" y="2607733"/>
          <a:ext cx="6351" cy="321098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560917</xdr:colOff>
      <xdr:row>15</xdr:row>
      <xdr:rowOff>154516</xdr:rowOff>
    </xdr:from>
    <xdr:to>
      <xdr:col>2</xdr:col>
      <xdr:colOff>567268</xdr:colOff>
      <xdr:row>35</xdr:row>
      <xdr:rowOff>127000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CxnSpPr/>
      </xdr:nvCxnSpPr>
      <xdr:spPr>
        <a:xfrm flipH="1">
          <a:off x="4132792" y="2611966"/>
          <a:ext cx="6351" cy="321098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1168400</xdr:colOff>
      <xdr:row>32</xdr:row>
      <xdr:rowOff>141817</xdr:rowOff>
    </xdr:from>
    <xdr:to>
      <xdr:col>3</xdr:col>
      <xdr:colOff>78317</xdr:colOff>
      <xdr:row>32</xdr:row>
      <xdr:rowOff>141817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CxnSpPr/>
      </xdr:nvCxnSpPr>
      <xdr:spPr>
        <a:xfrm>
          <a:off x="1168400" y="5351992"/>
          <a:ext cx="5710767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1193800</xdr:colOff>
      <xdr:row>30</xdr:row>
      <xdr:rowOff>19050</xdr:rowOff>
    </xdr:from>
    <xdr:to>
      <xdr:col>3</xdr:col>
      <xdr:colOff>103717</xdr:colOff>
      <xdr:row>30</xdr:row>
      <xdr:rowOff>19050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CxnSpPr/>
      </xdr:nvCxnSpPr>
      <xdr:spPr>
        <a:xfrm>
          <a:off x="1193800" y="4905375"/>
          <a:ext cx="5710767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1198033</xdr:colOff>
      <xdr:row>31</xdr:row>
      <xdr:rowOff>86783</xdr:rowOff>
    </xdr:from>
    <xdr:to>
      <xdr:col>3</xdr:col>
      <xdr:colOff>107950</xdr:colOff>
      <xdr:row>31</xdr:row>
      <xdr:rowOff>86783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CxnSpPr/>
      </xdr:nvCxnSpPr>
      <xdr:spPr>
        <a:xfrm>
          <a:off x="1198033" y="5135033"/>
          <a:ext cx="5710767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232833</xdr:colOff>
      <xdr:row>118</xdr:row>
      <xdr:rowOff>0</xdr:rowOff>
    </xdr:from>
    <xdr:to>
      <xdr:col>5</xdr:col>
      <xdr:colOff>698500</xdr:colOff>
      <xdr:row>118</xdr:row>
      <xdr:rowOff>21167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/>
      </xdr:nvCxnSpPr>
      <xdr:spPr>
        <a:xfrm flipV="1">
          <a:off x="2699808" y="19135725"/>
          <a:ext cx="6533092" cy="2116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226483</xdr:colOff>
      <xdr:row>120</xdr:row>
      <xdr:rowOff>131234</xdr:rowOff>
    </xdr:from>
    <xdr:to>
      <xdr:col>5</xdr:col>
      <xdr:colOff>692150</xdr:colOff>
      <xdr:row>120</xdr:row>
      <xdr:rowOff>152401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/>
      </xdr:nvCxnSpPr>
      <xdr:spPr>
        <a:xfrm flipV="1">
          <a:off x="2693458" y="19590809"/>
          <a:ext cx="6533092" cy="2116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198967</xdr:colOff>
      <xdr:row>126</xdr:row>
      <xdr:rowOff>135466</xdr:rowOff>
    </xdr:from>
    <xdr:to>
      <xdr:col>5</xdr:col>
      <xdr:colOff>664634</xdr:colOff>
      <xdr:row>126</xdr:row>
      <xdr:rowOff>156633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/>
      </xdr:nvCxnSpPr>
      <xdr:spPr>
        <a:xfrm flipV="1">
          <a:off x="2665942" y="20566591"/>
          <a:ext cx="6533092" cy="2116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160866</xdr:colOff>
      <xdr:row>129</xdr:row>
      <xdr:rowOff>139700</xdr:rowOff>
    </xdr:from>
    <xdr:to>
      <xdr:col>5</xdr:col>
      <xdr:colOff>626533</xdr:colOff>
      <xdr:row>130</xdr:row>
      <xdr:rowOff>2117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CxnSpPr/>
      </xdr:nvCxnSpPr>
      <xdr:spPr>
        <a:xfrm flipV="1">
          <a:off x="2627841" y="21056600"/>
          <a:ext cx="6533092" cy="24342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228599</xdr:colOff>
      <xdr:row>123</xdr:row>
      <xdr:rowOff>122767</xdr:rowOff>
    </xdr:from>
    <xdr:to>
      <xdr:col>5</xdr:col>
      <xdr:colOff>694266</xdr:colOff>
      <xdr:row>123</xdr:row>
      <xdr:rowOff>143934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/>
      </xdr:nvCxnSpPr>
      <xdr:spPr>
        <a:xfrm flipV="1">
          <a:off x="2695574" y="20068117"/>
          <a:ext cx="6533092" cy="2116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230717</xdr:colOff>
      <xdr:row>115</xdr:row>
      <xdr:rowOff>19050</xdr:rowOff>
    </xdr:from>
    <xdr:to>
      <xdr:col>5</xdr:col>
      <xdr:colOff>696384</xdr:colOff>
      <xdr:row>115</xdr:row>
      <xdr:rowOff>40217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/>
      </xdr:nvCxnSpPr>
      <xdr:spPr>
        <a:xfrm flipV="1">
          <a:off x="2697692" y="18669000"/>
          <a:ext cx="6533092" cy="2116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222250</xdr:colOff>
      <xdr:row>112</xdr:row>
      <xdr:rowOff>31750</xdr:rowOff>
    </xdr:from>
    <xdr:to>
      <xdr:col>1</xdr:col>
      <xdr:colOff>232833</xdr:colOff>
      <xdr:row>135</xdr:row>
      <xdr:rowOff>63500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CxnSpPr/>
      </xdr:nvCxnSpPr>
      <xdr:spPr>
        <a:xfrm>
          <a:off x="2689225" y="18195925"/>
          <a:ext cx="10583" cy="37560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618067</xdr:colOff>
      <xdr:row>112</xdr:row>
      <xdr:rowOff>152400</xdr:rowOff>
    </xdr:from>
    <xdr:to>
      <xdr:col>1</xdr:col>
      <xdr:colOff>628650</xdr:colOff>
      <xdr:row>136</xdr:row>
      <xdr:rowOff>25400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CxnSpPr/>
      </xdr:nvCxnSpPr>
      <xdr:spPr>
        <a:xfrm>
          <a:off x="3085042" y="18316575"/>
          <a:ext cx="10583" cy="37592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325967</xdr:colOff>
      <xdr:row>112</xdr:row>
      <xdr:rowOff>93133</xdr:rowOff>
    </xdr:from>
    <xdr:to>
      <xdr:col>4</xdr:col>
      <xdr:colOff>336550</xdr:colOff>
      <xdr:row>135</xdr:row>
      <xdr:rowOff>124883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CxnSpPr/>
      </xdr:nvCxnSpPr>
      <xdr:spPr>
        <a:xfrm>
          <a:off x="7955492" y="18257308"/>
          <a:ext cx="10583" cy="37560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1896534</xdr:colOff>
      <xdr:row>112</xdr:row>
      <xdr:rowOff>129116</xdr:rowOff>
    </xdr:from>
    <xdr:to>
      <xdr:col>2</xdr:col>
      <xdr:colOff>1907117</xdr:colOff>
      <xdr:row>136</xdr:row>
      <xdr:rowOff>2116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CxnSpPr/>
      </xdr:nvCxnSpPr>
      <xdr:spPr>
        <a:xfrm>
          <a:off x="5468409" y="18293291"/>
          <a:ext cx="10583" cy="37592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715434</xdr:colOff>
      <xdr:row>112</xdr:row>
      <xdr:rowOff>101600</xdr:rowOff>
    </xdr:from>
    <xdr:to>
      <xdr:col>2</xdr:col>
      <xdr:colOff>726017</xdr:colOff>
      <xdr:row>135</xdr:row>
      <xdr:rowOff>133350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CxnSpPr/>
      </xdr:nvCxnSpPr>
      <xdr:spPr>
        <a:xfrm>
          <a:off x="4287309" y="18265775"/>
          <a:ext cx="10583" cy="37560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1502834</xdr:colOff>
      <xdr:row>112</xdr:row>
      <xdr:rowOff>95250</xdr:rowOff>
    </xdr:from>
    <xdr:to>
      <xdr:col>2</xdr:col>
      <xdr:colOff>1513417</xdr:colOff>
      <xdr:row>135</xdr:row>
      <xdr:rowOff>127000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/>
      </xdr:nvCxnSpPr>
      <xdr:spPr>
        <a:xfrm>
          <a:off x="5074709" y="18259425"/>
          <a:ext cx="10583" cy="37560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2321984</xdr:colOff>
      <xdr:row>112</xdr:row>
      <xdr:rowOff>99483</xdr:rowOff>
    </xdr:from>
    <xdr:to>
      <xdr:col>2</xdr:col>
      <xdr:colOff>2332567</xdr:colOff>
      <xdr:row>135</xdr:row>
      <xdr:rowOff>131233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CxnSpPr/>
      </xdr:nvCxnSpPr>
      <xdr:spPr>
        <a:xfrm>
          <a:off x="5893859" y="18263658"/>
          <a:ext cx="10583" cy="37560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3077634</xdr:colOff>
      <xdr:row>112</xdr:row>
      <xdr:rowOff>124883</xdr:rowOff>
    </xdr:from>
    <xdr:to>
      <xdr:col>2</xdr:col>
      <xdr:colOff>3088217</xdr:colOff>
      <xdr:row>135</xdr:row>
      <xdr:rowOff>156633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/>
      </xdr:nvCxnSpPr>
      <xdr:spPr>
        <a:xfrm>
          <a:off x="6649509" y="18289058"/>
          <a:ext cx="10583" cy="37560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753534</xdr:colOff>
      <xdr:row>112</xdr:row>
      <xdr:rowOff>129117</xdr:rowOff>
    </xdr:from>
    <xdr:to>
      <xdr:col>3</xdr:col>
      <xdr:colOff>764117</xdr:colOff>
      <xdr:row>136</xdr:row>
      <xdr:rowOff>2117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CxnSpPr/>
      </xdr:nvCxnSpPr>
      <xdr:spPr>
        <a:xfrm>
          <a:off x="7554384" y="18293292"/>
          <a:ext cx="10583" cy="37592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736601</xdr:colOff>
      <xdr:row>112</xdr:row>
      <xdr:rowOff>69850</xdr:rowOff>
    </xdr:from>
    <xdr:to>
      <xdr:col>4</xdr:col>
      <xdr:colOff>747184</xdr:colOff>
      <xdr:row>135</xdr:row>
      <xdr:rowOff>101600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/>
      </xdr:nvCxnSpPr>
      <xdr:spPr>
        <a:xfrm>
          <a:off x="8366126" y="18234025"/>
          <a:ext cx="10583" cy="37560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1109134</xdr:colOff>
      <xdr:row>112</xdr:row>
      <xdr:rowOff>124883</xdr:rowOff>
    </xdr:from>
    <xdr:to>
      <xdr:col>2</xdr:col>
      <xdr:colOff>1119717</xdr:colOff>
      <xdr:row>135</xdr:row>
      <xdr:rowOff>156633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4681009" y="18289058"/>
          <a:ext cx="10583" cy="37560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1028701</xdr:colOff>
      <xdr:row>113</xdr:row>
      <xdr:rowOff>2117</xdr:rowOff>
    </xdr:from>
    <xdr:to>
      <xdr:col>1</xdr:col>
      <xdr:colOff>1039284</xdr:colOff>
      <xdr:row>136</xdr:row>
      <xdr:rowOff>33867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/>
      </xdr:nvCxnSpPr>
      <xdr:spPr>
        <a:xfrm>
          <a:off x="3495676" y="18328217"/>
          <a:ext cx="10583" cy="37560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2662768</xdr:colOff>
      <xdr:row>112</xdr:row>
      <xdr:rowOff>80434</xdr:rowOff>
    </xdr:from>
    <xdr:to>
      <xdr:col>2</xdr:col>
      <xdr:colOff>2673351</xdr:colOff>
      <xdr:row>135</xdr:row>
      <xdr:rowOff>112184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/>
      </xdr:nvCxnSpPr>
      <xdr:spPr>
        <a:xfrm>
          <a:off x="6234643" y="18244609"/>
          <a:ext cx="10583" cy="37560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306917</xdr:colOff>
      <xdr:row>112</xdr:row>
      <xdr:rowOff>137584</xdr:rowOff>
    </xdr:from>
    <xdr:to>
      <xdr:col>2</xdr:col>
      <xdr:colOff>317500</xdr:colOff>
      <xdr:row>136</xdr:row>
      <xdr:rowOff>10584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/>
      </xdr:nvCxnSpPr>
      <xdr:spPr>
        <a:xfrm>
          <a:off x="3878792" y="18301759"/>
          <a:ext cx="10583" cy="37592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364068</xdr:colOff>
      <xdr:row>112</xdr:row>
      <xdr:rowOff>141817</xdr:rowOff>
    </xdr:from>
    <xdr:to>
      <xdr:col>3</xdr:col>
      <xdr:colOff>374651</xdr:colOff>
      <xdr:row>136</xdr:row>
      <xdr:rowOff>14817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/>
      </xdr:nvCxnSpPr>
      <xdr:spPr>
        <a:xfrm>
          <a:off x="7164918" y="18305992"/>
          <a:ext cx="10583" cy="37592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207434</xdr:colOff>
      <xdr:row>112</xdr:row>
      <xdr:rowOff>80433</xdr:rowOff>
    </xdr:from>
    <xdr:to>
      <xdr:col>5</xdr:col>
      <xdr:colOff>218017</xdr:colOff>
      <xdr:row>135</xdr:row>
      <xdr:rowOff>112183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CxnSpPr/>
      </xdr:nvCxnSpPr>
      <xdr:spPr>
        <a:xfrm>
          <a:off x="8741834" y="18244608"/>
          <a:ext cx="10583" cy="37560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211666</xdr:colOff>
      <xdr:row>121</xdr:row>
      <xdr:rowOff>84667</xdr:rowOff>
    </xdr:from>
    <xdr:to>
      <xdr:col>5</xdr:col>
      <xdr:colOff>634999</xdr:colOff>
      <xdr:row>121</xdr:row>
      <xdr:rowOff>84667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/>
      </xdr:nvCxnSpPr>
      <xdr:spPr>
        <a:xfrm>
          <a:off x="2678641" y="19706167"/>
          <a:ext cx="6490758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469900</xdr:colOff>
      <xdr:row>119</xdr:row>
      <xdr:rowOff>131234</xdr:rowOff>
    </xdr:from>
    <xdr:to>
      <xdr:col>6</xdr:col>
      <xdr:colOff>152400</xdr:colOff>
      <xdr:row>119</xdr:row>
      <xdr:rowOff>131234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CxnSpPr/>
      </xdr:nvCxnSpPr>
      <xdr:spPr>
        <a:xfrm>
          <a:off x="2936875" y="19428884"/>
          <a:ext cx="649287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198966</xdr:colOff>
      <xdr:row>127</xdr:row>
      <xdr:rowOff>82551</xdr:rowOff>
    </xdr:from>
    <xdr:to>
      <xdr:col>5</xdr:col>
      <xdr:colOff>622299</xdr:colOff>
      <xdr:row>127</xdr:row>
      <xdr:rowOff>82551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CxnSpPr/>
      </xdr:nvCxnSpPr>
      <xdr:spPr>
        <a:xfrm>
          <a:off x="2665941" y="20675601"/>
          <a:ext cx="6490758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213783</xdr:colOff>
      <xdr:row>128</xdr:row>
      <xdr:rowOff>139700</xdr:rowOff>
    </xdr:from>
    <xdr:to>
      <xdr:col>5</xdr:col>
      <xdr:colOff>637116</xdr:colOff>
      <xdr:row>128</xdr:row>
      <xdr:rowOff>139700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/>
      </xdr:nvCxnSpPr>
      <xdr:spPr>
        <a:xfrm>
          <a:off x="2680758" y="20894675"/>
          <a:ext cx="6490758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148168</xdr:colOff>
      <xdr:row>108</xdr:row>
      <xdr:rowOff>20108</xdr:rowOff>
    </xdr:from>
    <xdr:to>
      <xdr:col>26</xdr:col>
      <xdr:colOff>539751</xdr:colOff>
      <xdr:row>125</xdr:row>
      <xdr:rowOff>64558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0</xdr:col>
      <xdr:colOff>1485900</xdr:colOff>
      <xdr:row>80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0"/>
          <a:ext cx="1485900" cy="66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571500</xdr:colOff>
      <xdr:row>124</xdr:row>
      <xdr:rowOff>85725</xdr:rowOff>
    </xdr:from>
    <xdr:to>
      <xdr:col>18</xdr:col>
      <xdr:colOff>657225</xdr:colOff>
      <xdr:row>145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8750" y="20488275"/>
          <a:ext cx="5553075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676275</xdr:colOff>
      <xdr:row>76</xdr:row>
      <xdr:rowOff>52387</xdr:rowOff>
    </xdr:from>
    <xdr:to>
      <xdr:col>19</xdr:col>
      <xdr:colOff>171450</xdr:colOff>
      <xdr:row>93</xdr:row>
      <xdr:rowOff>42862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333375</xdr:colOff>
      <xdr:row>125</xdr:row>
      <xdr:rowOff>133350</xdr:rowOff>
    </xdr:from>
    <xdr:to>
      <xdr:col>11</xdr:col>
      <xdr:colOff>371475</xdr:colOff>
      <xdr:row>142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</xdr:colOff>
      <xdr:row>180</xdr:row>
      <xdr:rowOff>0</xdr:rowOff>
    </xdr:from>
    <xdr:to>
      <xdr:col>2</xdr:col>
      <xdr:colOff>1190625</xdr:colOff>
      <xdr:row>199</xdr:row>
      <xdr:rowOff>65829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9718000"/>
          <a:ext cx="4930774" cy="3082079"/>
        </a:xfrm>
        <a:prstGeom prst="rect">
          <a:avLst/>
        </a:prstGeom>
      </xdr:spPr>
    </xdr:pic>
    <xdr:clientData/>
  </xdr:twoCellAnchor>
  <xdr:twoCellAnchor editAs="oneCell">
    <xdr:from>
      <xdr:col>8</xdr:col>
      <xdr:colOff>184474</xdr:colOff>
      <xdr:row>177</xdr:row>
      <xdr:rowOff>114300</xdr:rowOff>
    </xdr:from>
    <xdr:to>
      <xdr:col>12</xdr:col>
      <xdr:colOff>733425</xdr:colOff>
      <xdr:row>200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3174" y="29356050"/>
          <a:ext cx="3698551" cy="365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19050</xdr:colOff>
      <xdr:row>243</xdr:row>
      <xdr:rowOff>38099</xdr:rowOff>
    </xdr:from>
    <xdr:to>
      <xdr:col>7</xdr:col>
      <xdr:colOff>514349</xdr:colOff>
      <xdr:row>285</xdr:row>
      <xdr:rowOff>28574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pSpPr/>
      </xdr:nvGrpSpPr>
      <xdr:grpSpPr>
        <a:xfrm>
          <a:off x="19050" y="42529124"/>
          <a:ext cx="10639424" cy="7191375"/>
          <a:chOff x="0" y="46196249"/>
          <a:chExt cx="6791324" cy="6791325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700-00000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46196249"/>
            <a:ext cx="6791324" cy="67913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700-00000A000000}"/>
              </a:ext>
            </a:extLst>
          </xdr:cNvPr>
          <xdr:cNvCxnSpPr/>
        </xdr:nvCxnSpPr>
        <xdr:spPr>
          <a:xfrm>
            <a:off x="5924550" y="47415450"/>
            <a:ext cx="0" cy="498157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700-00000B000000}"/>
              </a:ext>
            </a:extLst>
          </xdr:cNvPr>
          <xdr:cNvCxnSpPr/>
        </xdr:nvCxnSpPr>
        <xdr:spPr>
          <a:xfrm>
            <a:off x="571500" y="51501675"/>
            <a:ext cx="5886450" cy="0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0</xdr:colOff>
      <xdr:row>120</xdr:row>
      <xdr:rowOff>0</xdr:rowOff>
    </xdr:from>
    <xdr:to>
      <xdr:col>2</xdr:col>
      <xdr:colOff>571500</xdr:colOff>
      <xdr:row>145</xdr:row>
      <xdr:rowOff>117446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767550"/>
          <a:ext cx="4311650" cy="4086196"/>
        </a:xfrm>
        <a:prstGeom prst="rect">
          <a:avLst/>
        </a:prstGeom>
      </xdr:spPr>
    </xdr:pic>
    <xdr:clientData/>
  </xdr:twoCellAnchor>
  <xdr:twoCellAnchor editAs="oneCell">
    <xdr:from>
      <xdr:col>19</xdr:col>
      <xdr:colOff>219075</xdr:colOff>
      <xdr:row>122</xdr:row>
      <xdr:rowOff>66676</xdr:rowOff>
    </xdr:from>
    <xdr:to>
      <xdr:col>24</xdr:col>
      <xdr:colOff>561305</xdr:colOff>
      <xdr:row>144</xdr:row>
      <xdr:rowOff>49680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24725" y="20151726"/>
          <a:ext cx="4247480" cy="3475504"/>
        </a:xfrm>
        <a:prstGeom prst="rect">
          <a:avLst/>
        </a:prstGeom>
      </xdr:spPr>
    </xdr:pic>
    <xdr:clientData/>
  </xdr:twoCellAnchor>
  <xdr:twoCellAnchor editAs="oneCell">
    <xdr:from>
      <xdr:col>0</xdr:col>
      <xdr:colOff>1514475</xdr:colOff>
      <xdr:row>73</xdr:row>
      <xdr:rowOff>9525</xdr:rowOff>
    </xdr:from>
    <xdr:to>
      <xdr:col>0</xdr:col>
      <xdr:colOff>2124075</xdr:colOff>
      <xdr:row>74</xdr:row>
      <xdr:rowOff>100013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241" t="17900" r="6417" b="42169"/>
        <a:stretch/>
      </xdr:blipFill>
      <xdr:spPr bwMode="auto">
        <a:xfrm>
          <a:off x="1514475" y="12296775"/>
          <a:ext cx="609600" cy="273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1266825</xdr:colOff>
      <xdr:row>219</xdr:row>
      <xdr:rowOff>14287</xdr:rowOff>
    </xdr:from>
    <xdr:to>
      <xdr:col>5</xdr:col>
      <xdr:colOff>628650</xdr:colOff>
      <xdr:row>236</xdr:row>
      <xdr:rowOff>4762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95249</xdr:colOff>
      <xdr:row>0</xdr:row>
      <xdr:rowOff>166686</xdr:rowOff>
    </xdr:from>
    <xdr:to>
      <xdr:col>22</xdr:col>
      <xdr:colOff>200024</xdr:colOff>
      <xdr:row>18</xdr:row>
      <xdr:rowOff>161924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8</xdr:col>
      <xdr:colOff>152400</xdr:colOff>
      <xdr:row>0</xdr:row>
      <xdr:rowOff>0</xdr:rowOff>
    </xdr:from>
    <xdr:to>
      <xdr:col>14</xdr:col>
      <xdr:colOff>351447</xdr:colOff>
      <xdr:row>11</xdr:row>
      <xdr:rowOff>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41100" y="0"/>
          <a:ext cx="4910747" cy="2087339"/>
        </a:xfrm>
        <a:prstGeom prst="rect">
          <a:avLst/>
        </a:prstGeom>
      </xdr:spPr>
    </xdr:pic>
    <xdr:clientData/>
  </xdr:twoCellAnchor>
  <xdr:twoCellAnchor editAs="oneCell">
    <xdr:from>
      <xdr:col>8</xdr:col>
      <xdr:colOff>552449</xdr:colOff>
      <xdr:row>11</xdr:row>
      <xdr:rowOff>165782</xdr:rowOff>
    </xdr:from>
    <xdr:to>
      <xdr:col>13</xdr:col>
      <xdr:colOff>285749</xdr:colOff>
      <xdr:row>20</xdr:row>
      <xdr:rowOff>126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41149" y="2191432"/>
          <a:ext cx="3663950" cy="147105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247</xdr:row>
      <xdr:rowOff>0</xdr:rowOff>
    </xdr:from>
    <xdr:to>
      <xdr:col>16</xdr:col>
      <xdr:colOff>323156</xdr:colOff>
      <xdr:row>279</xdr:row>
      <xdr:rowOff>66019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69750" y="40474900"/>
          <a:ext cx="5815906" cy="514601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247</xdr:row>
      <xdr:rowOff>0</xdr:rowOff>
    </xdr:from>
    <xdr:to>
      <xdr:col>24</xdr:col>
      <xdr:colOff>199350</xdr:colOff>
      <xdr:row>280</xdr:row>
      <xdr:rowOff>65999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43550" y="40474900"/>
          <a:ext cx="5666700" cy="5304749"/>
        </a:xfrm>
        <a:prstGeom prst="rect">
          <a:avLst/>
        </a:prstGeom>
      </xdr:spPr>
    </xdr:pic>
    <xdr:clientData/>
  </xdr:twoCellAnchor>
  <xdr:twoCellAnchor>
    <xdr:from>
      <xdr:col>22</xdr:col>
      <xdr:colOff>742949</xdr:colOff>
      <xdr:row>3</xdr:row>
      <xdr:rowOff>0</xdr:rowOff>
    </xdr:from>
    <xdr:to>
      <xdr:col>33</xdr:col>
      <xdr:colOff>161925</xdr:colOff>
      <xdr:row>26</xdr:row>
      <xdr:rowOff>123825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34</xdr:col>
      <xdr:colOff>0</xdr:colOff>
      <xdr:row>248</xdr:row>
      <xdr:rowOff>0</xdr:rowOff>
    </xdr:from>
    <xdr:to>
      <xdr:col>42</xdr:col>
      <xdr:colOff>399257</xdr:colOff>
      <xdr:row>285</xdr:row>
      <xdr:rowOff>84965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521400" y="40633650"/>
          <a:ext cx="6647657" cy="5958715"/>
        </a:xfrm>
        <a:prstGeom prst="rect">
          <a:avLst/>
        </a:prstGeom>
      </xdr:spPr>
    </xdr:pic>
    <xdr:clientData/>
  </xdr:twoCellAnchor>
  <xdr:twoCellAnchor editAs="oneCell">
    <xdr:from>
      <xdr:col>0</xdr:col>
      <xdr:colOff>1152525</xdr:colOff>
      <xdr:row>364</xdr:row>
      <xdr:rowOff>123825</xdr:rowOff>
    </xdr:from>
    <xdr:to>
      <xdr:col>4</xdr:col>
      <xdr:colOff>27779</xdr:colOff>
      <xdr:row>403</xdr:row>
      <xdr:rowOff>56369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2525" y="79936975"/>
          <a:ext cx="6730204" cy="612379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125</xdr:row>
      <xdr:rowOff>0</xdr:rowOff>
    </xdr:from>
    <xdr:to>
      <xdr:col>31</xdr:col>
      <xdr:colOff>304800</xdr:colOff>
      <xdr:row>147</xdr:row>
      <xdr:rowOff>9525</xdr:rowOff>
    </xdr:to>
    <xdr:pic>
      <xdr:nvPicPr>
        <xdr:cNvPr id="36" name="Picture 35" descr="uk1_small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91950" y="20561300"/>
          <a:ext cx="4991100" cy="350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0</xdr:colOff>
      <xdr:row>149</xdr:row>
      <xdr:rowOff>0</xdr:rowOff>
    </xdr:from>
    <xdr:to>
      <xdr:col>68</xdr:col>
      <xdr:colOff>495300</xdr:colOff>
      <xdr:row>169</xdr:row>
      <xdr:rowOff>9525</xdr:rowOff>
    </xdr:to>
    <xdr:pic>
      <xdr:nvPicPr>
        <xdr:cNvPr id="37" name="Picture 36" descr="uk1_small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12800" y="24384000"/>
          <a:ext cx="4984750" cy="359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95250</xdr:colOff>
      <xdr:row>252</xdr:row>
      <xdr:rowOff>114300</xdr:rowOff>
    </xdr:from>
    <xdr:to>
      <xdr:col>49</xdr:col>
      <xdr:colOff>637583</xdr:colOff>
      <xdr:row>280</xdr:row>
      <xdr:rowOff>8971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646100" y="41382950"/>
          <a:ext cx="4949233" cy="43396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142875</xdr:rowOff>
    </xdr:from>
    <xdr:to>
      <xdr:col>22</xdr:col>
      <xdr:colOff>589562</xdr:colOff>
      <xdr:row>18</xdr:row>
      <xdr:rowOff>75827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523875"/>
          <a:ext cx="7904762" cy="298095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314325</xdr:colOff>
      <xdr:row>2</xdr:row>
      <xdr:rowOff>180975</xdr:rowOff>
    </xdr:from>
    <xdr:to>
      <xdr:col>22</xdr:col>
      <xdr:colOff>69589</xdr:colOff>
      <xdr:row>29</xdr:row>
      <xdr:rowOff>148254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0825" y="561975"/>
          <a:ext cx="4632064" cy="5110779"/>
        </a:xfrm>
        <a:prstGeom prst="rect">
          <a:avLst/>
        </a:prstGeom>
      </xdr:spPr>
    </xdr:pic>
    <xdr:clientData/>
  </xdr:twoCellAnchor>
  <xdr:twoCellAnchor editAs="oneCell">
    <xdr:from>
      <xdr:col>5</xdr:col>
      <xdr:colOff>556279</xdr:colOff>
      <xdr:row>2</xdr:row>
      <xdr:rowOff>180975</xdr:rowOff>
    </xdr:from>
    <xdr:to>
      <xdr:col>14</xdr:col>
      <xdr:colOff>199199</xdr:colOff>
      <xdr:row>30</xdr:row>
      <xdr:rowOff>161069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6379" y="561975"/>
          <a:ext cx="5129320" cy="53140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452437</xdr:colOff>
      <xdr:row>4</xdr:row>
      <xdr:rowOff>154781</xdr:rowOff>
    </xdr:from>
    <xdr:to>
      <xdr:col>20</xdr:col>
      <xdr:colOff>77793</xdr:colOff>
      <xdr:row>33</xdr:row>
      <xdr:rowOff>20757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0750" y="916781"/>
          <a:ext cx="6304762" cy="53904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66675</xdr:colOff>
      <xdr:row>9</xdr:row>
      <xdr:rowOff>85725</xdr:rowOff>
    </xdr:from>
    <xdr:to>
      <xdr:col>12</xdr:col>
      <xdr:colOff>361304</xdr:colOff>
      <xdr:row>29</xdr:row>
      <xdr:rowOff>28106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050" y="1800225"/>
          <a:ext cx="5171429" cy="37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0</xdr:row>
      <xdr:rowOff>76200</xdr:rowOff>
    </xdr:from>
    <xdr:to>
      <xdr:col>12</xdr:col>
      <xdr:colOff>456540</xdr:colOff>
      <xdr:row>9</xdr:row>
      <xdr:rowOff>9319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24525" y="76200"/>
          <a:ext cx="5276190" cy="16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30</xdr:row>
      <xdr:rowOff>19050</xdr:rowOff>
    </xdr:from>
    <xdr:to>
      <xdr:col>12</xdr:col>
      <xdr:colOff>99465</xdr:colOff>
      <xdr:row>37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3100" y="5734050"/>
          <a:ext cx="4890540" cy="13811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539863</xdr:colOff>
      <xdr:row>35</xdr:row>
      <xdr:rowOff>65709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07063" cy="67332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59531</xdr:colOff>
      <xdr:row>34</xdr:row>
      <xdr:rowOff>95250</xdr:rowOff>
    </xdr:from>
    <xdr:to>
      <xdr:col>16</xdr:col>
      <xdr:colOff>142874</xdr:colOff>
      <xdr:row>74</xdr:row>
      <xdr:rowOff>14077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31" y="6572250"/>
          <a:ext cx="9798843" cy="753882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47623</xdr:colOff>
      <xdr:row>1</xdr:row>
      <xdr:rowOff>136858</xdr:rowOff>
    </xdr:from>
    <xdr:to>
      <xdr:col>16</xdr:col>
      <xdr:colOff>117364</xdr:colOff>
      <xdr:row>33</xdr:row>
      <xdr:rowOff>118008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3" y="327358"/>
          <a:ext cx="9785241" cy="6077150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476250</xdr:colOff>
      <xdr:row>2</xdr:row>
      <xdr:rowOff>2</xdr:rowOff>
    </xdr:from>
    <xdr:to>
      <xdr:col>32</xdr:col>
      <xdr:colOff>574848</xdr:colOff>
      <xdr:row>34</xdr:row>
      <xdr:rowOff>157598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1750" y="381002"/>
          <a:ext cx="9814098" cy="6253596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36</xdr:row>
      <xdr:rowOff>1</xdr:rowOff>
    </xdr:from>
    <xdr:to>
      <xdr:col>32</xdr:col>
      <xdr:colOff>393186</xdr:colOff>
      <xdr:row>72</xdr:row>
      <xdr:rowOff>107157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22720" y="6858001"/>
          <a:ext cx="9501466" cy="69651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20</xdr:col>
      <xdr:colOff>84196</xdr:colOff>
      <xdr:row>119</xdr:row>
      <xdr:rowOff>27548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78000"/>
          <a:ext cx="12228571" cy="821904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313448</xdr:colOff>
      <xdr:row>16</xdr:row>
      <xdr:rowOff>171095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7019048" cy="283809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364331</xdr:colOff>
      <xdr:row>2</xdr:row>
      <xdr:rowOff>126207</xdr:rowOff>
    </xdr:from>
    <xdr:to>
      <xdr:col>28</xdr:col>
      <xdr:colOff>437302</xdr:colOff>
      <xdr:row>12</xdr:row>
      <xdr:rowOff>78350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53925" y="507207"/>
          <a:ext cx="6752377" cy="18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2</xdr:row>
      <xdr:rowOff>2381</xdr:rowOff>
    </xdr:from>
    <xdr:to>
      <xdr:col>16</xdr:col>
      <xdr:colOff>561045</xdr:colOff>
      <xdr:row>23</xdr:row>
      <xdr:rowOff>135214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33900" y="383381"/>
          <a:ext cx="7409520" cy="41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602456</xdr:colOff>
      <xdr:row>23</xdr:row>
      <xdr:rowOff>180975</xdr:rowOff>
    </xdr:from>
    <xdr:to>
      <xdr:col>23</xdr:col>
      <xdr:colOff>536723</xdr:colOff>
      <xdr:row>45</xdr:row>
      <xdr:rowOff>66165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98206" y="4562475"/>
          <a:ext cx="11471423" cy="407619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571500</xdr:colOff>
      <xdr:row>2</xdr:row>
      <xdr:rowOff>95250</xdr:rowOff>
    </xdr:from>
    <xdr:to>
      <xdr:col>13</xdr:col>
      <xdr:colOff>523271</xdr:colOff>
      <xdr:row>19</xdr:row>
      <xdr:rowOff>132940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0" y="476250"/>
          <a:ext cx="4828571" cy="327619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438150</xdr:colOff>
      <xdr:row>18</xdr:row>
      <xdr:rowOff>19051</xdr:rowOff>
    </xdr:from>
    <xdr:to>
      <xdr:col>17</xdr:col>
      <xdr:colOff>408564</xdr:colOff>
      <xdr:row>31</xdr:row>
      <xdr:rowOff>116911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2425" y="3448051"/>
          <a:ext cx="6676014" cy="2574360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409575</xdr:colOff>
      <xdr:row>31</xdr:row>
      <xdr:rowOff>142483</xdr:rowOff>
    </xdr:from>
    <xdr:to>
      <xdr:col>18</xdr:col>
      <xdr:colOff>437022</xdr:colOff>
      <xdr:row>45</xdr:row>
      <xdr:rowOff>18659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43850" y="6047983"/>
          <a:ext cx="7342647" cy="2543176"/>
        </a:xfrm>
        <a:prstGeom prst="rect">
          <a:avLst/>
        </a:prstGeom>
      </xdr:spPr>
    </xdr:pic>
    <xdr:clientData/>
  </xdr:twoCellAnchor>
  <xdr:twoCellAnchor editAs="oneCell">
    <xdr:from>
      <xdr:col>6</xdr:col>
      <xdr:colOff>561976</xdr:colOff>
      <xdr:row>2</xdr:row>
      <xdr:rowOff>38100</xdr:rowOff>
    </xdr:from>
    <xdr:to>
      <xdr:col>18</xdr:col>
      <xdr:colOff>47625</xdr:colOff>
      <xdr:row>17</xdr:row>
      <xdr:rowOff>94227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1" y="419100"/>
          <a:ext cx="6800849" cy="2913627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28576</xdr:colOff>
      <xdr:row>28</xdr:row>
      <xdr:rowOff>104775</xdr:rowOff>
    </xdr:from>
    <xdr:to>
      <xdr:col>28</xdr:col>
      <xdr:colOff>432061</xdr:colOff>
      <xdr:row>45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30741"/>
        <a:stretch/>
      </xdr:blipFill>
      <xdr:spPr>
        <a:xfrm>
          <a:off x="15487651" y="5438775"/>
          <a:ext cx="5889885" cy="3267075"/>
        </a:xfrm>
        <a:prstGeom prst="rect">
          <a:avLst/>
        </a:prstGeom>
      </xdr:spPr>
    </xdr:pic>
    <xdr:clientData/>
  </xdr:twoCellAnchor>
  <xdr:twoCellAnchor editAs="oneCell">
    <xdr:from>
      <xdr:col>23</xdr:col>
      <xdr:colOff>495300</xdr:colOff>
      <xdr:row>20</xdr:row>
      <xdr:rowOff>171450</xdr:rowOff>
    </xdr:from>
    <xdr:to>
      <xdr:col>30</xdr:col>
      <xdr:colOff>323338</xdr:colOff>
      <xdr:row>27</xdr:row>
      <xdr:rowOff>171283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92775" y="3981450"/>
          <a:ext cx="4095238" cy="1333333"/>
        </a:xfrm>
        <a:prstGeom prst="rect">
          <a:avLst/>
        </a:prstGeom>
      </xdr:spPr>
    </xdr:pic>
    <xdr:clientData/>
  </xdr:twoCellAnchor>
  <xdr:twoCellAnchor editAs="oneCell">
    <xdr:from>
      <xdr:col>17</xdr:col>
      <xdr:colOff>266699</xdr:colOff>
      <xdr:row>20</xdr:row>
      <xdr:rowOff>47626</xdr:rowOff>
    </xdr:from>
    <xdr:to>
      <xdr:col>23</xdr:col>
      <xdr:colOff>590550</xdr:colOff>
      <xdr:row>28</xdr:row>
      <xdr:rowOff>79924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06574" y="3857626"/>
          <a:ext cx="3981451" cy="155629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600075</xdr:colOff>
      <xdr:row>1</xdr:row>
      <xdr:rowOff>38100</xdr:rowOff>
    </xdr:from>
    <xdr:to>
      <xdr:col>12</xdr:col>
      <xdr:colOff>332646</xdr:colOff>
      <xdr:row>13</xdr:row>
      <xdr:rowOff>180671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0" y="228600"/>
          <a:ext cx="5828571" cy="2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15</xdr:row>
      <xdr:rowOff>142875</xdr:rowOff>
    </xdr:from>
    <xdr:to>
      <xdr:col>13</xdr:col>
      <xdr:colOff>123029</xdr:colOff>
      <xdr:row>44</xdr:row>
      <xdr:rowOff>75518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38625" y="3009900"/>
          <a:ext cx="6371429" cy="54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23</xdr:col>
      <xdr:colOff>104076</xdr:colOff>
      <xdr:row>14</xdr:row>
      <xdr:rowOff>28262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96625" y="190500"/>
          <a:ext cx="5590476" cy="25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25</xdr:col>
      <xdr:colOff>303924</xdr:colOff>
      <xdr:row>27</xdr:row>
      <xdr:rowOff>28286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96625" y="2867025"/>
          <a:ext cx="7009524" cy="231428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10584</xdr:rowOff>
    </xdr:from>
    <xdr:to>
      <xdr:col>10</xdr:col>
      <xdr:colOff>603249</xdr:colOff>
      <xdr:row>49</xdr:row>
      <xdr:rowOff>10584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</xdr:row>
      <xdr:rowOff>1</xdr:rowOff>
    </xdr:from>
    <xdr:to>
      <xdr:col>11</xdr:col>
      <xdr:colOff>10583</xdr:colOff>
      <xdr:row>25</xdr:row>
      <xdr:rowOff>10585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3175</xdr:colOff>
      <xdr:row>2</xdr:row>
      <xdr:rowOff>1</xdr:rowOff>
    </xdr:from>
    <xdr:to>
      <xdr:col>43</xdr:col>
      <xdr:colOff>582083</xdr:colOff>
      <xdr:row>25</xdr:row>
      <xdr:rowOff>21167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25</xdr:row>
      <xdr:rowOff>176893</xdr:rowOff>
    </xdr:from>
    <xdr:to>
      <xdr:col>43</xdr:col>
      <xdr:colOff>529167</xdr:colOff>
      <xdr:row>49</xdr:row>
      <xdr:rowOff>42334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28724</xdr:colOff>
      <xdr:row>2</xdr:row>
      <xdr:rowOff>21168</xdr:rowOff>
    </xdr:from>
    <xdr:to>
      <xdr:col>21</xdr:col>
      <xdr:colOff>606120</xdr:colOff>
      <xdr:row>25</xdr:row>
      <xdr:rowOff>42334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13607</xdr:colOff>
      <xdr:row>26</xdr:row>
      <xdr:rowOff>0</xdr:rowOff>
    </xdr:from>
    <xdr:to>
      <xdr:col>21</xdr:col>
      <xdr:colOff>607634</xdr:colOff>
      <xdr:row>49</xdr:row>
      <xdr:rowOff>21166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virago.internal.dtlr.gov.uk/data/2005Publications/RoRo%20Q2_2005/Bulletin205draf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dor/Downloads/Energ&#237;a%20inputs%20v3.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virago.internal.dtlr.gov.uk/data/Publications%20&amp;%20DataProvision/SR2/Annual%20Bulletin%20working%20version/work/Sect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kh-shs/Downloads/Energ&#237;a%20inputs%20v6.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irago.internal.dtlr.gov.uk/data/TSGB1998/SECTION1/1-13-98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kh-shs/Downloads/Energ&#237;a%20inputs%20v6.2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kh-shs/Downloads/Energ&#237;a%20inputs%20v4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virago.internal.dtlr.gov.uk/data/IRHS/EXCEL/RORO/bulletins/2003/SA%20Changes/SA%20Changes%20to%20bulletin%20-%20draf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GNR/Reports/31x_32x_33(globaux%202010)/index_31x_32x_3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1a"/>
      <sheetName val="TABLE5"/>
      <sheetName val="TABLE4A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Buidings"/>
      <sheetName val="Greenhouses"/>
      <sheetName val="Transport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</sheetNames>
    <sheetDataSet>
      <sheetData sheetId="0" refreshError="1"/>
      <sheetData sheetId="1" refreshError="1">
        <row r="2">
          <cell r="F2">
            <v>1.055056</v>
          </cell>
        </row>
        <row r="9">
          <cell r="L9">
            <v>0.79960317460317454</v>
          </cell>
          <cell r="N9">
            <v>40.299999999999997</v>
          </cell>
        </row>
        <row r="10">
          <cell r="N10">
            <v>36.840910000000001</v>
          </cell>
        </row>
        <row r="11">
          <cell r="M11">
            <v>22.4</v>
          </cell>
        </row>
        <row r="15">
          <cell r="F15">
            <v>3.5999999997119998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ear"/>
      <sheetName val="c11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Not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GH-buildings"/>
      <sheetName val="Transport"/>
      <sheetName val="Feed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  <sheetName val="Template"/>
    </sheetNames>
    <sheetDataSet>
      <sheetData sheetId="0"/>
      <sheetData sheetId="1">
        <row r="5">
          <cell r="W5">
            <v>70.142337662337667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S-INDEX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Not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GH-buildings"/>
      <sheetName val="Transport"/>
      <sheetName val="Feed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  <sheetName val="Template"/>
    </sheetNames>
    <sheetDataSet>
      <sheetData sheetId="0" refreshError="1"/>
      <sheetData sheetId="1">
        <row r="3">
          <cell r="M3">
            <v>46.2</v>
          </cell>
        </row>
        <row r="4">
          <cell r="M4">
            <v>47.1</v>
          </cell>
        </row>
        <row r="5">
          <cell r="M5">
            <v>45.7</v>
          </cell>
        </row>
        <row r="9">
          <cell r="M9">
            <v>50.4</v>
          </cell>
        </row>
      </sheetData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Buidings"/>
      <sheetName val="Greenhouses"/>
      <sheetName val="Transport"/>
      <sheetName val="Feed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</sheetNames>
    <sheetDataSet>
      <sheetData sheetId="0"/>
      <sheetData sheetId="1">
        <row r="5">
          <cell r="N5">
            <v>38.566230000000004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1a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_me"/>
      <sheetName val="Index"/>
      <sheetName val="33"/>
      <sheetName val="Graph 33"/>
      <sheetName val="Configuration"/>
      <sheetName val="MD"/>
      <sheetName val="Configurations save"/>
    </sheetNames>
    <sheetDataSet>
      <sheetData sheetId="0"/>
      <sheetData sheetId="1"/>
      <sheetData sheetId="2"/>
      <sheetData sheetId="3"/>
      <sheetData sheetId="4"/>
      <sheetData sheetId="5">
        <row r="2">
          <cell r="D2" t="str">
            <v>All GNR Participants</v>
          </cell>
        </row>
        <row r="3">
          <cell r="D3" t="str">
            <v>AALBORG PORTLAND</v>
          </cell>
        </row>
        <row r="4">
          <cell r="D4" t="str">
            <v>ASH GROVE CEMENT</v>
          </cell>
        </row>
        <row r="5">
          <cell r="D5" t="str">
            <v>BIO BIO</v>
          </cell>
        </row>
        <row r="6">
          <cell r="D6" t="str">
            <v>BUZZI UNICEM</v>
          </cell>
        </row>
        <row r="7">
          <cell r="D7" t="str">
            <v>CALME</v>
          </cell>
        </row>
        <row r="8">
          <cell r="D8" t="str">
            <v>CEMENT HRANICE</v>
          </cell>
        </row>
        <row r="9">
          <cell r="D9" t="str">
            <v>CEMENTERIA DI MONSELICE</v>
          </cell>
        </row>
        <row r="10">
          <cell r="D10" t="str">
            <v>CEMENTI DELLA LUCANIA</v>
          </cell>
        </row>
        <row r="11">
          <cell r="D11" t="str">
            <v>CEMENTI MOCCIA</v>
          </cell>
        </row>
        <row r="12">
          <cell r="D12" t="str">
            <v>CEMENTIR</v>
          </cell>
        </row>
        <row r="13">
          <cell r="D13" t="str">
            <v>CEMENTIROSSI</v>
          </cell>
        </row>
        <row r="14">
          <cell r="D14" t="str">
            <v>CEMENTIZILLO</v>
          </cell>
        </row>
        <row r="15">
          <cell r="D15" t="str">
            <v>CEMENTOS DEL NORTE</v>
          </cell>
        </row>
        <row r="16">
          <cell r="D16" t="str">
            <v>CEMENTOS MOLINS</v>
          </cell>
        </row>
        <row r="17">
          <cell r="D17" t="str">
            <v>CEMENTOS PROGRESO</v>
          </cell>
        </row>
        <row r="18">
          <cell r="D18" t="str">
            <v>CEMENTOWNIA ODRA</v>
          </cell>
        </row>
        <row r="19">
          <cell r="D19" t="str">
            <v>CEMENTOWNIA WARTA</v>
          </cell>
        </row>
        <row r="20">
          <cell r="D20" t="str">
            <v>CEMEX</v>
          </cell>
        </row>
        <row r="21">
          <cell r="D21" t="str">
            <v>CHIMBORAZO</v>
          </cell>
        </row>
        <row r="22">
          <cell r="D22" t="str">
            <v>CIMALUX</v>
          </cell>
        </row>
        <row r="23">
          <cell r="D23" t="str">
            <v>CIMENTOS LIZ</v>
          </cell>
        </row>
        <row r="24">
          <cell r="D24" t="str">
            <v>CIMPOR</v>
          </cell>
        </row>
        <row r="25">
          <cell r="D25" t="str">
            <v>COLACEM</v>
          </cell>
        </row>
        <row r="26">
          <cell r="D26" t="str">
            <v>COMODORO RIVADAVIA</v>
          </cell>
        </row>
        <row r="27">
          <cell r="D27" t="str">
            <v>CRH</v>
          </cell>
        </row>
        <row r="28">
          <cell r="D28" t="str">
            <v>DYCKERHOFF POLSKA</v>
          </cell>
        </row>
        <row r="29">
          <cell r="D29" t="str">
            <v>GMUNDNER</v>
          </cell>
        </row>
        <row r="30">
          <cell r="D30" t="str">
            <v>GUAPAN</v>
          </cell>
        </row>
        <row r="31">
          <cell r="D31" t="str">
            <v>HEIDELBERG CEMENT</v>
          </cell>
        </row>
        <row r="32">
          <cell r="D32" t="str">
            <v>HOLCIM</v>
          </cell>
        </row>
        <row r="33">
          <cell r="D33" t="str">
            <v>INTERCEMENT</v>
          </cell>
        </row>
        <row r="34">
          <cell r="D34" t="str">
            <v>ITALCEMENTI</v>
          </cell>
        </row>
        <row r="35">
          <cell r="D35" t="str">
            <v>KIRCHDORFER</v>
          </cell>
        </row>
        <row r="36">
          <cell r="D36" t="str">
            <v>LAFARGE</v>
          </cell>
        </row>
        <row r="37">
          <cell r="D37" t="str">
            <v>LEUBE</v>
          </cell>
        </row>
        <row r="38">
          <cell r="D38" t="str">
            <v>MELON</v>
          </cell>
        </row>
        <row r="39">
          <cell r="D39" t="str">
            <v>OFICEMEN</v>
          </cell>
        </row>
        <row r="40">
          <cell r="D40" t="str">
            <v>PORTLAND VALDERRIVAS</v>
          </cell>
        </row>
        <row r="41">
          <cell r="D41" t="str">
            <v>QUINN GROUP</v>
          </cell>
        </row>
        <row r="42">
          <cell r="D42" t="str">
            <v>SACCI</v>
          </cell>
        </row>
        <row r="43">
          <cell r="D43" t="str">
            <v>SCG CEMENT</v>
          </cell>
        </row>
        <row r="44">
          <cell r="D44" t="str">
            <v>SCHRETTER</v>
          </cell>
        </row>
        <row r="45">
          <cell r="D45" t="str">
            <v>SECIL</v>
          </cell>
        </row>
        <row r="46">
          <cell r="D46" t="str">
            <v>SHREE CEMENT</v>
          </cell>
        </row>
        <row r="47">
          <cell r="D47" t="str">
            <v>TAIHEIYO</v>
          </cell>
        </row>
        <row r="48">
          <cell r="D48" t="str">
            <v>TARMAC</v>
          </cell>
        </row>
        <row r="49">
          <cell r="D49" t="str">
            <v>TITAN</v>
          </cell>
        </row>
        <row r="50">
          <cell r="D50" t="str">
            <v>ULTRATECH CEMENT</v>
          </cell>
        </row>
        <row r="51">
          <cell r="D51" t="str">
            <v>VDZ</v>
          </cell>
        </row>
        <row r="52">
          <cell r="D52" t="str">
            <v>VICAT FRANCE</v>
          </cell>
        </row>
        <row r="53">
          <cell r="D53" t="str">
            <v>VICAT SWITZERLAND</v>
          </cell>
        </row>
        <row r="54">
          <cell r="D54" t="str">
            <v>VOTORANTIM</v>
          </cell>
        </row>
        <row r="55">
          <cell r="D55" t="str">
            <v>WOPFINGER</v>
          </cell>
        </row>
        <row r="56">
          <cell r="D56" t="str">
            <v>WUP</v>
          </cell>
        </row>
        <row r="57">
          <cell r="D57" t="str">
            <v>YATAI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worldsteel.org/en/dam/jcr:2306a7a7-331c-491a-99a6-a093fb6ca96a/Position_paper_climate_2020_vfinal.pdf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osti.gov/biblio/5915160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ideas.repec.org/p/ess/wpaper/id11333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energy.gov/eere/amo/downloads/bandwidth-study-us-iron-and-steel-manufacturing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hyperlink" Target="https://www.energy.gov/sites/prod/files/2013/11/f4/theoretical_minimum_energies.pdf" TargetMode="External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undp.org/content/undp/en/home/librarypage/environment-energy/sustainable_energy/world_energy_assessmentenergyandthechallengeofsustainability.html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hyperlink" Target="https://www.osti.gov/biblio/10182246" TargetMode="External"/><Relationship Id="rId4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://www.issb.co.uk/news/news/uk.html" TargetMode="External"/><Relationship Id="rId1" Type="http://schemas.openxmlformats.org/officeDocument/2006/relationships/hyperlink" Target="http://www.nass.org.uk/publications/" TargetMode="External"/><Relationship Id="rId4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iiasa.ac.at/web/home/research/Flagship-Projects/Global-Energy-Assessment/Global_Energy_Assessment_FullReport.pdf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0.xml"/><Relationship Id="rId1" Type="http://schemas.openxmlformats.org/officeDocument/2006/relationships/hyperlink" Target="https://documents.worldbank.org/en/publication/documents-reports/documentdetail/573971468107682519/energy-efficiency-in-russia-untapped-reserves" TargetMode="External"/><Relationship Id="rId4" Type="http://schemas.openxmlformats.org/officeDocument/2006/relationships/comments" Target="../comments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google.co.uk/books/edition/Energy_Expenditures_Associated_with_the/LPTgx-mhGPoC?hl=en&amp;gbpv=1&amp;dq=alumina+bayer+energy+intensity&amp;pg=PA1&amp;printsec=frontcover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beeindia.gov.in/sites/default/files/Iron%20and%20Steel.pdf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s://www.sciencedirect.com/science/article/pii/S0921344918300557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www.annualreviews.org/doi/pdf/10.1146/annurev.energy.23.1.123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www.sciencedirect.com/science/article/pii/S2666278720300167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exergy-calculator.herokuapp.com/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en.wikipedia.org/wiki/Energy_density" TargetMode="External"/><Relationship Id="rId4" Type="http://schemas.openxmlformats.org/officeDocument/2006/relationships/comments" Target="../comments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13B9-DB59-41B7-8FD7-214CDFFBB37E}">
  <dimension ref="A1:A49"/>
  <sheetViews>
    <sheetView tabSelected="1" topLeftCell="A18" workbookViewId="0">
      <selection activeCell="L27" sqref="L27"/>
    </sheetView>
  </sheetViews>
  <sheetFormatPr defaultColWidth="9.109375" defaultRowHeight="14.4"/>
  <cols>
    <col min="1" max="16384" width="9.109375" style="152"/>
  </cols>
  <sheetData>
    <row r="1" spans="1:1">
      <c r="A1" s="157" t="s">
        <v>382</v>
      </c>
    </row>
    <row r="2" spans="1:1">
      <c r="A2" s="154" t="s">
        <v>383</v>
      </c>
    </row>
    <row r="3" spans="1:1">
      <c r="A3" s="154" t="s">
        <v>384</v>
      </c>
    </row>
    <row r="4" spans="1:1">
      <c r="A4" s="154" t="s">
        <v>385</v>
      </c>
    </row>
    <row r="5" spans="1:1">
      <c r="A5" s="154" t="s">
        <v>386</v>
      </c>
    </row>
    <row r="6" spans="1:1">
      <c r="A6" s="154" t="s">
        <v>387</v>
      </c>
    </row>
    <row r="7" spans="1:1">
      <c r="A7" s="155"/>
    </row>
    <row r="8" spans="1:1">
      <c r="A8" s="154" t="s">
        <v>388</v>
      </c>
    </row>
    <row r="9" spans="1:1">
      <c r="A9" s="154" t="s">
        <v>389</v>
      </c>
    </row>
    <row r="10" spans="1:1">
      <c r="A10" s="154" t="s">
        <v>390</v>
      </c>
    </row>
    <row r="11" spans="1:1">
      <c r="A11" s="154" t="s">
        <v>391</v>
      </c>
    </row>
    <row r="12" spans="1:1">
      <c r="A12" s="154" t="s">
        <v>392</v>
      </c>
    </row>
    <row r="13" spans="1:1">
      <c r="A13" s="154" t="s">
        <v>393</v>
      </c>
    </row>
    <row r="14" spans="1:1">
      <c r="A14" s="154" t="s">
        <v>387</v>
      </c>
    </row>
    <row r="15" spans="1:1">
      <c r="A15" s="155"/>
    </row>
    <row r="16" spans="1:1">
      <c r="A16" s="155" t="s">
        <v>395</v>
      </c>
    </row>
    <row r="17" spans="1:1">
      <c r="A17" s="155" t="s">
        <v>396</v>
      </c>
    </row>
    <row r="18" spans="1:1">
      <c r="A18" s="155" t="s">
        <v>397</v>
      </c>
    </row>
    <row r="19" spans="1:1">
      <c r="A19" s="155" t="s">
        <v>398</v>
      </c>
    </row>
    <row r="20" spans="1:1">
      <c r="A20" s="155" t="s">
        <v>399</v>
      </c>
    </row>
    <row r="21" spans="1:1">
      <c r="A21" s="155" t="s">
        <v>400</v>
      </c>
    </row>
    <row r="22" spans="1:1">
      <c r="A22" s="155" t="s">
        <v>401</v>
      </c>
    </row>
    <row r="23" spans="1:1">
      <c r="A23" s="155" t="s">
        <v>387</v>
      </c>
    </row>
    <row r="24" spans="1:1">
      <c r="A24" s="155"/>
    </row>
    <row r="25" spans="1:1">
      <c r="A25" s="156" t="s">
        <v>406</v>
      </c>
    </row>
    <row r="26" spans="1:1">
      <c r="A26" s="155" t="s">
        <v>407</v>
      </c>
    </row>
    <row r="27" spans="1:1">
      <c r="A27" s="155" t="s">
        <v>408</v>
      </c>
    </row>
    <row r="28" spans="1:1">
      <c r="A28" s="155" t="s">
        <v>409</v>
      </c>
    </row>
    <row r="29" spans="1:1">
      <c r="A29" s="155" t="s">
        <v>410</v>
      </c>
    </row>
    <row r="30" spans="1:1">
      <c r="A30" s="155" t="s">
        <v>387</v>
      </c>
    </row>
    <row r="31" spans="1:1">
      <c r="A31" s="155"/>
    </row>
    <row r="32" spans="1:1">
      <c r="A32" s="156" t="s">
        <v>416</v>
      </c>
    </row>
    <row r="33" spans="1:1">
      <c r="A33" s="155" t="s">
        <v>411</v>
      </c>
    </row>
    <row r="34" spans="1:1">
      <c r="A34" s="155" t="s">
        <v>412</v>
      </c>
    </row>
    <row r="35" spans="1:1">
      <c r="A35" s="155" t="s">
        <v>413</v>
      </c>
    </row>
    <row r="36" spans="1:1">
      <c r="A36" s="155" t="s">
        <v>414</v>
      </c>
    </row>
    <row r="37" spans="1:1">
      <c r="A37" s="155" t="s">
        <v>409</v>
      </c>
    </row>
    <row r="38" spans="1:1">
      <c r="A38" s="155" t="s">
        <v>415</v>
      </c>
    </row>
    <row r="39" spans="1:1">
      <c r="A39" s="155" t="s">
        <v>387</v>
      </c>
    </row>
    <row r="41" spans="1:1">
      <c r="A41" s="161" t="s">
        <v>417</v>
      </c>
    </row>
    <row r="42" spans="1:1">
      <c r="A42" s="161" t="s">
        <v>418</v>
      </c>
    </row>
    <row r="43" spans="1:1">
      <c r="A43" s="161" t="s">
        <v>419</v>
      </c>
    </row>
    <row r="44" spans="1:1">
      <c r="A44" s="161" t="s">
        <v>420</v>
      </c>
    </row>
    <row r="45" spans="1:1">
      <c r="A45" s="161" t="s">
        <v>421</v>
      </c>
    </row>
    <row r="46" spans="1:1">
      <c r="A46" s="161" t="s">
        <v>414</v>
      </c>
    </row>
    <row r="47" spans="1:1">
      <c r="A47" s="161" t="s">
        <v>422</v>
      </c>
    </row>
    <row r="48" spans="1:1">
      <c r="A48" s="161" t="s">
        <v>423</v>
      </c>
    </row>
    <row r="49" spans="1:1">
      <c r="A49" s="161" t="s">
        <v>387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17"/>
  <sheetViews>
    <sheetView zoomScale="80" zoomScaleNormal="80" workbookViewId="0">
      <selection sqref="A1:XFD1"/>
    </sheetView>
  </sheetViews>
  <sheetFormatPr defaultColWidth="9.109375" defaultRowHeight="14.4"/>
  <cols>
    <col min="1" max="1" width="12.109375" style="3" customWidth="1"/>
    <col min="2" max="2" width="11.6640625" style="3" bestFit="1" customWidth="1"/>
    <col min="3" max="3" width="10.109375" style="3" bestFit="1" customWidth="1"/>
    <col min="4" max="4" width="8.109375" style="3" bestFit="1" customWidth="1"/>
    <col min="5" max="5" width="22.6640625" style="3" bestFit="1" customWidth="1"/>
    <col min="6" max="6" width="15.44140625" style="3" customWidth="1"/>
    <col min="7" max="7" width="8.88671875" style="3" bestFit="1" customWidth="1"/>
    <col min="8" max="16384" width="9.109375" style="3"/>
  </cols>
  <sheetData>
    <row r="1" spans="1:68" s="63" customFormat="1">
      <c r="A1" s="63" t="s">
        <v>25</v>
      </c>
      <c r="B1" s="63" t="s">
        <v>162</v>
      </c>
      <c r="C1" s="63" t="s">
        <v>163</v>
      </c>
      <c r="D1" s="63" t="s">
        <v>164</v>
      </c>
      <c r="E1" s="63" t="s">
        <v>26</v>
      </c>
      <c r="F1" s="63" t="s">
        <v>27</v>
      </c>
      <c r="G1" s="63" t="s">
        <v>161</v>
      </c>
      <c r="H1" s="63">
        <v>1960</v>
      </c>
      <c r="I1" s="63">
        <v>1961</v>
      </c>
      <c r="J1" s="63">
        <v>1962</v>
      </c>
      <c r="K1" s="63">
        <v>1963</v>
      </c>
      <c r="L1" s="63">
        <v>1964</v>
      </c>
      <c r="M1" s="63">
        <v>1965</v>
      </c>
      <c r="N1" s="63">
        <v>1966</v>
      </c>
      <c r="O1" s="63">
        <v>1967</v>
      </c>
      <c r="P1" s="63">
        <v>1968</v>
      </c>
      <c r="Q1" s="63">
        <v>1969</v>
      </c>
      <c r="R1" s="63">
        <v>1970</v>
      </c>
      <c r="S1" s="63">
        <v>1971</v>
      </c>
      <c r="T1" s="63">
        <v>1972</v>
      </c>
      <c r="U1" s="63">
        <v>1973</v>
      </c>
      <c r="V1" s="63">
        <v>1974</v>
      </c>
      <c r="W1" s="63">
        <v>1975</v>
      </c>
      <c r="X1" s="63">
        <v>1976</v>
      </c>
      <c r="Y1" s="63">
        <v>1977</v>
      </c>
      <c r="Z1" s="63">
        <v>1978</v>
      </c>
      <c r="AA1" s="63">
        <v>1979</v>
      </c>
      <c r="AB1" s="63">
        <v>1980</v>
      </c>
      <c r="AC1" s="63">
        <v>1981</v>
      </c>
      <c r="AD1" s="63">
        <v>1982</v>
      </c>
      <c r="AE1" s="63">
        <v>1983</v>
      </c>
      <c r="AF1" s="63">
        <v>1984</v>
      </c>
      <c r="AG1" s="63">
        <v>1985</v>
      </c>
      <c r="AH1" s="63">
        <v>1986</v>
      </c>
      <c r="AI1" s="63">
        <v>1987</v>
      </c>
      <c r="AJ1" s="63">
        <v>1988</v>
      </c>
      <c r="AK1" s="63">
        <v>1989</v>
      </c>
      <c r="AL1" s="63">
        <v>1990</v>
      </c>
      <c r="AM1" s="63">
        <v>1991</v>
      </c>
      <c r="AN1" s="63">
        <v>1992</v>
      </c>
      <c r="AO1" s="63">
        <v>1993</v>
      </c>
      <c r="AP1" s="63">
        <v>1994</v>
      </c>
      <c r="AQ1" s="63">
        <v>1995</v>
      </c>
      <c r="AR1" s="63">
        <v>1996</v>
      </c>
      <c r="AS1" s="63">
        <v>1997</v>
      </c>
      <c r="AT1" s="63">
        <v>1998</v>
      </c>
      <c r="AU1" s="63">
        <v>1999</v>
      </c>
      <c r="AV1" s="63">
        <v>2000</v>
      </c>
      <c r="AW1" s="63">
        <v>2001</v>
      </c>
      <c r="AX1" s="63">
        <v>2002</v>
      </c>
      <c r="AY1" s="63">
        <v>2003</v>
      </c>
      <c r="AZ1" s="63">
        <v>2004</v>
      </c>
      <c r="BA1" s="63">
        <v>2005</v>
      </c>
      <c r="BB1" s="63">
        <v>2006</v>
      </c>
      <c r="BC1" s="63">
        <v>2007</v>
      </c>
      <c r="BD1" s="63">
        <v>2008</v>
      </c>
      <c r="BE1" s="63">
        <v>2009</v>
      </c>
      <c r="BF1" s="63">
        <v>2010</v>
      </c>
      <c r="BG1" s="63">
        <v>2011</v>
      </c>
      <c r="BH1" s="63">
        <v>2012</v>
      </c>
      <c r="BI1" s="63">
        <v>2013</v>
      </c>
      <c r="BJ1" s="63">
        <v>2014</v>
      </c>
      <c r="BK1" s="63">
        <v>2015</v>
      </c>
      <c r="BL1" s="63">
        <v>2016</v>
      </c>
      <c r="BM1" s="63">
        <v>2017</v>
      </c>
      <c r="BN1" s="63">
        <v>2018</v>
      </c>
      <c r="BO1" s="63">
        <v>2019</v>
      </c>
      <c r="BP1" s="63">
        <v>2020</v>
      </c>
    </row>
    <row r="2" spans="1:68">
      <c r="A2" s="3" t="s">
        <v>380</v>
      </c>
      <c r="B2" s="3" t="s">
        <v>165</v>
      </c>
      <c r="C2" s="3" t="s">
        <v>166</v>
      </c>
      <c r="D2" s="3" t="s">
        <v>167</v>
      </c>
      <c r="E2" s="3" t="s">
        <v>160</v>
      </c>
      <c r="F2" s="3" t="s">
        <v>195</v>
      </c>
      <c r="G2" s="3" t="s">
        <v>181</v>
      </c>
      <c r="H2" s="11">
        <f t="array" ref="H2:BP2">TRANSPOSE(Calcs!S4:S64)</f>
        <v>0.18809523809523809</v>
      </c>
      <c r="I2" s="11">
        <v>0.18990384615384615</v>
      </c>
      <c r="J2" s="11">
        <v>0.19174757281553398</v>
      </c>
      <c r="K2" s="11">
        <v>0.19362745098039219</v>
      </c>
      <c r="L2" s="11">
        <v>0.19554455445544555</v>
      </c>
      <c r="M2" s="11">
        <v>0.19750000000000001</v>
      </c>
      <c r="N2" s="11">
        <v>0.1994949494949495</v>
      </c>
      <c r="O2" s="11">
        <v>0.20153061224489796</v>
      </c>
      <c r="P2" s="11">
        <v>0.20360824742268044</v>
      </c>
      <c r="Q2" s="11">
        <v>0.20572916666666669</v>
      </c>
      <c r="R2" s="11">
        <v>0.20789473684210527</v>
      </c>
      <c r="S2" s="11">
        <v>0.21010638297872342</v>
      </c>
      <c r="T2" s="11">
        <v>0.21236559139784947</v>
      </c>
      <c r="U2" s="11">
        <v>0.2146739130434783</v>
      </c>
      <c r="V2" s="11">
        <v>0.21703296703296704</v>
      </c>
      <c r="W2" s="11">
        <v>0.21944444444444444</v>
      </c>
      <c r="X2" s="11">
        <v>0.22191011235955058</v>
      </c>
      <c r="Y2" s="11">
        <v>0.22443181818181818</v>
      </c>
      <c r="Z2" s="11">
        <v>0.22701149425287359</v>
      </c>
      <c r="AA2" s="11">
        <v>0.22965116279069769</v>
      </c>
      <c r="AB2" s="11">
        <v>0.2323529411764706</v>
      </c>
      <c r="AC2" s="11">
        <v>0.23511904761904762</v>
      </c>
      <c r="AD2" s="11">
        <v>0.23795180722891565</v>
      </c>
      <c r="AE2" s="11">
        <v>0.24085365853658539</v>
      </c>
      <c r="AF2" s="11">
        <v>0.24382716049382719</v>
      </c>
      <c r="AG2" s="11">
        <v>0.24687500000000001</v>
      </c>
      <c r="AH2" s="11">
        <v>0.25</v>
      </c>
      <c r="AI2" s="11">
        <v>0.25320512820512825</v>
      </c>
      <c r="AJ2" s="11">
        <v>0.2564935064935065</v>
      </c>
      <c r="AK2" s="11">
        <v>0.25986842105263158</v>
      </c>
      <c r="AL2" s="11">
        <v>0.26333333333333336</v>
      </c>
      <c r="AM2" s="11">
        <v>0.26689189189189189</v>
      </c>
      <c r="AN2" s="11">
        <v>0.27054794520547948</v>
      </c>
      <c r="AO2" s="11">
        <v>0.27430555555555558</v>
      </c>
      <c r="AP2" s="11">
        <v>0.27816901408450706</v>
      </c>
      <c r="AQ2" s="11">
        <v>0.28214285714285714</v>
      </c>
      <c r="AR2" s="11">
        <v>0.28623188405797101</v>
      </c>
      <c r="AS2" s="11">
        <v>0.29044117647058826</v>
      </c>
      <c r="AT2" s="11">
        <v>0.29477611940298509</v>
      </c>
      <c r="AU2" s="11">
        <v>0.29924242424242425</v>
      </c>
      <c r="AV2" s="11">
        <v>0.30384615384615388</v>
      </c>
      <c r="AW2" s="11">
        <v>0.30859375</v>
      </c>
      <c r="AX2" s="11">
        <v>0.31349206349206349</v>
      </c>
      <c r="AY2" s="11">
        <v>0.31854838709677419</v>
      </c>
      <c r="AZ2" s="11">
        <v>0.32377049180327871</v>
      </c>
      <c r="BA2" s="11">
        <v>0.32916666666666666</v>
      </c>
      <c r="BB2" s="11">
        <v>0.32712215320910976</v>
      </c>
      <c r="BC2" s="11">
        <v>0.32510288065843623</v>
      </c>
      <c r="BD2" s="11">
        <v>0.32244897959183677</v>
      </c>
      <c r="BE2" s="11">
        <v>0.32644628099173556</v>
      </c>
      <c r="BF2" s="11">
        <v>0.32916666666666666</v>
      </c>
      <c r="BG2" s="11">
        <v>0.33617021276595749</v>
      </c>
      <c r="BH2" s="11">
        <v>0.34199134199134201</v>
      </c>
      <c r="BI2" s="11">
        <v>0.33617021276595749</v>
      </c>
      <c r="BJ2" s="11">
        <v>0.34051724137931039</v>
      </c>
      <c r="BK2" s="11">
        <v>0.33054393305439334</v>
      </c>
      <c r="BL2" s="11">
        <v>0.33054393305439334</v>
      </c>
      <c r="BM2" s="11">
        <v>0.33054393305439334</v>
      </c>
      <c r="BN2" s="11">
        <v>0.33636105591825133</v>
      </c>
      <c r="BO2" s="11">
        <v>0.33710044481224766</v>
      </c>
      <c r="BP2" s="11">
        <v>0.33784309151698905</v>
      </c>
    </row>
    <row r="3" spans="1:68">
      <c r="A3" s="3" t="s">
        <v>131</v>
      </c>
      <c r="B3" s="3" t="s">
        <v>165</v>
      </c>
      <c r="C3" s="3" t="s">
        <v>166</v>
      </c>
      <c r="D3" s="3" t="s">
        <v>167</v>
      </c>
      <c r="E3" s="3" t="s">
        <v>160</v>
      </c>
      <c r="F3" s="3" t="s">
        <v>195</v>
      </c>
      <c r="G3" s="3" t="s">
        <v>181</v>
      </c>
      <c r="H3" s="11">
        <f t="array" ref="H3:BP3">TRANSPOSE(Calcs!W4:W64)</f>
        <v>0.25642744951702479</v>
      </c>
      <c r="I3" s="11">
        <v>0.26504927676982182</v>
      </c>
      <c r="J3" s="11">
        <v>0.27268975543684942</v>
      </c>
      <c r="K3" s="11">
        <v>0.2807838494328575</v>
      </c>
      <c r="L3" s="11">
        <v>0.28981642516965878</v>
      </c>
      <c r="M3" s="11">
        <v>0.29992416942053673</v>
      </c>
      <c r="N3" s="11">
        <v>0.29850452765334717</v>
      </c>
      <c r="O3" s="11">
        <v>0.295705137557703</v>
      </c>
      <c r="P3" s="11">
        <v>0.29478365442517268</v>
      </c>
      <c r="Q3" s="11">
        <v>0.29160320236717424</v>
      </c>
      <c r="R3" s="11">
        <v>0.29115444577551247</v>
      </c>
      <c r="S3" s="11">
        <v>0.29663244640369035</v>
      </c>
      <c r="T3" s="11">
        <v>0.3013573789109118</v>
      </c>
      <c r="U3" s="11">
        <v>0.30574038704070966</v>
      </c>
      <c r="V3" s="11">
        <v>0.30280435156144275</v>
      </c>
      <c r="W3" s="11">
        <v>0.29944945751762048</v>
      </c>
      <c r="X3" s="11">
        <v>0.29992416942053673</v>
      </c>
      <c r="Y3" s="11">
        <v>0.30722985997019575</v>
      </c>
      <c r="Z3" s="11">
        <v>0.3170109836334809</v>
      </c>
      <c r="AA3" s="11">
        <v>0.32518420068927062</v>
      </c>
      <c r="AB3" s="11">
        <v>0.33917563589415872</v>
      </c>
      <c r="AC3" s="11">
        <v>0.34393122678086635</v>
      </c>
      <c r="AD3" s="11">
        <v>0.3488220705928658</v>
      </c>
      <c r="AE3" s="11">
        <v>0.35385402062344551</v>
      </c>
      <c r="AF3" s="11">
        <v>0.35903327285729292</v>
      </c>
      <c r="AG3" s="11">
        <v>0.36436639142236765</v>
      </c>
      <c r="AH3" s="11">
        <v>0.36986033634436638</v>
      </c>
      <c r="AI3" s="11">
        <v>0.37552249385053144</v>
      </c>
      <c r="AJ3" s="11">
        <v>0.38136070950024298</v>
      </c>
      <c r="AK3" s="11">
        <v>0.38738332445488793</v>
      </c>
      <c r="AL3" s="11">
        <v>0.39359921523961261</v>
      </c>
      <c r="AM3" s="11">
        <v>0.40001783739556485</v>
      </c>
      <c r="AN3" s="11">
        <v>0.40664927347409913</v>
      </c>
      <c r="AO3" s="11">
        <v>0.41350428588529997</v>
      </c>
      <c r="AP3" s="11">
        <v>0.42059437518346154</v>
      </c>
      <c r="AQ3" s="11">
        <v>0.42793184445347471</v>
      </c>
      <c r="AR3" s="11">
        <v>0.43552987055638287</v>
      </c>
      <c r="AS3" s="11">
        <v>0.44340258310201885</v>
      </c>
      <c r="AT3" s="11">
        <v>0.45156515214445486</v>
      </c>
      <c r="AU3" s="11">
        <v>0.4600338857453885</v>
      </c>
      <c r="AV3" s="11">
        <v>0.4688263387256813</v>
      </c>
      <c r="AW3" s="11">
        <v>0.47796143413105879</v>
      </c>
      <c r="AX3" s="11">
        <v>0.48745959918058523</v>
      </c>
      <c r="AY3" s="11">
        <v>0.49734291775339606</v>
      </c>
      <c r="AZ3" s="11">
        <v>0.50763530180947325</v>
      </c>
      <c r="BA3" s="11">
        <v>0.51836268454527101</v>
      </c>
      <c r="BB3" s="11">
        <v>0.52955323856871839</v>
      </c>
      <c r="BC3" s="11">
        <v>0.54123762295789513</v>
      </c>
      <c r="BD3" s="11">
        <v>0.5534492637651871</v>
      </c>
      <c r="BE3" s="11">
        <v>0.56622467337113069</v>
      </c>
      <c r="BF3" s="11">
        <v>0.57960381511371972</v>
      </c>
      <c r="BG3" s="11">
        <v>0.59193581117996918</v>
      </c>
      <c r="BH3" s="11">
        <v>0.60218578193633221</v>
      </c>
      <c r="BI3" s="11">
        <v>0.59193581117996918</v>
      </c>
      <c r="BJ3" s="11">
        <v>0.59959015356591705</v>
      </c>
      <c r="BK3" s="11">
        <v>0.58202893567904923</v>
      </c>
      <c r="BL3" s="11">
        <v>0.58202893567904923</v>
      </c>
      <c r="BM3" s="11">
        <v>0.58202893567904923</v>
      </c>
      <c r="BN3" s="11">
        <v>0.59227185194703102</v>
      </c>
      <c r="BO3" s="11">
        <v>0.59357378396874128</v>
      </c>
      <c r="BP3" s="11">
        <v>0.59488145241436075</v>
      </c>
    </row>
    <row r="4" spans="1:68">
      <c r="A4" s="3" t="s">
        <v>140</v>
      </c>
      <c r="B4" s="3" t="s">
        <v>165</v>
      </c>
      <c r="C4" s="3" t="s">
        <v>166</v>
      </c>
      <c r="D4" s="3" t="s">
        <v>167</v>
      </c>
      <c r="E4" s="3" t="s">
        <v>160</v>
      </c>
      <c r="F4" s="3" t="s">
        <v>195</v>
      </c>
      <c r="G4" s="3" t="s">
        <v>181</v>
      </c>
      <c r="H4" s="11">
        <f t="array" ref="H4:BP4">TRANSPOSE(Calcs!AA4:AA64)</f>
        <v>0.15596924374775858</v>
      </c>
      <c r="I4" s="11">
        <v>0.15746894801456396</v>
      </c>
      <c r="J4" s="11">
        <v>0.15899777275256941</v>
      </c>
      <c r="K4" s="11">
        <v>0.16055657444622209</v>
      </c>
      <c r="L4" s="11">
        <v>0.16214624350014506</v>
      </c>
      <c r="M4" s="11">
        <v>0.1637677059351465</v>
      </c>
      <c r="N4" s="11">
        <v>0.16542192518701668</v>
      </c>
      <c r="O4" s="11">
        <v>0.16710990401545561</v>
      </c>
      <c r="P4" s="11">
        <v>0.16883268653107888</v>
      </c>
      <c r="Q4" s="11">
        <v>0.17059136034911096</v>
      </c>
      <c r="R4" s="11">
        <v>0.17238705887910161</v>
      </c>
      <c r="S4" s="11">
        <v>0.17422096376079416</v>
      </c>
      <c r="T4" s="11">
        <v>0.1760943074571468</v>
      </c>
      <c r="U4" s="11">
        <v>0.1780083760164636</v>
      </c>
      <c r="V4" s="11">
        <v>0.17996451201664451</v>
      </c>
      <c r="W4" s="11">
        <v>0.18196411770571835</v>
      </c>
      <c r="X4" s="11">
        <v>0.18400865835409722</v>
      </c>
      <c r="Y4" s="11">
        <v>0.18609966583539375</v>
      </c>
      <c r="Z4" s="11">
        <v>0.18823874245419142</v>
      </c>
      <c r="AA4" s="11">
        <v>0.19042756504086805</v>
      </c>
      <c r="AB4" s="11">
        <v>0.19266788933546647</v>
      </c>
      <c r="AC4" s="11">
        <v>0.19390043237341983</v>
      </c>
      <c r="AD4" s="11">
        <v>0.19514884669501842</v>
      </c>
      <c r="AE4" s="11">
        <v>0.19641344084524412</v>
      </c>
      <c r="AF4" s="11">
        <v>0.19769453141891624</v>
      </c>
      <c r="AG4" s="11">
        <v>0.19899244332493701</v>
      </c>
      <c r="AH4" s="11">
        <v>0.2034140759107381</v>
      </c>
      <c r="AI4" s="11">
        <v>0.2080366721935043</v>
      </c>
      <c r="AJ4" s="11">
        <v>0.21287425149700595</v>
      </c>
      <c r="AK4" s="11">
        <v>0.21794216818228254</v>
      </c>
      <c r="AL4" s="11">
        <v>0.22325727444002502</v>
      </c>
      <c r="AM4" s="11">
        <v>0.22883810749919525</v>
      </c>
      <c r="AN4" s="11">
        <v>0.23470510563380267</v>
      </c>
      <c r="AO4" s="11">
        <v>0.24088085827216246</v>
      </c>
      <c r="AP4" s="11">
        <v>0.24739039665970758</v>
      </c>
      <c r="AQ4" s="11">
        <v>0.25426153295982817</v>
      </c>
      <c r="AR4" s="11">
        <v>0.26152525747915628</v>
      </c>
      <c r="AS4" s="11">
        <v>0.26921620598258222</v>
      </c>
      <c r="AT4" s="11">
        <v>0.27737321196358894</v>
      </c>
      <c r="AU4" s="11">
        <v>0.2860399624513878</v>
      </c>
      <c r="AV4" s="11">
        <v>0.29526578073089688</v>
      </c>
      <c r="AW4" s="11">
        <v>0.30510656558432253</v>
      </c>
      <c r="AX4" s="11">
        <v>0.31562592482983115</v>
      </c>
      <c r="AY4" s="11">
        <v>0.32689655172413778</v>
      </c>
      <c r="AZ4" s="11">
        <v>0.33900190718372525</v>
      </c>
      <c r="BA4" s="11">
        <v>0.35203829014688881</v>
      </c>
      <c r="BB4" s="11">
        <v>0.36611740473738402</v>
      </c>
      <c r="BC4" s="11">
        <v>0.3813695691042373</v>
      </c>
      <c r="BD4" s="11">
        <v>0.39794776119402975</v>
      </c>
      <c r="BE4" s="11">
        <v>0.41603276770040948</v>
      </c>
      <c r="BF4" s="11">
        <v>0.43583980384143839</v>
      </c>
      <c r="BG4" s="11">
        <v>0.45762711864406774</v>
      </c>
      <c r="BH4" s="11">
        <v>0.48170731707317077</v>
      </c>
      <c r="BI4" s="11">
        <v>0.47350804359107423</v>
      </c>
      <c r="BJ4" s="11">
        <v>0.47963099243061397</v>
      </c>
      <c r="BK4" s="11">
        <v>0.46558322277783448</v>
      </c>
      <c r="BL4" s="11">
        <v>0.46558322277783448</v>
      </c>
      <c r="BM4" s="11">
        <v>0.46558322277783448</v>
      </c>
      <c r="BN4" s="11">
        <v>0.47377685315314666</v>
      </c>
      <c r="BO4" s="11">
        <v>0.47481830946115366</v>
      </c>
      <c r="BP4" s="11">
        <v>0.47586435451478332</v>
      </c>
    </row>
    <row r="5" spans="1:68">
      <c r="A5" s="3" t="s">
        <v>381</v>
      </c>
      <c r="B5" s="3" t="s">
        <v>165</v>
      </c>
      <c r="C5" s="3" t="s">
        <v>166</v>
      </c>
      <c r="D5" s="3" t="s">
        <v>167</v>
      </c>
      <c r="E5" s="3" t="s">
        <v>160</v>
      </c>
      <c r="F5" s="3" t="s">
        <v>195</v>
      </c>
      <c r="G5" s="3" t="s">
        <v>181</v>
      </c>
      <c r="H5" s="11">
        <f t="array" ref="H5:BP5">TRANSPOSE(Calcs!AE4:AE64)</f>
        <v>0.16796687788220158</v>
      </c>
      <c r="I5" s="11">
        <v>0.16958194401568427</v>
      </c>
      <c r="J5" s="11">
        <v>0.17122837065661325</v>
      </c>
      <c r="K5" s="11">
        <v>0.17290708017285458</v>
      </c>
      <c r="L5" s="11">
        <v>0.17461903146169472</v>
      </c>
      <c r="M5" s="11">
        <v>0.17636522177631167</v>
      </c>
      <c r="N5" s="11">
        <v>0.17814668866294106</v>
      </c>
      <c r="O5" s="11">
        <v>0.17996451201664451</v>
      </c>
      <c r="P5" s="11">
        <v>0.18181981626423882</v>
      </c>
      <c r="Q5" s="11">
        <v>0.18371377268365796</v>
      </c>
      <c r="R5" s="11">
        <v>0.18564760186980173</v>
      </c>
      <c r="S5" s="11">
        <v>0.18762257635777835</v>
      </c>
      <c r="T5" s="11">
        <v>0.18964002341538888</v>
      </c>
      <c r="U5" s="11">
        <v>0.19170132801773007</v>
      </c>
      <c r="V5" s="11">
        <v>0.19380793601792493</v>
      </c>
      <c r="W5" s="11">
        <v>0.19596135752923516</v>
      </c>
      <c r="X5" s="11">
        <v>0.19816317053518162</v>
      </c>
      <c r="Y5" s="11">
        <v>0.20041502474580869</v>
      </c>
      <c r="Z5" s="11">
        <v>0.20271864571989848</v>
      </c>
      <c r="AA5" s="11">
        <v>0.20507583927478101</v>
      </c>
      <c r="AB5" s="11">
        <v>0.20748849620742549</v>
      </c>
      <c r="AC5" s="11">
        <v>0.21520303180210476</v>
      </c>
      <c r="AD5" s="11">
        <v>0.22351338137833632</v>
      </c>
      <c r="AE5" s="11">
        <v>0.23249134190471035</v>
      </c>
      <c r="AF5" s="11">
        <v>0.24222072869806666</v>
      </c>
      <c r="AG5" s="11">
        <v>0.25280000000000002</v>
      </c>
      <c r="AH5" s="11">
        <v>0.25600000000000001</v>
      </c>
      <c r="AI5" s="11">
        <v>0.25928205128205134</v>
      </c>
      <c r="AJ5" s="11">
        <v>0.26264935064935063</v>
      </c>
      <c r="AK5" s="11">
        <v>0.26610526315789473</v>
      </c>
      <c r="AL5" s="11">
        <v>0.26965333333333336</v>
      </c>
      <c r="AM5" s="11">
        <v>0.27329729729729729</v>
      </c>
      <c r="AN5" s="11">
        <v>0.27704109589041098</v>
      </c>
      <c r="AO5" s="11">
        <v>0.28088888888888891</v>
      </c>
      <c r="AP5" s="11">
        <v>0.28484507042253526</v>
      </c>
      <c r="AQ5" s="11">
        <v>0.28891428571428573</v>
      </c>
      <c r="AR5" s="11">
        <v>0.2931014492753623</v>
      </c>
      <c r="AS5" s="11">
        <v>0.29741176470588238</v>
      </c>
      <c r="AT5" s="11">
        <v>0.30185074626865677</v>
      </c>
      <c r="AU5" s="11">
        <v>0.30642424242424243</v>
      </c>
      <c r="AV5" s="11">
        <v>0.31113846153846159</v>
      </c>
      <c r="AW5" s="11">
        <v>0.316</v>
      </c>
      <c r="AX5" s="11">
        <v>0.32101587301587303</v>
      </c>
      <c r="AY5" s="11">
        <v>0.3261935483870968</v>
      </c>
      <c r="AZ5" s="11">
        <v>0.33154098360655743</v>
      </c>
      <c r="BA5" s="11">
        <v>0.33706666666666668</v>
      </c>
      <c r="BB5" s="11">
        <v>0.33497308488612842</v>
      </c>
      <c r="BC5" s="11">
        <v>0.33290534979423869</v>
      </c>
      <c r="BD5" s="11">
        <v>0.33018775510204085</v>
      </c>
      <c r="BE5" s="11">
        <v>0.33428099173553721</v>
      </c>
      <c r="BF5" s="11">
        <v>0.33706666666666668</v>
      </c>
      <c r="BG5" s="11">
        <v>0.34423829787234045</v>
      </c>
      <c r="BH5" s="11">
        <v>0.35019913419913423</v>
      </c>
      <c r="BI5" s="11">
        <v>0.34423829787234045</v>
      </c>
      <c r="BJ5" s="11">
        <v>0.34868965517241385</v>
      </c>
      <c r="BK5" s="11">
        <v>0.33847698744769877</v>
      </c>
      <c r="BL5" s="11">
        <v>0.33847698744769877</v>
      </c>
      <c r="BM5" s="11">
        <v>0.33847698744769877</v>
      </c>
      <c r="BN5" s="11">
        <v>0.34443372126028937</v>
      </c>
      <c r="BO5" s="11">
        <v>0.34519085548774159</v>
      </c>
      <c r="BP5" s="11">
        <v>0.34595132571339682</v>
      </c>
    </row>
    <row r="6" spans="1:68">
      <c r="A6" s="3" t="s">
        <v>130</v>
      </c>
      <c r="B6" s="3" t="s">
        <v>165</v>
      </c>
      <c r="C6" s="3" t="s">
        <v>166</v>
      </c>
      <c r="D6" s="3" t="s">
        <v>167</v>
      </c>
      <c r="E6" s="3" t="s">
        <v>160</v>
      </c>
      <c r="F6" s="3" t="s">
        <v>195</v>
      </c>
      <c r="G6" s="3" t="s">
        <v>181</v>
      </c>
      <c r="H6" s="11">
        <f t="array" ref="H6:BP6">TRANSPOSE(Calcs!AI4:AI64)</f>
        <v>0.37257221493859577</v>
      </c>
      <c r="I6" s="11">
        <v>0.37929462164006017</v>
      </c>
      <c r="J6" s="11">
        <v>0.38469326241387275</v>
      </c>
      <c r="K6" s="11">
        <v>0.39105451196975272</v>
      </c>
      <c r="L6" s="11">
        <v>0.39596518112598794</v>
      </c>
      <c r="M6" s="11">
        <v>0.40100075022306536</v>
      </c>
      <c r="N6" s="11">
        <v>0.40356687088276916</v>
      </c>
      <c r="O6" s="11">
        <v>0.40356687088276916</v>
      </c>
      <c r="P6" s="11">
        <v>0.40442955841695405</v>
      </c>
      <c r="Q6" s="11">
        <v>0.40529594211230335</v>
      </c>
      <c r="R6" s="11">
        <v>0.40616604577396564</v>
      </c>
      <c r="S6" s="11">
        <v>0.39930805651710727</v>
      </c>
      <c r="T6" s="11">
        <v>0.39349452630126558</v>
      </c>
      <c r="U6" s="11">
        <v>0.38864457164960781</v>
      </c>
      <c r="V6" s="11">
        <v>0.38082156645340659</v>
      </c>
      <c r="W6" s="11">
        <v>0.37553029936044863</v>
      </c>
      <c r="X6" s="11">
        <v>0.37183996111096984</v>
      </c>
      <c r="Y6" s="11">
        <v>0.38082156645340659</v>
      </c>
      <c r="Z6" s="11">
        <v>0.39349452630126558</v>
      </c>
      <c r="AA6" s="11">
        <v>0.40442955841695405</v>
      </c>
      <c r="AB6" s="11">
        <v>0.41507715828733432</v>
      </c>
      <c r="AC6" s="11">
        <v>0.42001855302885022</v>
      </c>
      <c r="AD6" s="11">
        <v>0.42507901752317367</v>
      </c>
      <c r="AE6" s="11">
        <v>0.43026290798077343</v>
      </c>
      <c r="AF6" s="11">
        <v>0.43557479573362251</v>
      </c>
      <c r="AG6" s="11">
        <v>0.44101948068029273</v>
      </c>
      <c r="AH6" s="11">
        <v>0.44660200575219516</v>
      </c>
      <c r="AI6" s="11">
        <v>0.45232767249260802</v>
      </c>
      <c r="AJ6" s="11">
        <v>0.45820205784965479</v>
      </c>
      <c r="AK6" s="11">
        <v>0.46423103229504498</v>
      </c>
      <c r="AL6" s="11">
        <v>0.4704207793923123</v>
      </c>
      <c r="AM6" s="11">
        <v>0.47677781695166782</v>
      </c>
      <c r="AN6" s="11">
        <v>0.48330901992360853</v>
      </c>
      <c r="AO6" s="11">
        <v>0.49002164520032532</v>
      </c>
      <c r="AP6" s="11">
        <v>0.4969233585130059</v>
      </c>
      <c r="AQ6" s="11">
        <v>0.50402226363462022</v>
      </c>
      <c r="AR6" s="11">
        <v>0.51132693412207852</v>
      </c>
      <c r="AS6" s="11">
        <v>0.518846447859168</v>
      </c>
      <c r="AT6" s="11">
        <v>0.52659042469288686</v>
      </c>
      <c r="AU6" s="11">
        <v>0.53456906749126398</v>
      </c>
      <c r="AV6" s="11">
        <v>0.54279320699112954</v>
      </c>
      <c r="AW6" s="11">
        <v>0.55127435085036591</v>
      </c>
      <c r="AX6" s="11">
        <v>0.56002473737180025</v>
      </c>
      <c r="AY6" s="11">
        <v>0.56905739442618419</v>
      </c>
      <c r="AZ6" s="11">
        <v>0.57838620417087572</v>
      </c>
      <c r="BA6" s="11">
        <v>0.58802597424039027</v>
      </c>
      <c r="BB6" s="11">
        <v>0.58437363899666117</v>
      </c>
      <c r="BC6" s="11">
        <v>0.58076639431149657</v>
      </c>
      <c r="BD6" s="11">
        <v>0.57602544415385182</v>
      </c>
      <c r="BE6" s="11">
        <v>0.58316625544501521</v>
      </c>
      <c r="BF6" s="11">
        <v>0.58802597424039027</v>
      </c>
      <c r="BG6" s="11">
        <v>0.60053716518167533</v>
      </c>
      <c r="BH6" s="11">
        <v>0.61093607713287312</v>
      </c>
      <c r="BI6" s="11">
        <v>0.60053716518167533</v>
      </c>
      <c r="BJ6" s="11">
        <v>0.60830273197281759</v>
      </c>
      <c r="BK6" s="11">
        <v>0.59048633396524552</v>
      </c>
      <c r="BL6" s="11">
        <v>0.59048633396524552</v>
      </c>
      <c r="BM6" s="11">
        <v>0.59048633396524552</v>
      </c>
      <c r="BN6" s="11">
        <v>0.60087808892006922</v>
      </c>
      <c r="BO6" s="11">
        <v>0.60219893917242795</v>
      </c>
      <c r="BP6" s="11">
        <v>0.60352560920403897</v>
      </c>
    </row>
    <row r="7" spans="1:68">
      <c r="A7" s="3" t="s">
        <v>136</v>
      </c>
      <c r="B7" s="3" t="s">
        <v>165</v>
      </c>
      <c r="C7" s="3" t="s">
        <v>166</v>
      </c>
      <c r="D7" s="3" t="s">
        <v>167</v>
      </c>
      <c r="E7" s="3" t="s">
        <v>160</v>
      </c>
      <c r="F7" s="3" t="s">
        <v>195</v>
      </c>
      <c r="G7" s="3" t="s">
        <v>181</v>
      </c>
      <c r="H7" s="11">
        <f t="array" ref="H7:BP7">TRANSPOSE(Calcs!AM4:AM64)</f>
        <v>0.23247993604924497</v>
      </c>
      <c r="I7" s="11">
        <v>0.23684546564745304</v>
      </c>
      <c r="J7" s="11">
        <v>0.2413781163712938</v>
      </c>
      <c r="K7" s="11">
        <v>0.24576793189935114</v>
      </c>
      <c r="L7" s="11">
        <v>0.24965976102306764</v>
      </c>
      <c r="M7" s="11">
        <v>0.25504468956069121</v>
      </c>
      <c r="N7" s="11">
        <v>0.25888364137442538</v>
      </c>
      <c r="O7" s="11">
        <v>0.26283989110907696</v>
      </c>
      <c r="P7" s="11">
        <v>0.26654292697618631</v>
      </c>
      <c r="Q7" s="11">
        <v>0.27073863451083702</v>
      </c>
      <c r="R7" s="11">
        <v>0.27627361266048889</v>
      </c>
      <c r="S7" s="11">
        <v>0.28373147836429546</v>
      </c>
      <c r="T7" s="11">
        <v>0.29250487839636191</v>
      </c>
      <c r="U7" s="11">
        <v>0.30183816412874703</v>
      </c>
      <c r="V7" s="11">
        <v>0.30183816412874703</v>
      </c>
      <c r="W7" s="11">
        <v>0.3013573789109118</v>
      </c>
      <c r="X7" s="11">
        <v>0.29850452765334717</v>
      </c>
      <c r="Y7" s="11">
        <v>0.30873396693392746</v>
      </c>
      <c r="Z7" s="11">
        <v>0.31861258198201792</v>
      </c>
      <c r="AA7" s="11">
        <v>0.31861258198201792</v>
      </c>
      <c r="AB7" s="11">
        <v>0.32743538036159264</v>
      </c>
      <c r="AC7" s="11">
        <v>0.33133342060399257</v>
      </c>
      <c r="AD7" s="11">
        <v>0.33532538952693219</v>
      </c>
      <c r="AE7" s="11">
        <v>0.33941472354555341</v>
      </c>
      <c r="AF7" s="11">
        <v>0.34360502877451082</v>
      </c>
      <c r="AG7" s="11">
        <v>0.34790009163419222</v>
      </c>
      <c r="AH7" s="11">
        <v>0.35230389026247311</v>
      </c>
      <c r="AI7" s="11">
        <v>0.35682060680429972</v>
      </c>
      <c r="AJ7" s="11">
        <v>0.36145464065890098</v>
      </c>
      <c r="AK7" s="11">
        <v>0.36621062277283389</v>
      </c>
      <c r="AL7" s="11">
        <v>0.37109343107647169</v>
      </c>
      <c r="AM7" s="11">
        <v>0.37610820717209964</v>
      </c>
      <c r="AN7" s="11">
        <v>0.3812603743936353</v>
      </c>
      <c r="AO7" s="11">
        <v>0.38655565737132469</v>
      </c>
      <c r="AP7" s="11">
        <v>0.39200010324979406</v>
      </c>
      <c r="AQ7" s="11">
        <v>0.39760010472479107</v>
      </c>
      <c r="AR7" s="11">
        <v>0.40336242508312137</v>
      </c>
      <c r="AS7" s="11">
        <v>0.40929422545199085</v>
      </c>
      <c r="AT7" s="11">
        <v>0.4154030944885877</v>
      </c>
      <c r="AU7" s="11">
        <v>0.42169708076871781</v>
      </c>
      <c r="AV7" s="11">
        <v>0.42818472816515968</v>
      </c>
      <c r="AW7" s="11">
        <v>0.43487511454274025</v>
      </c>
      <c r="AX7" s="11">
        <v>0.44177789413865676</v>
      </c>
      <c r="AY7" s="11">
        <v>0.44890334404411897</v>
      </c>
      <c r="AZ7" s="11">
        <v>0.45626241525795702</v>
      </c>
      <c r="BA7" s="11">
        <v>0.46386678884558957</v>
      </c>
      <c r="BB7" s="11">
        <v>0.46098562866642445</v>
      </c>
      <c r="BC7" s="11">
        <v>0.45814003836601441</v>
      </c>
      <c r="BD7" s="11">
        <v>0.45440011968547556</v>
      </c>
      <c r="BE7" s="11">
        <v>0.46003317902041946</v>
      </c>
      <c r="BF7" s="11">
        <v>0.46386678884558957</v>
      </c>
      <c r="BG7" s="11">
        <v>0.47373629499124048</v>
      </c>
      <c r="BH7" s="11">
        <v>0.48193952087853464</v>
      </c>
      <c r="BI7" s="11">
        <v>0.47373629499124048</v>
      </c>
      <c r="BJ7" s="11">
        <v>0.47986219535750652</v>
      </c>
      <c r="BK7" s="11">
        <v>0.46580765407088498</v>
      </c>
      <c r="BL7" s="11">
        <v>0.46580765407088498</v>
      </c>
      <c r="BM7" s="11">
        <v>0.46580765407088498</v>
      </c>
      <c r="BN7" s="11">
        <v>0.47400523413117279</v>
      </c>
      <c r="BO7" s="11">
        <v>0.47504719246625987</v>
      </c>
      <c r="BP7" s="11">
        <v>0.47609374175894387</v>
      </c>
    </row>
    <row r="8" spans="1:68">
      <c r="A8" s="3" t="s">
        <v>132</v>
      </c>
      <c r="B8" s="3" t="s">
        <v>165</v>
      </c>
      <c r="C8" s="3" t="s">
        <v>166</v>
      </c>
      <c r="D8" s="3" t="s">
        <v>167</v>
      </c>
      <c r="E8" s="3" t="s">
        <v>160</v>
      </c>
      <c r="F8" s="3" t="s">
        <v>195</v>
      </c>
      <c r="G8" s="3" t="s">
        <v>181</v>
      </c>
      <c r="H8" s="11">
        <f t="array" ref="H8:BP8">TRANSPOSE(Calcs!AY4:AY64)</f>
        <v>0.2867416950001096</v>
      </c>
      <c r="I8" s="11">
        <v>0.29341214792670411</v>
      </c>
      <c r="J8" s="11">
        <v>0.29897624596244049</v>
      </c>
      <c r="K8" s="11">
        <v>0.30426528658078572</v>
      </c>
      <c r="L8" s="11">
        <v>0.31178669676314547</v>
      </c>
      <c r="M8" s="11">
        <v>0.31807692076174432</v>
      </c>
      <c r="N8" s="11">
        <v>0.32077339095386243</v>
      </c>
      <c r="O8" s="11">
        <v>0.32407017904830793</v>
      </c>
      <c r="P8" s="11">
        <v>0.32857269911749376</v>
      </c>
      <c r="Q8" s="11">
        <v>0.32971794617027883</v>
      </c>
      <c r="R8" s="11">
        <v>0.33497192883167337</v>
      </c>
      <c r="S8" s="11">
        <v>0.34039612632476046</v>
      </c>
      <c r="T8" s="11">
        <v>0.34919185607589082</v>
      </c>
      <c r="U8" s="11">
        <v>0.3531022291579724</v>
      </c>
      <c r="V8" s="11">
        <v>0.34663274690956475</v>
      </c>
      <c r="W8" s="11">
        <v>0.34224342065685587</v>
      </c>
      <c r="X8" s="11">
        <v>0.33856866685713966</v>
      </c>
      <c r="Y8" s="11">
        <v>0.34663274690956475</v>
      </c>
      <c r="Z8" s="11">
        <v>0.3479075955368755</v>
      </c>
      <c r="AA8" s="11">
        <v>0.35575812108742283</v>
      </c>
      <c r="AB8" s="11">
        <v>0.36050335138974454</v>
      </c>
      <c r="AC8" s="11">
        <v>0.36479505795390815</v>
      </c>
      <c r="AD8" s="11">
        <v>0.3691901791340757</v>
      </c>
      <c r="AE8" s="11">
        <v>0.37369249839180835</v>
      </c>
      <c r="AF8" s="11">
        <v>0.37830598602627513</v>
      </c>
      <c r="AG8" s="11">
        <v>0.38303481085160357</v>
      </c>
      <c r="AH8" s="11">
        <v>0.38788335276111752</v>
      </c>
      <c r="AI8" s="11">
        <v>0.392856216258055</v>
      </c>
      <c r="AJ8" s="11">
        <v>0.39795824504062705</v>
      </c>
      <c r="AK8" s="11">
        <v>0.40319453773853003</v>
      </c>
      <c r="AL8" s="11">
        <v>0.40857046490837717</v>
      </c>
      <c r="AM8" s="11">
        <v>0.41409168740713898</v>
      </c>
      <c r="AN8" s="11">
        <v>0.41976417627572998</v>
      </c>
      <c r="AO8" s="11">
        <v>0.42559423427955956</v>
      </c>
      <c r="AP8" s="11">
        <v>0.4315885192694125</v>
      </c>
      <c r="AQ8" s="11">
        <v>0.43775406954468976</v>
      </c>
      <c r="AR8" s="11">
        <v>0.44409833142214905</v>
      </c>
      <c r="AS8" s="11">
        <v>0.45062918923718071</v>
      </c>
      <c r="AT8" s="11">
        <v>0.45735499803176544</v>
      </c>
      <c r="AU8" s="11">
        <v>0.46428461921406494</v>
      </c>
      <c r="AV8" s="11">
        <v>0.47142745950966597</v>
      </c>
      <c r="AW8" s="11">
        <v>0.47879351356450445</v>
      </c>
      <c r="AX8" s="11">
        <v>0.48639341060521085</v>
      </c>
      <c r="AY8" s="11">
        <v>0.49423846561497231</v>
      </c>
      <c r="AZ8" s="11">
        <v>0.50234073554308667</v>
      </c>
      <c r="BA8" s="11">
        <v>0.51071308113547143</v>
      </c>
      <c r="BB8" s="11">
        <v>0.50754095019674184</v>
      </c>
      <c r="BC8" s="11">
        <v>0.50440798136836684</v>
      </c>
      <c r="BD8" s="11">
        <v>0.50029036519393122</v>
      </c>
      <c r="BE8" s="11">
        <v>0.50649231186988908</v>
      </c>
      <c r="BF8" s="11">
        <v>0.51071308113547143</v>
      </c>
      <c r="BG8" s="11">
        <v>0.52157931690431125</v>
      </c>
      <c r="BH8" s="11">
        <v>0.53061099338750284</v>
      </c>
      <c r="BI8" s="11">
        <v>0.52157931690431125</v>
      </c>
      <c r="BJ8" s="11">
        <v>0.52832387703669459</v>
      </c>
      <c r="BK8" s="11">
        <v>0.51284995595193783</v>
      </c>
      <c r="BL8" s="11">
        <v>0.51284995595193783</v>
      </c>
      <c r="BM8" s="11">
        <v>0.51284995595193783</v>
      </c>
      <c r="BN8" s="11">
        <v>0.52187541643136426</v>
      </c>
      <c r="BO8" s="11">
        <v>0.52302260300415471</v>
      </c>
      <c r="BP8" s="11">
        <v>0.52417484417916305</v>
      </c>
    </row>
    <row r="9" spans="1:68">
      <c r="A9" s="3" t="s">
        <v>134</v>
      </c>
      <c r="B9" s="3" t="s">
        <v>165</v>
      </c>
      <c r="C9" s="3" t="s">
        <v>166</v>
      </c>
      <c r="D9" s="3" t="s">
        <v>167</v>
      </c>
      <c r="E9" s="3" t="s">
        <v>160</v>
      </c>
      <c r="F9" s="3" t="s">
        <v>195</v>
      </c>
      <c r="G9" s="3" t="s">
        <v>181</v>
      </c>
      <c r="H9" s="11">
        <f t="array" ref="H9:BP9">TRANSPOSE(Calcs!BC4:BC64)</f>
        <v>0.29524367698442611</v>
      </c>
      <c r="I9" s="11">
        <v>0.30524710025246776</v>
      </c>
      <c r="J9" s="11">
        <v>0.31490039964716054</v>
      </c>
      <c r="K9" s="11">
        <v>0.32518420068927062</v>
      </c>
      <c r="L9" s="11">
        <v>0.33856866685713966</v>
      </c>
      <c r="M9" s="11">
        <v>0.3504856331417267</v>
      </c>
      <c r="N9" s="11">
        <v>0.35442519969845609</v>
      </c>
      <c r="O9" s="11">
        <v>0.35845426889169107</v>
      </c>
      <c r="P9" s="11">
        <v>0.36537688017461883</v>
      </c>
      <c r="Q9" s="11">
        <v>0.36893950473049786</v>
      </c>
      <c r="R9" s="11">
        <v>0.37404540884445736</v>
      </c>
      <c r="S9" s="11">
        <v>0.35442519969845609</v>
      </c>
      <c r="T9" s="11">
        <v>0.33917563589415872</v>
      </c>
      <c r="U9" s="11">
        <v>0.32630590785774566</v>
      </c>
      <c r="V9" s="11">
        <v>0.3229637642168931</v>
      </c>
      <c r="W9" s="11">
        <v>0.32023044565042003</v>
      </c>
      <c r="X9" s="11">
        <v>0.31595216696512002</v>
      </c>
      <c r="Y9" s="11">
        <v>0.32186487854841445</v>
      </c>
      <c r="Z9" s="11">
        <v>0.32407017904830793</v>
      </c>
      <c r="AA9" s="11">
        <v>0.3280030538569047</v>
      </c>
      <c r="AB9" s="11">
        <v>0.33145086460898071</v>
      </c>
      <c r="AC9" s="11">
        <v>0.33539670823527806</v>
      </c>
      <c r="AD9" s="11">
        <v>0.33943763243088382</v>
      </c>
      <c r="AE9" s="11">
        <v>0.3435771157532117</v>
      </c>
      <c r="AF9" s="11">
        <v>0.3478188085402884</v>
      </c>
      <c r="AG9" s="11">
        <v>0.35216654364704197</v>
      </c>
      <c r="AH9" s="11">
        <v>0.35662434799700454</v>
      </c>
      <c r="AI9" s="11">
        <v>0.36119645502260722</v>
      </c>
      <c r="AJ9" s="11">
        <v>0.36588731807484881</v>
      </c>
      <c r="AK9" s="11">
        <v>0.37070162489162317</v>
      </c>
      <c r="AL9" s="11">
        <v>0.37564431322351149</v>
      </c>
      <c r="AM9" s="11">
        <v>0.38072058772653189</v>
      </c>
      <c r="AN9" s="11">
        <v>0.38593593824333372</v>
      </c>
      <c r="AO9" s="11">
        <v>0.39129615960782449</v>
      </c>
      <c r="AP9" s="11">
        <v>0.39680737312342762</v>
      </c>
      <c r="AQ9" s="11">
        <v>0.40247604988233371</v>
      </c>
      <c r="AR9" s="11">
        <v>0.40830903611251246</v>
      </c>
      <c r="AS9" s="11">
        <v>0.41431358076122587</v>
      </c>
      <c r="AT9" s="11">
        <v>0.42049736554870687</v>
      </c>
      <c r="AU9" s="11">
        <v>0.42686853775399031</v>
      </c>
      <c r="AV9" s="11">
        <v>0.43343574602712864</v>
      </c>
      <c r="AW9" s="11">
        <v>0.44020817955880248</v>
      </c>
      <c r="AX9" s="11">
        <v>0.44719561098037075</v>
      </c>
      <c r="AY9" s="11">
        <v>0.45440844341553804</v>
      </c>
      <c r="AZ9" s="11">
        <v>0.46185776216005509</v>
      </c>
      <c r="BA9" s="11">
        <v>0.4695553915293893</v>
      </c>
      <c r="BB9" s="11">
        <v>0.46663889841429995</v>
      </c>
      <c r="BC9" s="11">
        <v>0.46375841138705121</v>
      </c>
      <c r="BD9" s="11">
        <v>0.45997262843695286</v>
      </c>
      <c r="BE9" s="11">
        <v>0.46567476845889855</v>
      </c>
      <c r="BF9" s="11">
        <v>0.4695553915293893</v>
      </c>
      <c r="BG9" s="11">
        <v>0.47954593177469551</v>
      </c>
      <c r="BH9" s="11">
        <v>0.4878497574331318</v>
      </c>
      <c r="BI9" s="11">
        <v>0.47954593177469551</v>
      </c>
      <c r="BJ9" s="11">
        <v>0.48574695675454072</v>
      </c>
      <c r="BK9" s="11">
        <v>0.47152005843955419</v>
      </c>
      <c r="BL9" s="11">
        <v>0.47152005843955419</v>
      </c>
      <c r="BM9" s="11">
        <v>0.47152005843955419</v>
      </c>
      <c r="BN9" s="11">
        <v>0.47981816903372149</v>
      </c>
      <c r="BO9" s="11">
        <v>0.48087290536267213</v>
      </c>
      <c r="BP9" s="11">
        <v>0.48193228895015422</v>
      </c>
    </row>
    <row r="13" spans="1:68">
      <c r="B13" s="57"/>
    </row>
    <row r="14" spans="1:68">
      <c r="B14" s="57"/>
      <c r="C14" s="71"/>
    </row>
    <row r="15" spans="1:68">
      <c r="B15" s="57"/>
      <c r="C15" s="71"/>
    </row>
    <row r="16" spans="1:68">
      <c r="B16" s="57"/>
      <c r="C16" s="71"/>
    </row>
    <row r="17" spans="2:3">
      <c r="B17" s="57"/>
      <c r="C17" s="7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4"/>
  <sheetViews>
    <sheetView zoomScale="70" zoomScaleNormal="70" workbookViewId="0">
      <pane xSplit="1" topLeftCell="O1" activePane="topRight" state="frozen"/>
      <selection pane="topRight" activeCell="W4" sqref="W4"/>
    </sheetView>
  </sheetViews>
  <sheetFormatPr defaultColWidth="8.88671875" defaultRowHeight="14.4"/>
  <cols>
    <col min="1" max="1" width="9.109375" style="3"/>
    <col min="2" max="7" width="25.88671875" style="3" customWidth="1"/>
    <col min="8" max="8" width="29.109375" style="3" bestFit="1" customWidth="1"/>
    <col min="9" max="9" width="25.44140625" style="3" customWidth="1"/>
    <col min="10" max="10" width="27" style="3" customWidth="1"/>
    <col min="11" max="11" width="17.88671875" style="3" customWidth="1"/>
    <col min="12" max="12" width="25.44140625" style="3" customWidth="1"/>
    <col min="13" max="14" width="13.88671875" style="3" customWidth="1"/>
    <col min="15" max="15" width="14.44140625" customWidth="1"/>
    <col min="16" max="16" width="13.88671875" style="3" customWidth="1"/>
    <col min="17" max="17" width="14.44140625" style="3" customWidth="1"/>
    <col min="18" max="18" width="31.44140625" style="3" customWidth="1"/>
    <col min="19" max="19" width="14.44140625" style="3" customWidth="1"/>
    <col min="21" max="21" width="17.44140625" customWidth="1"/>
    <col min="22" max="22" width="23.109375" bestFit="1" customWidth="1"/>
    <col min="23" max="23" width="12.88671875" bestFit="1" customWidth="1"/>
    <col min="25" max="25" width="17.44140625" customWidth="1"/>
    <col min="26" max="26" width="23.109375" bestFit="1" customWidth="1"/>
    <col min="27" max="27" width="12.88671875" bestFit="1" customWidth="1"/>
    <col min="28" max="28" width="12.44140625" style="23" customWidth="1"/>
    <col min="29" max="29" width="17.44140625" customWidth="1"/>
    <col min="30" max="30" width="23.109375" bestFit="1" customWidth="1"/>
    <col min="31" max="31" width="12.88671875" bestFit="1" customWidth="1"/>
    <col min="32" max="32" width="12.88671875" style="23" bestFit="1" customWidth="1"/>
    <col min="33" max="33" width="17.44140625" customWidth="1"/>
    <col min="34" max="34" width="23.109375" bestFit="1" customWidth="1"/>
    <col min="35" max="35" width="12.88671875" bestFit="1" customWidth="1"/>
    <col min="36" max="36" width="9.109375" style="23"/>
    <col min="37" max="37" width="17.44140625" customWidth="1"/>
    <col min="38" max="38" width="23.109375" bestFit="1" customWidth="1"/>
    <col min="39" max="39" width="12.88671875" bestFit="1" customWidth="1"/>
    <col min="41" max="41" width="17.44140625" customWidth="1"/>
    <col min="42" max="42" width="23.109375" bestFit="1" customWidth="1"/>
    <col min="43" max="43" width="12.88671875" bestFit="1" customWidth="1"/>
    <col min="45" max="45" width="17.44140625" customWidth="1"/>
    <col min="46" max="46" width="23.109375" bestFit="1" customWidth="1"/>
    <col min="47" max="47" width="12.88671875" bestFit="1" customWidth="1"/>
    <col min="49" max="49" width="17.44140625" customWidth="1"/>
    <col min="50" max="50" width="23.88671875" bestFit="1" customWidth="1"/>
    <col min="51" max="51" width="12.88671875" bestFit="1" customWidth="1"/>
    <col min="53" max="53" width="17.44140625" customWidth="1"/>
    <col min="54" max="54" width="23.88671875" bestFit="1" customWidth="1"/>
    <col min="55" max="55" width="12.88671875" bestFit="1" customWidth="1"/>
  </cols>
  <sheetData>
    <row r="1" spans="1:55">
      <c r="O1" s="36"/>
      <c r="Q1" s="27" t="s">
        <v>28</v>
      </c>
      <c r="R1" s="27"/>
      <c r="S1" s="27"/>
      <c r="U1" s="44" t="s">
        <v>131</v>
      </c>
      <c r="V1" s="44"/>
      <c r="W1" s="45"/>
      <c r="Y1" s="42" t="s">
        <v>140</v>
      </c>
      <c r="Z1" s="42"/>
      <c r="AA1" s="43"/>
      <c r="AC1" s="49" t="s">
        <v>137</v>
      </c>
      <c r="AD1" s="49"/>
      <c r="AE1" s="50"/>
      <c r="AG1" s="47" t="s">
        <v>130</v>
      </c>
      <c r="AH1" s="47"/>
      <c r="AI1" s="48"/>
      <c r="AK1" s="53" t="s">
        <v>136</v>
      </c>
      <c r="AL1" s="53"/>
      <c r="AM1" s="54"/>
      <c r="AO1" s="40" t="s">
        <v>135</v>
      </c>
      <c r="AP1" s="40"/>
      <c r="AQ1" s="41"/>
      <c r="AS1" s="61" t="s">
        <v>144</v>
      </c>
      <c r="AT1" s="61"/>
      <c r="AU1" s="62"/>
      <c r="AW1" s="59" t="s">
        <v>132</v>
      </c>
      <c r="AX1" s="59"/>
      <c r="AY1" s="60"/>
      <c r="BA1" s="51" t="s">
        <v>134</v>
      </c>
      <c r="BB1" s="51"/>
      <c r="BC1" s="52"/>
    </row>
    <row r="2" spans="1:55">
      <c r="B2" s="25" t="s">
        <v>59</v>
      </c>
      <c r="I2" s="33"/>
      <c r="J2" s="25" t="s">
        <v>87</v>
      </c>
      <c r="K2" s="25"/>
      <c r="L2" s="33"/>
      <c r="O2" s="25" t="s">
        <v>38</v>
      </c>
      <c r="Q2" s="25" t="s">
        <v>117</v>
      </c>
      <c r="R2" s="26"/>
      <c r="S2" s="25" t="s">
        <v>147</v>
      </c>
      <c r="U2" s="25" t="s">
        <v>117</v>
      </c>
      <c r="V2" s="25"/>
      <c r="W2" s="25" t="s">
        <v>147</v>
      </c>
      <c r="Y2" s="25" t="s">
        <v>117</v>
      </c>
      <c r="Z2" s="25"/>
      <c r="AA2" s="25" t="s">
        <v>147</v>
      </c>
      <c r="AB2" s="33"/>
      <c r="AC2" s="25" t="s">
        <v>117</v>
      </c>
      <c r="AD2" s="25"/>
      <c r="AE2" s="25" t="s">
        <v>147</v>
      </c>
      <c r="AF2" s="37"/>
      <c r="AG2" s="25" t="s">
        <v>117</v>
      </c>
      <c r="AH2" s="25"/>
      <c r="AI2" s="25" t="s">
        <v>147</v>
      </c>
      <c r="AK2" s="25" t="s">
        <v>117</v>
      </c>
      <c r="AL2" s="25"/>
      <c r="AM2" s="25" t="s">
        <v>147</v>
      </c>
      <c r="AO2" s="25" t="s">
        <v>117</v>
      </c>
      <c r="AP2" s="25"/>
      <c r="AQ2" s="25" t="s">
        <v>147</v>
      </c>
      <c r="AS2" s="25" t="s">
        <v>117</v>
      </c>
      <c r="AT2" s="25"/>
      <c r="AU2" s="25" t="s">
        <v>147</v>
      </c>
      <c r="AW2" s="25" t="s">
        <v>117</v>
      </c>
      <c r="AX2" s="25"/>
      <c r="AY2" s="25" t="s">
        <v>147</v>
      </c>
      <c r="BA2" s="25" t="s">
        <v>117</v>
      </c>
      <c r="BB2" s="25"/>
      <c r="BC2" s="25" t="s">
        <v>147</v>
      </c>
    </row>
    <row r="3" spans="1:55" s="8" customFormat="1" ht="28.8">
      <c r="A3" s="7" t="s">
        <v>2</v>
      </c>
      <c r="B3" s="7" t="s">
        <v>14</v>
      </c>
      <c r="C3" s="7" t="s">
        <v>16</v>
      </c>
      <c r="D3" s="7" t="s">
        <v>18</v>
      </c>
      <c r="E3" s="7" t="s">
        <v>15</v>
      </c>
      <c r="F3" s="7" t="s">
        <v>17</v>
      </c>
      <c r="G3" s="7" t="s">
        <v>19</v>
      </c>
      <c r="H3" s="7" t="s">
        <v>7</v>
      </c>
      <c r="I3" s="7"/>
      <c r="J3" s="7" t="s">
        <v>100</v>
      </c>
      <c r="K3" s="7" t="s">
        <v>116</v>
      </c>
      <c r="L3" s="7" t="s">
        <v>101</v>
      </c>
      <c r="M3" s="7" t="s">
        <v>116</v>
      </c>
      <c r="N3" s="7"/>
      <c r="O3" s="7" t="s">
        <v>21</v>
      </c>
      <c r="P3" s="7"/>
      <c r="Q3" s="7" t="s">
        <v>21</v>
      </c>
      <c r="R3" s="7" t="s">
        <v>148</v>
      </c>
      <c r="S3" s="7" t="s">
        <v>21</v>
      </c>
      <c r="U3" s="7" t="s">
        <v>21</v>
      </c>
      <c r="V3" s="7" t="s">
        <v>148</v>
      </c>
      <c r="W3" s="7" t="s">
        <v>21</v>
      </c>
      <c r="Y3" s="7" t="s">
        <v>21</v>
      </c>
      <c r="Z3" s="7" t="s">
        <v>148</v>
      </c>
      <c r="AA3" s="7" t="s">
        <v>21</v>
      </c>
      <c r="AB3" s="39"/>
      <c r="AC3" s="7" t="s">
        <v>21</v>
      </c>
      <c r="AD3" s="7" t="s">
        <v>148</v>
      </c>
      <c r="AE3" s="7" t="s">
        <v>21</v>
      </c>
      <c r="AF3" s="38"/>
      <c r="AG3" s="7" t="s">
        <v>21</v>
      </c>
      <c r="AH3" s="7" t="s">
        <v>148</v>
      </c>
      <c r="AI3" s="7" t="s">
        <v>21</v>
      </c>
      <c r="AJ3" s="46"/>
      <c r="AK3" s="7" t="s">
        <v>21</v>
      </c>
      <c r="AL3" s="7" t="s">
        <v>148</v>
      </c>
      <c r="AM3" s="7" t="s">
        <v>21</v>
      </c>
      <c r="AO3" s="7" t="s">
        <v>21</v>
      </c>
      <c r="AP3" s="7" t="s">
        <v>148</v>
      </c>
      <c r="AQ3" s="7" t="s">
        <v>21</v>
      </c>
      <c r="AS3" s="7" t="s">
        <v>21</v>
      </c>
      <c r="AT3" s="7" t="s">
        <v>148</v>
      </c>
      <c r="AU3" s="7" t="s">
        <v>21</v>
      </c>
      <c r="AW3" s="7" t="s">
        <v>21</v>
      </c>
      <c r="AX3" s="7" t="s">
        <v>148</v>
      </c>
      <c r="AY3" s="7" t="s">
        <v>21</v>
      </c>
      <c r="BA3" s="7" t="s">
        <v>21</v>
      </c>
      <c r="BB3" s="7" t="s">
        <v>148</v>
      </c>
      <c r="BC3" s="7" t="s">
        <v>21</v>
      </c>
    </row>
    <row r="4" spans="1:55">
      <c r="A4" s="3">
        <v>1960</v>
      </c>
      <c r="B4" s="4">
        <f>WorldSteel!E8</f>
        <v>42</v>
      </c>
      <c r="C4" s="4">
        <f>WorldSteel!F8</f>
        <v>13.5</v>
      </c>
      <c r="D4" s="4">
        <f>WorldSteel!G8</f>
        <v>66</v>
      </c>
      <c r="E4" s="4">
        <v>42</v>
      </c>
      <c r="F4" s="4">
        <v>13.5</v>
      </c>
      <c r="G4" s="4">
        <v>66</v>
      </c>
      <c r="H4" s="3" t="s">
        <v>8</v>
      </c>
      <c r="J4" s="3">
        <f>Kumar_2020!$B$31</f>
        <v>1923.15</v>
      </c>
      <c r="L4" s="3">
        <f>Hajidavalloo_2013!$B$2</f>
        <v>1873.15</v>
      </c>
      <c r="O4">
        <f t="shared" ref="O4:O35" si="0">1-(293.15/J4)</f>
        <v>0.84756779242388791</v>
      </c>
      <c r="Q4" s="4">
        <f t="shared" ref="Q4:Q35" si="1">E4</f>
        <v>42</v>
      </c>
      <c r="R4" s="3" t="s">
        <v>8</v>
      </c>
      <c r="S4" s="11">
        <f t="shared" ref="S4:S35" si="2">BF_BOF_min/Q4</f>
        <v>0.18809523809523809</v>
      </c>
      <c r="U4" s="4">
        <f>Mernier_1984!D60</f>
        <v>30.807934232000001</v>
      </c>
      <c r="V4" s="33" t="s">
        <v>149</v>
      </c>
      <c r="W4" s="11">
        <f t="shared" ref="W4:W25" si="3">BF_BOF_min/U4</f>
        <v>0.25642744951702479</v>
      </c>
      <c r="Y4" s="56">
        <f t="shared" ref="Y4:Y22" si="4">$Q4*(Y$24/$Q$24)</f>
        <v>50.651011764705885</v>
      </c>
      <c r="Z4" s="57" t="s">
        <v>191</v>
      </c>
      <c r="AA4" s="11">
        <f t="shared" ref="AA4:AA30" si="5">BF_BOF_min/Y4</f>
        <v>0.15596924374775858</v>
      </c>
      <c r="AC4" s="56">
        <f t="shared" ref="AC4:AC22" si="6">$Q4*(AC$24/$Q$24)</f>
        <v>47.033082352941179</v>
      </c>
      <c r="AD4" s="57" t="s">
        <v>191</v>
      </c>
      <c r="AE4" s="11">
        <f t="shared" ref="AE4:AE29" si="7">BF_BOF_min/AC4</f>
        <v>0.16796687788220158</v>
      </c>
      <c r="AG4" s="4">
        <f>Mernier_1984!G60</f>
        <v>21.203942976</v>
      </c>
      <c r="AH4" s="33" t="s">
        <v>149</v>
      </c>
      <c r="AI4" s="11">
        <f t="shared" ref="AI4:AI24" si="8">BF_BOF_min/AG4</f>
        <v>0.37257221493859577</v>
      </c>
      <c r="AK4" s="4">
        <f>Mernier_1984!C60</f>
        <v>33.981427104000005</v>
      </c>
      <c r="AL4" s="33" t="s">
        <v>149</v>
      </c>
      <c r="AM4" s="11">
        <f t="shared" ref="AM4:AM24" si="9">BF_BOF_min/AK4</f>
        <v>0.23247993604924497</v>
      </c>
      <c r="AW4" s="4">
        <f>Mernier_1984!E60</f>
        <v>27.550928720000002</v>
      </c>
      <c r="AX4" s="33" t="s">
        <v>149</v>
      </c>
      <c r="AY4" s="11">
        <f t="shared" ref="AY4:AY24" si="10">BF_BOF_min/AW4</f>
        <v>0.2867416950001096</v>
      </c>
      <c r="BA4" s="4">
        <f>Mernier_1984!F60</f>
        <v>26.757558640000003</v>
      </c>
      <c r="BB4" s="33" t="s">
        <v>149</v>
      </c>
      <c r="BC4" s="11">
        <f t="shared" ref="BC4:BC24" si="11">BF_BOF_min/BA4</f>
        <v>0.29524367698442611</v>
      </c>
    </row>
    <row r="5" spans="1:55">
      <c r="A5" s="3">
        <v>1961</v>
      </c>
      <c r="B5" s="4"/>
      <c r="C5" s="4"/>
      <c r="D5" s="4"/>
      <c r="E5" s="56">
        <f>E$4+((A5-A$4)*((E$9-E$4)/($A$9-$A$4)))</f>
        <v>41.6</v>
      </c>
      <c r="F5" s="56">
        <f>F$4+((A5-A$4)*((F$9-F$4)/(A$9-A$4)))</f>
        <v>13.4</v>
      </c>
      <c r="G5" s="56">
        <f>G$4+((E5-E$4)*((G$9-G$4)/(E$9-E$4)))</f>
        <v>65.599999999999994</v>
      </c>
      <c r="H5" s="57" t="s">
        <v>9</v>
      </c>
      <c r="J5" s="3">
        <f>Kumar_2020!$B$31</f>
        <v>1923.15</v>
      </c>
      <c r="L5" s="3">
        <f>Hajidavalloo_2013!$B$2</f>
        <v>1873.15</v>
      </c>
      <c r="O5">
        <f t="shared" si="0"/>
        <v>0.84756779242388791</v>
      </c>
      <c r="Q5" s="56">
        <f t="shared" si="1"/>
        <v>41.6</v>
      </c>
      <c r="R5" s="57" t="s">
        <v>9</v>
      </c>
      <c r="S5" s="11">
        <f t="shared" si="2"/>
        <v>0.18990384615384615</v>
      </c>
      <c r="U5" s="4">
        <f>Mernier_1984!D61</f>
        <v>29.805778368000002</v>
      </c>
      <c r="V5" s="33" t="s">
        <v>149</v>
      </c>
      <c r="W5" s="11">
        <f t="shared" si="3"/>
        <v>0.26504927676982182</v>
      </c>
      <c r="Y5" s="56">
        <f t="shared" si="4"/>
        <v>50.168621176470594</v>
      </c>
      <c r="Z5" s="57" t="s">
        <v>191</v>
      </c>
      <c r="AA5" s="11">
        <f t="shared" si="5"/>
        <v>0.15746894801456396</v>
      </c>
      <c r="AC5" s="56">
        <f t="shared" si="6"/>
        <v>46.58514823529412</v>
      </c>
      <c r="AD5" s="57" t="s">
        <v>191</v>
      </c>
      <c r="AE5" s="11">
        <f t="shared" si="7"/>
        <v>0.16958194401568427</v>
      </c>
      <c r="AG5" s="4">
        <f>Mernier_1984!G61</f>
        <v>20.828136096000001</v>
      </c>
      <c r="AH5" s="33" t="s">
        <v>149</v>
      </c>
      <c r="AI5" s="11">
        <f t="shared" si="8"/>
        <v>0.37929462164006017</v>
      </c>
      <c r="AK5" s="4">
        <f>Mernier_1984!C61</f>
        <v>33.355082304</v>
      </c>
      <c r="AL5" s="33" t="s">
        <v>149</v>
      </c>
      <c r="AM5" s="11">
        <f t="shared" si="9"/>
        <v>0.23684546564745304</v>
      </c>
      <c r="AW5" s="4">
        <f>Mernier_1984!E61</f>
        <v>26.924583920000003</v>
      </c>
      <c r="AX5" s="33" t="s">
        <v>149</v>
      </c>
      <c r="AY5" s="11">
        <f t="shared" si="10"/>
        <v>0.29341214792670411</v>
      </c>
      <c r="BA5" s="4">
        <f>Mernier_1984!F61</f>
        <v>25.880671736</v>
      </c>
      <c r="BB5" s="33" t="s">
        <v>149</v>
      </c>
      <c r="BC5" s="11">
        <f t="shared" si="11"/>
        <v>0.30524710025246776</v>
      </c>
    </row>
    <row r="6" spans="1:55">
      <c r="A6" s="3">
        <v>1962</v>
      </c>
      <c r="B6" s="4"/>
      <c r="C6" s="4"/>
      <c r="D6" s="4"/>
      <c r="E6" s="56">
        <f>E$4+((A6-A$4)*((E$9-E$4)/($A$9-$A$4)))</f>
        <v>41.2</v>
      </c>
      <c r="F6" s="56">
        <f>F$4+((A6-A$4)*((F$9-F$4)/(A$9-A$4)))</f>
        <v>13.3</v>
      </c>
      <c r="G6" s="56">
        <f>G$4+((E6-E$4)*((G$9-G$4)/(E$9-E$4)))</f>
        <v>65.2</v>
      </c>
      <c r="H6" s="57" t="s">
        <v>9</v>
      </c>
      <c r="J6" s="3">
        <f>Kumar_2020!$B$31</f>
        <v>1923.15</v>
      </c>
      <c r="L6" s="3">
        <f>Hajidavalloo_2013!$B$2</f>
        <v>1873.15</v>
      </c>
      <c r="O6">
        <f t="shared" si="0"/>
        <v>0.84756779242388791</v>
      </c>
      <c r="Q6" s="56">
        <f t="shared" si="1"/>
        <v>41.2</v>
      </c>
      <c r="R6" s="57" t="s">
        <v>9</v>
      </c>
      <c r="S6" s="11">
        <f t="shared" si="2"/>
        <v>0.19174757281553398</v>
      </c>
      <c r="U6" s="4">
        <f>Mernier_1984!D62</f>
        <v>28.970651968000002</v>
      </c>
      <c r="V6" s="33" t="s">
        <v>149</v>
      </c>
      <c r="W6" s="11">
        <f t="shared" si="3"/>
        <v>0.27268975543684942</v>
      </c>
      <c r="Y6" s="56">
        <f t="shared" si="4"/>
        <v>49.686230588235304</v>
      </c>
      <c r="Z6" s="57" t="s">
        <v>191</v>
      </c>
      <c r="AA6" s="11">
        <f t="shared" si="5"/>
        <v>0.15899777275256941</v>
      </c>
      <c r="AC6" s="56">
        <f t="shared" si="6"/>
        <v>46.137214117647062</v>
      </c>
      <c r="AD6" s="57" t="s">
        <v>191</v>
      </c>
      <c r="AE6" s="11">
        <f t="shared" si="7"/>
        <v>0.17122837065661325</v>
      </c>
      <c r="AG6" s="4">
        <f>Mernier_1984!G62</f>
        <v>20.535841856000001</v>
      </c>
      <c r="AH6" s="33" t="s">
        <v>149</v>
      </c>
      <c r="AI6" s="11">
        <f t="shared" si="8"/>
        <v>0.38469326241387275</v>
      </c>
      <c r="AK6" s="4">
        <f>Mernier_1984!C62</f>
        <v>32.728733319999996</v>
      </c>
      <c r="AL6" s="33" t="s">
        <v>149</v>
      </c>
      <c r="AM6" s="11">
        <f t="shared" si="9"/>
        <v>0.2413781163712938</v>
      </c>
      <c r="AW6" s="4">
        <f>Mernier_1984!E62</f>
        <v>26.423503896</v>
      </c>
      <c r="AX6" s="33" t="s">
        <v>149</v>
      </c>
      <c r="AY6" s="11">
        <f t="shared" si="10"/>
        <v>0.29897624596244049</v>
      </c>
      <c r="BA6" s="4">
        <f>Mernier_1984!F62</f>
        <v>25.087297471999999</v>
      </c>
      <c r="BB6" s="33" t="s">
        <v>149</v>
      </c>
      <c r="BC6" s="11">
        <f t="shared" si="11"/>
        <v>0.31490039964716054</v>
      </c>
    </row>
    <row r="7" spans="1:55">
      <c r="A7" s="3">
        <v>1963</v>
      </c>
      <c r="B7" s="4"/>
      <c r="C7" s="4"/>
      <c r="D7" s="4"/>
      <c r="E7" s="56">
        <f>E$4+((A7-A$4)*((E$9-E$4)/($A$9-$A$4)))</f>
        <v>40.799999999999997</v>
      </c>
      <c r="F7" s="56">
        <f>F$4+((A7-A$4)*((F$9-F$4)/(A$9-A$4)))</f>
        <v>13.2</v>
      </c>
      <c r="G7" s="56">
        <f>G$4+((E7-E$4)*((G$9-G$4)/(E$9-E$4)))</f>
        <v>64.8</v>
      </c>
      <c r="H7" s="57" t="s">
        <v>9</v>
      </c>
      <c r="J7" s="3">
        <f>Kumar_2020!$B$31</f>
        <v>1923.15</v>
      </c>
      <c r="L7" s="3">
        <f>Hajidavalloo_2013!$B$2</f>
        <v>1873.15</v>
      </c>
      <c r="O7">
        <f t="shared" si="0"/>
        <v>0.84756779242388791</v>
      </c>
      <c r="Q7" s="56">
        <f t="shared" si="1"/>
        <v>40.799999999999997</v>
      </c>
      <c r="R7" s="57" t="s">
        <v>9</v>
      </c>
      <c r="S7" s="11">
        <f t="shared" si="2"/>
        <v>0.19362745098039219</v>
      </c>
      <c r="U7" s="4">
        <f>Mernier_1984!D63</f>
        <v>28.135521384000004</v>
      </c>
      <c r="V7" s="33" t="s">
        <v>149</v>
      </c>
      <c r="W7" s="11">
        <f t="shared" si="3"/>
        <v>0.2807838494328575</v>
      </c>
      <c r="Y7" s="56">
        <f t="shared" si="4"/>
        <v>49.20384</v>
      </c>
      <c r="Z7" s="57" t="s">
        <v>191</v>
      </c>
      <c r="AA7" s="11">
        <f t="shared" si="5"/>
        <v>0.16055657444622209</v>
      </c>
      <c r="AC7" s="56">
        <f t="shared" si="6"/>
        <v>45.689279999999997</v>
      </c>
      <c r="AD7" s="57" t="s">
        <v>191</v>
      </c>
      <c r="AE7" s="11">
        <f t="shared" si="7"/>
        <v>0.17290708017285458</v>
      </c>
      <c r="AG7" s="4">
        <f>Mernier_1984!G63</f>
        <v>20.201787112000002</v>
      </c>
      <c r="AH7" s="33" t="s">
        <v>149</v>
      </c>
      <c r="AI7" s="11">
        <f t="shared" si="8"/>
        <v>0.39105451196975272</v>
      </c>
      <c r="AK7" s="4">
        <f>Mernier_1984!C63</f>
        <v>32.144144840000003</v>
      </c>
      <c r="AL7" s="33" t="s">
        <v>149</v>
      </c>
      <c r="AM7" s="11">
        <f t="shared" si="9"/>
        <v>0.24576793189935114</v>
      </c>
      <c r="AW7" s="4">
        <f>Mernier_1984!E63</f>
        <v>25.964184376000002</v>
      </c>
      <c r="AX7" s="33" t="s">
        <v>149</v>
      </c>
      <c r="AY7" s="11">
        <f t="shared" si="10"/>
        <v>0.30426528658078572</v>
      </c>
      <c r="BA7" s="4">
        <f>Mernier_1984!F63</f>
        <v>24.293923207999999</v>
      </c>
      <c r="BB7" s="33" t="s">
        <v>149</v>
      </c>
      <c r="BC7" s="11">
        <f t="shared" si="11"/>
        <v>0.32518420068927062</v>
      </c>
    </row>
    <row r="8" spans="1:55">
      <c r="A8" s="3">
        <v>1964</v>
      </c>
      <c r="B8" s="4"/>
      <c r="C8" s="4"/>
      <c r="D8" s="4"/>
      <c r="E8" s="56">
        <f>E$4+((A8-A$4)*((E$9-E$4)/($A$9-$A$4)))</f>
        <v>40.4</v>
      </c>
      <c r="F8" s="56">
        <f>F$4+((A8-A$4)*((F$9-F$4)/(A$9-A$4)))</f>
        <v>13.1</v>
      </c>
      <c r="G8" s="56">
        <f>G$4+((E8-E$4)*((G$9-G$4)/(E$9-E$4)))</f>
        <v>64.400000000000006</v>
      </c>
      <c r="H8" s="57" t="s">
        <v>9</v>
      </c>
      <c r="J8" s="3">
        <f>Kumar_2020!$B$31</f>
        <v>1923.15</v>
      </c>
      <c r="L8" s="3">
        <f>Hajidavalloo_2013!$B$2</f>
        <v>1873.15</v>
      </c>
      <c r="O8">
        <f t="shared" si="0"/>
        <v>0.84756779242388791</v>
      </c>
      <c r="Q8" s="56">
        <f t="shared" si="1"/>
        <v>40.4</v>
      </c>
      <c r="R8" s="57" t="s">
        <v>9</v>
      </c>
      <c r="S8" s="11">
        <f t="shared" si="2"/>
        <v>0.19554455445544555</v>
      </c>
      <c r="U8" s="4">
        <f>Mernier_1984!D64</f>
        <v>27.258634480000001</v>
      </c>
      <c r="V8" s="33" t="s">
        <v>149</v>
      </c>
      <c r="W8" s="11">
        <f t="shared" si="3"/>
        <v>0.28981642516965878</v>
      </c>
      <c r="Y8" s="56">
        <f t="shared" si="4"/>
        <v>48.721449411764709</v>
      </c>
      <c r="Z8" s="57" t="s">
        <v>191</v>
      </c>
      <c r="AA8" s="11">
        <f t="shared" si="5"/>
        <v>0.16214624350014506</v>
      </c>
      <c r="AC8" s="56">
        <f t="shared" si="6"/>
        <v>45.241345882352938</v>
      </c>
      <c r="AD8" s="57" t="s">
        <v>191</v>
      </c>
      <c r="AE8" s="11">
        <f t="shared" si="7"/>
        <v>0.17461903146169472</v>
      </c>
      <c r="AG8" s="4">
        <f>Mernier_1984!G64</f>
        <v>19.951249191999999</v>
      </c>
      <c r="AH8" s="33" t="s">
        <v>149</v>
      </c>
      <c r="AI8" s="11">
        <f t="shared" si="8"/>
        <v>0.39596518112598794</v>
      </c>
      <c r="AK8" s="4">
        <f>Mernier_1984!C64</f>
        <v>31.643064816000003</v>
      </c>
      <c r="AL8" s="33" t="s">
        <v>149</v>
      </c>
      <c r="AM8" s="11">
        <f t="shared" si="9"/>
        <v>0.24965976102306764</v>
      </c>
      <c r="AW8" s="4">
        <f>Mernier_1984!E64</f>
        <v>25.337835392000002</v>
      </c>
      <c r="AX8" s="33" t="s">
        <v>149</v>
      </c>
      <c r="AY8" s="11">
        <f t="shared" si="10"/>
        <v>0.31178669676314547</v>
      </c>
      <c r="BA8" s="4">
        <f>Mernier_1984!F64</f>
        <v>23.333523663999998</v>
      </c>
      <c r="BB8" s="33" t="s">
        <v>149</v>
      </c>
      <c r="BC8" s="11">
        <f t="shared" si="11"/>
        <v>0.33856866685713966</v>
      </c>
    </row>
    <row r="9" spans="1:55">
      <c r="A9" s="3">
        <v>1965</v>
      </c>
      <c r="B9" s="4">
        <f>WorldSteel!E9</f>
        <v>40</v>
      </c>
      <c r="C9" s="4">
        <f>WorldSteel!F9</f>
        <v>13</v>
      </c>
      <c r="D9" s="4">
        <f>WorldSteel!G9</f>
        <v>64</v>
      </c>
      <c r="E9" s="4">
        <v>40</v>
      </c>
      <c r="F9" s="4">
        <v>13</v>
      </c>
      <c r="G9" s="4">
        <v>64</v>
      </c>
      <c r="H9" s="3" t="s">
        <v>8</v>
      </c>
      <c r="J9" s="3">
        <f>Kumar_2020!$B$31</f>
        <v>1923.15</v>
      </c>
      <c r="L9" s="3">
        <f>Hajidavalloo_2013!$B$2</f>
        <v>1873.15</v>
      </c>
      <c r="O9">
        <f t="shared" si="0"/>
        <v>0.84756779242388791</v>
      </c>
      <c r="Q9" s="4">
        <f t="shared" si="1"/>
        <v>40</v>
      </c>
      <c r="R9" s="3" t="s">
        <v>8</v>
      </c>
      <c r="S9" s="11">
        <f t="shared" si="2"/>
        <v>0.19750000000000001</v>
      </c>
      <c r="U9" s="4">
        <f>Mernier_1984!D65</f>
        <v>26.339991256000001</v>
      </c>
      <c r="V9" s="33" t="s">
        <v>149</v>
      </c>
      <c r="W9" s="11">
        <f t="shared" si="3"/>
        <v>0.29992416942053673</v>
      </c>
      <c r="Y9" s="56">
        <f t="shared" si="4"/>
        <v>48.239058823529419</v>
      </c>
      <c r="Z9" s="57" t="s">
        <v>191</v>
      </c>
      <c r="AA9" s="11">
        <f t="shared" si="5"/>
        <v>0.1637677059351465</v>
      </c>
      <c r="AC9" s="56">
        <f t="shared" si="6"/>
        <v>44.79341176470588</v>
      </c>
      <c r="AD9" s="57" t="s">
        <v>191</v>
      </c>
      <c r="AE9" s="11">
        <f t="shared" si="7"/>
        <v>0.17636522177631167</v>
      </c>
      <c r="AG9" s="4">
        <f>Mernier_1984!G65</f>
        <v>19.700711271999999</v>
      </c>
      <c r="AH9" s="33" t="s">
        <v>149</v>
      </c>
      <c r="AI9" s="11">
        <f t="shared" si="8"/>
        <v>0.40100075022306536</v>
      </c>
      <c r="AK9" s="4">
        <f>Mernier_1984!C65</f>
        <v>30.974963696000003</v>
      </c>
      <c r="AL9" s="33" t="s">
        <v>149</v>
      </c>
      <c r="AM9" s="11">
        <f t="shared" si="9"/>
        <v>0.25504468956069121</v>
      </c>
      <c r="AW9" s="4">
        <f>Mernier_1984!E65</f>
        <v>24.836759552</v>
      </c>
      <c r="AX9" s="33" t="s">
        <v>149</v>
      </c>
      <c r="AY9" s="11">
        <f t="shared" si="10"/>
        <v>0.31807692076174432</v>
      </c>
      <c r="BA9" s="4">
        <f>Mernier_1984!F65</f>
        <v>22.540153583999999</v>
      </c>
      <c r="BB9" s="33" t="s">
        <v>149</v>
      </c>
      <c r="BC9" s="11">
        <f t="shared" si="11"/>
        <v>0.3504856331417267</v>
      </c>
    </row>
    <row r="10" spans="1:55">
      <c r="A10" s="3">
        <v>1966</v>
      </c>
      <c r="B10" s="4"/>
      <c r="C10" s="4"/>
      <c r="D10" s="4"/>
      <c r="E10" s="56">
        <v>39.6</v>
      </c>
      <c r="F10" s="56">
        <v>13</v>
      </c>
      <c r="G10" s="56">
        <v>63.6</v>
      </c>
      <c r="H10" s="57" t="s">
        <v>9</v>
      </c>
      <c r="J10" s="3">
        <f>Kumar_2020!$B$31</f>
        <v>1923.15</v>
      </c>
      <c r="L10" s="3">
        <f>Hajidavalloo_2013!$B$2</f>
        <v>1873.15</v>
      </c>
      <c r="O10">
        <f t="shared" si="0"/>
        <v>0.84756779242388791</v>
      </c>
      <c r="Q10" s="56">
        <f t="shared" si="1"/>
        <v>39.6</v>
      </c>
      <c r="R10" s="57" t="s">
        <v>9</v>
      </c>
      <c r="S10" s="11">
        <f t="shared" si="2"/>
        <v>0.1994949494949495</v>
      </c>
      <c r="U10" s="4">
        <f>Mernier_1984!D66</f>
        <v>26.465260216000001</v>
      </c>
      <c r="V10" s="33" t="s">
        <v>149</v>
      </c>
      <c r="W10" s="11">
        <f t="shared" si="3"/>
        <v>0.29850452765334717</v>
      </c>
      <c r="Y10" s="56">
        <f t="shared" si="4"/>
        <v>47.756668235294121</v>
      </c>
      <c r="Z10" s="57" t="s">
        <v>191</v>
      </c>
      <c r="AA10" s="11">
        <f t="shared" si="5"/>
        <v>0.16542192518701668</v>
      </c>
      <c r="AC10" s="56">
        <f t="shared" si="6"/>
        <v>44.345477647058821</v>
      </c>
      <c r="AD10" s="57" t="s">
        <v>191</v>
      </c>
      <c r="AE10" s="11">
        <f t="shared" si="7"/>
        <v>0.17814668866294106</v>
      </c>
      <c r="AG10" s="4">
        <f>Mernier_1984!G66</f>
        <v>19.575442312</v>
      </c>
      <c r="AH10" s="33" t="s">
        <v>149</v>
      </c>
      <c r="AI10" s="11">
        <f t="shared" si="8"/>
        <v>0.40356687088276916</v>
      </c>
      <c r="AK10" s="4">
        <f>Mernier_1984!C66</f>
        <v>30.515639992000001</v>
      </c>
      <c r="AL10" s="33" t="s">
        <v>149</v>
      </c>
      <c r="AM10" s="11">
        <f t="shared" si="9"/>
        <v>0.25888364137442538</v>
      </c>
      <c r="AW10" s="4">
        <f>Mernier_1984!E66</f>
        <v>24.627977952000002</v>
      </c>
      <c r="AX10" s="33" t="s">
        <v>149</v>
      </c>
      <c r="AY10" s="11">
        <f t="shared" si="10"/>
        <v>0.32077339095386243</v>
      </c>
      <c r="BA10" s="4">
        <f>Mernier_1984!F66</f>
        <v>22.289611480000001</v>
      </c>
      <c r="BB10" s="33" t="s">
        <v>149</v>
      </c>
      <c r="BC10" s="11">
        <f t="shared" si="11"/>
        <v>0.35442519969845609</v>
      </c>
    </row>
    <row r="11" spans="1:55">
      <c r="A11" s="3">
        <v>1967</v>
      </c>
      <c r="B11" s="4"/>
      <c r="C11" s="4"/>
      <c r="D11" s="4"/>
      <c r="E11" s="56">
        <v>39.200000000000003</v>
      </c>
      <c r="F11" s="56">
        <v>13</v>
      </c>
      <c r="G11" s="56">
        <v>63.2</v>
      </c>
      <c r="H11" s="57" t="s">
        <v>9</v>
      </c>
      <c r="J11" s="3">
        <f>Kumar_2020!$B$31</f>
        <v>1923.15</v>
      </c>
      <c r="L11" s="3">
        <f>Hajidavalloo_2013!$B$2</f>
        <v>1873.15</v>
      </c>
      <c r="O11">
        <f t="shared" si="0"/>
        <v>0.84756779242388791</v>
      </c>
      <c r="Q11" s="56">
        <f t="shared" si="1"/>
        <v>39.200000000000003</v>
      </c>
      <c r="R11" s="57" t="s">
        <v>9</v>
      </c>
      <c r="S11" s="11">
        <f t="shared" si="2"/>
        <v>0.20153061224489796</v>
      </c>
      <c r="U11" s="4">
        <f>Mernier_1984!D67</f>
        <v>26.715802319999998</v>
      </c>
      <c r="V11" s="33" t="s">
        <v>149</v>
      </c>
      <c r="W11" s="11">
        <f t="shared" si="3"/>
        <v>0.295705137557703</v>
      </c>
      <c r="Y11" s="56">
        <f t="shared" si="4"/>
        <v>47.274277647058831</v>
      </c>
      <c r="Z11" s="57" t="s">
        <v>191</v>
      </c>
      <c r="AA11" s="11">
        <f t="shared" si="5"/>
        <v>0.16710990401545561</v>
      </c>
      <c r="AC11" s="56">
        <f t="shared" si="6"/>
        <v>43.89754352941177</v>
      </c>
      <c r="AD11" s="57" t="s">
        <v>191</v>
      </c>
      <c r="AE11" s="11">
        <f t="shared" si="7"/>
        <v>0.17996451201664451</v>
      </c>
      <c r="AG11" s="4">
        <f>Mernier_1984!G67</f>
        <v>19.575442312</v>
      </c>
      <c r="AH11" s="33" t="s">
        <v>149</v>
      </c>
      <c r="AI11" s="11">
        <f t="shared" si="8"/>
        <v>0.40356687088276916</v>
      </c>
      <c r="AK11" s="4">
        <f>Mernier_1984!C67</f>
        <v>30.056320471999999</v>
      </c>
      <c r="AL11" s="33" t="s">
        <v>149</v>
      </c>
      <c r="AM11" s="11">
        <f t="shared" si="9"/>
        <v>0.26283989110907696</v>
      </c>
      <c r="AW11" s="4">
        <f>Mernier_1984!E67</f>
        <v>24.377435848000001</v>
      </c>
      <c r="AX11" s="33" t="s">
        <v>149</v>
      </c>
      <c r="AY11" s="11">
        <f t="shared" si="10"/>
        <v>0.32407017904830793</v>
      </c>
      <c r="BA11" s="4">
        <f>Mernier_1984!F67</f>
        <v>22.039073560000002</v>
      </c>
      <c r="BB11" s="33" t="s">
        <v>149</v>
      </c>
      <c r="BC11" s="11">
        <f t="shared" si="11"/>
        <v>0.35845426889169107</v>
      </c>
    </row>
    <row r="12" spans="1:55">
      <c r="A12" s="3">
        <v>1968</v>
      </c>
      <c r="B12" s="4"/>
      <c r="C12" s="4"/>
      <c r="D12" s="4"/>
      <c r="E12" s="56">
        <v>38.799999999999997</v>
      </c>
      <c r="F12" s="56">
        <v>13</v>
      </c>
      <c r="G12" s="56">
        <v>62.8</v>
      </c>
      <c r="H12" s="57" t="s">
        <v>9</v>
      </c>
      <c r="J12" s="3">
        <f>Kumar_2020!$B$31</f>
        <v>1923.15</v>
      </c>
      <c r="L12" s="3">
        <f>Hajidavalloo_2013!$B$2</f>
        <v>1873.15</v>
      </c>
      <c r="O12">
        <f t="shared" si="0"/>
        <v>0.84756779242388791</v>
      </c>
      <c r="Q12" s="56">
        <f t="shared" si="1"/>
        <v>38.799999999999997</v>
      </c>
      <c r="R12" s="57" t="s">
        <v>9</v>
      </c>
      <c r="S12" s="11">
        <f t="shared" si="2"/>
        <v>0.20360824742268044</v>
      </c>
      <c r="U12" s="4">
        <f>Mernier_1984!D68</f>
        <v>26.79931496</v>
      </c>
      <c r="V12" s="33" t="s">
        <v>149</v>
      </c>
      <c r="W12" s="11">
        <f t="shared" si="3"/>
        <v>0.29478365442517268</v>
      </c>
      <c r="Y12" s="56">
        <f t="shared" si="4"/>
        <v>46.791887058823534</v>
      </c>
      <c r="Z12" s="57" t="s">
        <v>191</v>
      </c>
      <c r="AA12" s="11">
        <f t="shared" si="5"/>
        <v>0.16883268653107888</v>
      </c>
      <c r="AC12" s="56">
        <f t="shared" si="6"/>
        <v>43.449609411764705</v>
      </c>
      <c r="AD12" s="57" t="s">
        <v>191</v>
      </c>
      <c r="AE12" s="11">
        <f t="shared" si="7"/>
        <v>0.18181981626423882</v>
      </c>
      <c r="AG12" s="4">
        <f>Mernier_1984!G68</f>
        <v>19.533685991999999</v>
      </c>
      <c r="AH12" s="33" t="s">
        <v>149</v>
      </c>
      <c r="AI12" s="11">
        <f t="shared" si="8"/>
        <v>0.40442955841695405</v>
      </c>
      <c r="AK12" s="4">
        <f>Mernier_1984!C68</f>
        <v>29.638753088000001</v>
      </c>
      <c r="AL12" s="33" t="s">
        <v>149</v>
      </c>
      <c r="AM12" s="11">
        <f t="shared" si="9"/>
        <v>0.26654292697618631</v>
      </c>
      <c r="AW12" s="4">
        <f>Mernier_1984!E68</f>
        <v>24.043385288</v>
      </c>
      <c r="AX12" s="33" t="s">
        <v>149</v>
      </c>
      <c r="AY12" s="11">
        <f t="shared" si="10"/>
        <v>0.32857269911749376</v>
      </c>
      <c r="BA12" s="4">
        <f>Mernier_1984!F68</f>
        <v>21.621510360000002</v>
      </c>
      <c r="BB12" s="33" t="s">
        <v>149</v>
      </c>
      <c r="BC12" s="11">
        <f t="shared" si="11"/>
        <v>0.36537688017461883</v>
      </c>
    </row>
    <row r="13" spans="1:55">
      <c r="A13" s="3">
        <v>1969</v>
      </c>
      <c r="B13" s="4"/>
      <c r="C13" s="4"/>
      <c r="D13" s="4"/>
      <c r="E13" s="56">
        <v>38.4</v>
      </c>
      <c r="F13" s="56">
        <v>13</v>
      </c>
      <c r="G13" s="56">
        <v>62.4</v>
      </c>
      <c r="H13" s="57" t="s">
        <v>9</v>
      </c>
      <c r="J13" s="3">
        <f>Kumar_2020!$B$31</f>
        <v>1923.15</v>
      </c>
      <c r="L13" s="3">
        <f>Hajidavalloo_2013!$B$2</f>
        <v>1873.15</v>
      </c>
      <c r="O13">
        <f t="shared" si="0"/>
        <v>0.84756779242388791</v>
      </c>
      <c r="Q13" s="56">
        <f t="shared" si="1"/>
        <v>38.4</v>
      </c>
      <c r="R13" s="57" t="s">
        <v>9</v>
      </c>
      <c r="S13" s="11">
        <f t="shared" si="2"/>
        <v>0.20572916666666669</v>
      </c>
      <c r="U13" s="4">
        <f>Mernier_1984!D69</f>
        <v>27.091609200000001</v>
      </c>
      <c r="V13" s="33" t="s">
        <v>149</v>
      </c>
      <c r="W13" s="11">
        <f t="shared" si="3"/>
        <v>0.29160320236717424</v>
      </c>
      <c r="Y13" s="56">
        <f t="shared" si="4"/>
        <v>46.309496470588236</v>
      </c>
      <c r="Z13" s="57" t="s">
        <v>191</v>
      </c>
      <c r="AA13" s="11">
        <f t="shared" si="5"/>
        <v>0.17059136034911096</v>
      </c>
      <c r="AC13" s="56">
        <f t="shared" si="6"/>
        <v>43.001675294117646</v>
      </c>
      <c r="AD13" s="57" t="s">
        <v>191</v>
      </c>
      <c r="AE13" s="11">
        <f t="shared" si="7"/>
        <v>0.18371377268365796</v>
      </c>
      <c r="AG13" s="4">
        <f>Mernier_1984!G69</f>
        <v>19.491929672000001</v>
      </c>
      <c r="AH13" s="33" t="s">
        <v>149</v>
      </c>
      <c r="AI13" s="11">
        <f t="shared" si="8"/>
        <v>0.40529594211230335</v>
      </c>
      <c r="AK13" s="4">
        <f>Mernier_1984!C69</f>
        <v>29.179433568</v>
      </c>
      <c r="AL13" s="33" t="s">
        <v>149</v>
      </c>
      <c r="AM13" s="11">
        <f t="shared" si="9"/>
        <v>0.27073863451083702</v>
      </c>
      <c r="AW13" s="4">
        <f>Mernier_1984!E69</f>
        <v>23.959872648000001</v>
      </c>
      <c r="AX13" s="33" t="s">
        <v>149</v>
      </c>
      <c r="AY13" s="11">
        <f t="shared" si="10"/>
        <v>0.32971794617027883</v>
      </c>
      <c r="BA13" s="4">
        <f>Mernier_1984!F69</f>
        <v>21.412724576000002</v>
      </c>
      <c r="BB13" s="33" t="s">
        <v>149</v>
      </c>
      <c r="BC13" s="11">
        <f t="shared" si="11"/>
        <v>0.36893950473049786</v>
      </c>
    </row>
    <row r="14" spans="1:55">
      <c r="A14" s="3">
        <v>1970</v>
      </c>
      <c r="B14" s="4">
        <f>WorldSteel!E10</f>
        <v>38</v>
      </c>
      <c r="C14" s="4">
        <f>WorldSteel!F10</f>
        <v>13</v>
      </c>
      <c r="D14" s="4">
        <f>WorldSteel!G10</f>
        <v>62</v>
      </c>
      <c r="E14" s="4">
        <v>38</v>
      </c>
      <c r="F14" s="4">
        <v>13</v>
      </c>
      <c r="G14" s="4">
        <v>62</v>
      </c>
      <c r="H14" s="3" t="s">
        <v>8</v>
      </c>
      <c r="J14" s="3">
        <f>Kumar_2020!$B$31</f>
        <v>1923.15</v>
      </c>
      <c r="L14" s="3">
        <f>Hajidavalloo_2013!$B$2</f>
        <v>1873.15</v>
      </c>
      <c r="O14">
        <f t="shared" si="0"/>
        <v>0.84756779242388791</v>
      </c>
      <c r="Q14" s="4">
        <f t="shared" si="1"/>
        <v>38</v>
      </c>
      <c r="R14" s="3" t="s">
        <v>8</v>
      </c>
      <c r="S14" s="11">
        <f t="shared" si="2"/>
        <v>0.20789473684210527</v>
      </c>
      <c r="U14" s="4">
        <f>Mernier_1984!D70</f>
        <v>27.133365520000002</v>
      </c>
      <c r="V14" s="33" t="s">
        <v>149</v>
      </c>
      <c r="W14" s="11">
        <f t="shared" si="3"/>
        <v>0.29115444577551247</v>
      </c>
      <c r="Y14" s="56">
        <f t="shared" si="4"/>
        <v>45.827105882352946</v>
      </c>
      <c r="Z14" s="57" t="s">
        <v>191</v>
      </c>
      <c r="AA14" s="11">
        <f t="shared" si="5"/>
        <v>0.17238705887910161</v>
      </c>
      <c r="AC14" s="56">
        <f t="shared" si="6"/>
        <v>42.553741176470588</v>
      </c>
      <c r="AD14" s="57" t="s">
        <v>191</v>
      </c>
      <c r="AE14" s="11">
        <f t="shared" si="7"/>
        <v>0.18564760186980173</v>
      </c>
      <c r="AG14" s="4">
        <f>Mernier_1984!G70</f>
        <v>19.450173352000004</v>
      </c>
      <c r="AH14" s="33" t="s">
        <v>149</v>
      </c>
      <c r="AI14" s="11">
        <f t="shared" si="8"/>
        <v>0.40616604577396564</v>
      </c>
      <c r="AK14" s="4">
        <f>Mernier_1984!C70</f>
        <v>28.594840904000002</v>
      </c>
      <c r="AL14" s="33" t="s">
        <v>149</v>
      </c>
      <c r="AM14" s="11">
        <f t="shared" si="9"/>
        <v>0.27627361266048889</v>
      </c>
      <c r="AW14" s="4">
        <f>Mernier_1984!E70</f>
        <v>23.584065768000002</v>
      </c>
      <c r="AX14" s="33" t="s">
        <v>149</v>
      </c>
      <c r="AY14" s="11">
        <f t="shared" si="10"/>
        <v>0.33497192883167337</v>
      </c>
      <c r="BA14" s="4">
        <f>Mernier_1984!F70</f>
        <v>21.120430336000002</v>
      </c>
      <c r="BB14" s="33" t="s">
        <v>149</v>
      </c>
      <c r="BC14" s="11">
        <f t="shared" si="11"/>
        <v>0.37404540884445736</v>
      </c>
    </row>
    <row r="15" spans="1:55">
      <c r="A15" s="3">
        <v>1971</v>
      </c>
      <c r="B15" s="4"/>
      <c r="C15" s="4"/>
      <c r="D15" s="4"/>
      <c r="E15" s="56">
        <v>37.6</v>
      </c>
      <c r="F15" s="56">
        <v>12.9</v>
      </c>
      <c r="G15" s="56">
        <v>61.6</v>
      </c>
      <c r="H15" s="57" t="s">
        <v>9</v>
      </c>
      <c r="J15" s="3">
        <f>Kumar_2020!$B$31</f>
        <v>1923.15</v>
      </c>
      <c r="L15" s="3">
        <f>Hajidavalloo_2013!$B$2</f>
        <v>1873.15</v>
      </c>
      <c r="O15">
        <f t="shared" si="0"/>
        <v>0.84756779242388791</v>
      </c>
      <c r="Q15" s="56">
        <f t="shared" si="1"/>
        <v>37.6</v>
      </c>
      <c r="R15" s="57" t="s">
        <v>9</v>
      </c>
      <c r="S15" s="11">
        <f t="shared" si="2"/>
        <v>0.21010638297872342</v>
      </c>
      <c r="U15" s="4">
        <f>Mernier_1984!D71</f>
        <v>26.632285496000002</v>
      </c>
      <c r="V15" s="33" t="s">
        <v>149</v>
      </c>
      <c r="W15" s="11">
        <f t="shared" si="3"/>
        <v>0.29663244640369035</v>
      </c>
      <c r="Y15" s="56">
        <f t="shared" si="4"/>
        <v>45.344715294117655</v>
      </c>
      <c r="Z15" s="57" t="s">
        <v>191</v>
      </c>
      <c r="AA15" s="11">
        <f t="shared" si="5"/>
        <v>0.17422096376079416</v>
      </c>
      <c r="AC15" s="56">
        <f t="shared" si="6"/>
        <v>42.10580705882353</v>
      </c>
      <c r="AD15" s="57" t="s">
        <v>191</v>
      </c>
      <c r="AE15" s="11">
        <f t="shared" si="7"/>
        <v>0.18762257635777835</v>
      </c>
      <c r="AG15" s="4">
        <f>Mernier_1984!G71</f>
        <v>19.784223911999998</v>
      </c>
      <c r="AH15" s="33" t="s">
        <v>149</v>
      </c>
      <c r="AI15" s="11">
        <f t="shared" si="8"/>
        <v>0.39930805651710727</v>
      </c>
      <c r="AK15" s="4">
        <f>Mernier_1984!C71</f>
        <v>27.843227144</v>
      </c>
      <c r="AL15" s="33" t="s">
        <v>149</v>
      </c>
      <c r="AM15" s="11">
        <f t="shared" si="9"/>
        <v>0.28373147836429546</v>
      </c>
      <c r="AW15" s="4">
        <f>Mernier_1984!E71</f>
        <v>23.208254704000002</v>
      </c>
      <c r="AX15" s="33" t="s">
        <v>149</v>
      </c>
      <c r="AY15" s="11">
        <f t="shared" si="10"/>
        <v>0.34039612632476046</v>
      </c>
      <c r="BA15" s="4">
        <f>Mernier_1984!F71</f>
        <v>22.289611480000001</v>
      </c>
      <c r="BB15" s="33" t="s">
        <v>149</v>
      </c>
      <c r="BC15" s="11">
        <f t="shared" si="11"/>
        <v>0.35442519969845609</v>
      </c>
    </row>
    <row r="16" spans="1:55">
      <c r="A16" s="3">
        <v>1972</v>
      </c>
      <c r="B16" s="4"/>
      <c r="C16" s="4"/>
      <c r="D16" s="4"/>
      <c r="E16" s="56">
        <v>37.200000000000003</v>
      </c>
      <c r="F16" s="56">
        <v>12.8</v>
      </c>
      <c r="G16" s="56">
        <v>61.2</v>
      </c>
      <c r="H16" s="57" t="s">
        <v>9</v>
      </c>
      <c r="J16" s="3">
        <f>Kumar_2020!$B$31</f>
        <v>1923.15</v>
      </c>
      <c r="L16" s="3">
        <f>Hajidavalloo_2013!$B$2</f>
        <v>1873.15</v>
      </c>
      <c r="O16">
        <f t="shared" si="0"/>
        <v>0.84756779242388791</v>
      </c>
      <c r="Q16" s="56">
        <f t="shared" si="1"/>
        <v>37.200000000000003</v>
      </c>
      <c r="R16" s="57" t="s">
        <v>9</v>
      </c>
      <c r="S16" s="11">
        <f t="shared" si="2"/>
        <v>0.21236559139784947</v>
      </c>
      <c r="U16" s="4">
        <f>Mernier_1984!D72</f>
        <v>26.214722296000001</v>
      </c>
      <c r="V16" s="33" t="s">
        <v>149</v>
      </c>
      <c r="W16" s="11">
        <f t="shared" si="3"/>
        <v>0.3013573789109118</v>
      </c>
      <c r="Y16" s="56">
        <f t="shared" si="4"/>
        <v>44.862324705882358</v>
      </c>
      <c r="Z16" s="57" t="s">
        <v>191</v>
      </c>
      <c r="AA16" s="11">
        <f t="shared" si="5"/>
        <v>0.1760943074571468</v>
      </c>
      <c r="AC16" s="56">
        <f t="shared" si="6"/>
        <v>41.657872941176471</v>
      </c>
      <c r="AD16" s="57" t="s">
        <v>191</v>
      </c>
      <c r="AE16" s="11">
        <f t="shared" si="7"/>
        <v>0.18964002341538888</v>
      </c>
      <c r="AG16" s="4">
        <f>Mernier_1984!G72</f>
        <v>20.076518152000002</v>
      </c>
      <c r="AH16" s="33" t="s">
        <v>149</v>
      </c>
      <c r="AI16" s="11">
        <f t="shared" si="8"/>
        <v>0.39349452630126558</v>
      </c>
      <c r="AK16" s="4">
        <f>Mernier_1984!C72</f>
        <v>27.008096560000002</v>
      </c>
      <c r="AL16" s="33" t="s">
        <v>149</v>
      </c>
      <c r="AM16" s="11">
        <f t="shared" si="9"/>
        <v>0.29250487839636191</v>
      </c>
      <c r="AW16" s="4">
        <f>Mernier_1984!E72</f>
        <v>22.623666224000001</v>
      </c>
      <c r="AX16" s="33" t="s">
        <v>149</v>
      </c>
      <c r="AY16" s="11">
        <f t="shared" si="10"/>
        <v>0.34919185607589082</v>
      </c>
      <c r="BA16" s="4">
        <f>Mernier_1984!F72</f>
        <v>23.291767344</v>
      </c>
      <c r="BB16" s="33" t="s">
        <v>149</v>
      </c>
      <c r="BC16" s="11">
        <f t="shared" si="11"/>
        <v>0.33917563589415872</v>
      </c>
    </row>
    <row r="17" spans="1:55">
      <c r="A17" s="3">
        <v>1973</v>
      </c>
      <c r="B17" s="4"/>
      <c r="C17" s="4"/>
      <c r="D17" s="4"/>
      <c r="E17" s="56">
        <v>36.799999999999997</v>
      </c>
      <c r="F17" s="56">
        <v>12.7</v>
      </c>
      <c r="G17" s="56">
        <v>60.8</v>
      </c>
      <c r="H17" s="57" t="s">
        <v>9</v>
      </c>
      <c r="J17" s="3">
        <f>Kumar_2020!$B$31</f>
        <v>1923.15</v>
      </c>
      <c r="L17" s="3">
        <f>Hajidavalloo_2013!$B$2</f>
        <v>1873.15</v>
      </c>
      <c r="O17">
        <f t="shared" si="0"/>
        <v>0.84756779242388791</v>
      </c>
      <c r="Q17" s="56">
        <f t="shared" si="1"/>
        <v>36.799999999999997</v>
      </c>
      <c r="R17" s="57" t="s">
        <v>9</v>
      </c>
      <c r="S17" s="11">
        <f t="shared" si="2"/>
        <v>0.2146739130434783</v>
      </c>
      <c r="U17" s="4">
        <f>Mernier_1984!D73</f>
        <v>25.838915416000003</v>
      </c>
      <c r="V17" s="33" t="s">
        <v>149</v>
      </c>
      <c r="W17" s="11">
        <f t="shared" si="3"/>
        <v>0.30574038704070966</v>
      </c>
      <c r="Y17" s="56">
        <f t="shared" si="4"/>
        <v>44.379934117647061</v>
      </c>
      <c r="Z17" s="57" t="s">
        <v>191</v>
      </c>
      <c r="AA17" s="11">
        <f t="shared" si="5"/>
        <v>0.1780083760164636</v>
      </c>
      <c r="AC17" s="56">
        <f t="shared" si="6"/>
        <v>41.209938823529406</v>
      </c>
      <c r="AD17" s="57" t="s">
        <v>191</v>
      </c>
      <c r="AE17" s="11">
        <f t="shared" si="7"/>
        <v>0.19170132801773007</v>
      </c>
      <c r="AG17" s="4">
        <f>Mernier_1984!G73</f>
        <v>20.327056072000001</v>
      </c>
      <c r="AH17" s="33" t="s">
        <v>149</v>
      </c>
      <c r="AI17" s="11">
        <f t="shared" si="8"/>
        <v>0.38864457164960781</v>
      </c>
      <c r="AK17" s="4">
        <f>Mernier_1984!C73</f>
        <v>26.172965976</v>
      </c>
      <c r="AL17" s="33" t="s">
        <v>149</v>
      </c>
      <c r="AM17" s="11">
        <f t="shared" si="9"/>
        <v>0.30183816412874703</v>
      </c>
      <c r="AW17" s="4">
        <f>Mernier_1984!E73</f>
        <v>22.373124120000004</v>
      </c>
      <c r="AX17" s="33" t="s">
        <v>149</v>
      </c>
      <c r="AY17" s="11">
        <f t="shared" si="10"/>
        <v>0.3531022291579724</v>
      </c>
      <c r="BA17" s="4">
        <f>Mernier_1984!F73</f>
        <v>24.210410568</v>
      </c>
      <c r="BB17" s="33" t="s">
        <v>149</v>
      </c>
      <c r="BC17" s="11">
        <f t="shared" si="11"/>
        <v>0.32630590785774566</v>
      </c>
    </row>
    <row r="18" spans="1:55">
      <c r="A18" s="3">
        <v>1974</v>
      </c>
      <c r="B18" s="4"/>
      <c r="C18" s="4"/>
      <c r="D18" s="4"/>
      <c r="E18" s="56">
        <v>36.4</v>
      </c>
      <c r="F18" s="56">
        <v>12.6</v>
      </c>
      <c r="G18" s="56">
        <v>60.4</v>
      </c>
      <c r="H18" s="57" t="s">
        <v>9</v>
      </c>
      <c r="J18" s="3">
        <f>Kumar_2020!$B$31</f>
        <v>1923.15</v>
      </c>
      <c r="L18" s="3">
        <f>Hajidavalloo_2013!$B$2</f>
        <v>1873.15</v>
      </c>
      <c r="O18">
        <f t="shared" si="0"/>
        <v>0.84756779242388791</v>
      </c>
      <c r="Q18" s="56">
        <f t="shared" si="1"/>
        <v>36.4</v>
      </c>
      <c r="R18" s="57" t="s">
        <v>9</v>
      </c>
      <c r="S18" s="11">
        <f t="shared" si="2"/>
        <v>0.21703296703296704</v>
      </c>
      <c r="U18" s="4">
        <f>Mernier_1984!D74</f>
        <v>26.089453336000002</v>
      </c>
      <c r="V18" s="33" t="s">
        <v>149</v>
      </c>
      <c r="W18" s="11">
        <f t="shared" si="3"/>
        <v>0.30280435156144275</v>
      </c>
      <c r="Y18" s="56">
        <f t="shared" si="4"/>
        <v>43.89754352941177</v>
      </c>
      <c r="Z18" s="57" t="s">
        <v>191</v>
      </c>
      <c r="AA18" s="11">
        <f t="shared" si="5"/>
        <v>0.17996451201664451</v>
      </c>
      <c r="AC18" s="56">
        <f t="shared" si="6"/>
        <v>40.762004705882347</v>
      </c>
      <c r="AD18" s="57" t="s">
        <v>191</v>
      </c>
      <c r="AE18" s="11">
        <f t="shared" si="7"/>
        <v>0.19380793601792493</v>
      </c>
      <c r="AG18" s="4">
        <f>Mernier_1984!G74</f>
        <v>20.744623455999999</v>
      </c>
      <c r="AH18" s="33" t="s">
        <v>149</v>
      </c>
      <c r="AI18" s="11">
        <f t="shared" si="8"/>
        <v>0.38082156645340659</v>
      </c>
      <c r="AK18" s="4">
        <f>Mernier_1984!C74</f>
        <v>26.172965976</v>
      </c>
      <c r="AL18" s="33" t="s">
        <v>149</v>
      </c>
      <c r="AM18" s="11">
        <f t="shared" si="9"/>
        <v>0.30183816412874703</v>
      </c>
      <c r="AW18" s="4">
        <f>Mernier_1984!E74</f>
        <v>22.790691504000002</v>
      </c>
      <c r="AX18" s="33" t="s">
        <v>149</v>
      </c>
      <c r="AY18" s="11">
        <f t="shared" si="10"/>
        <v>0.34663274690956475</v>
      </c>
      <c r="BA18" s="4">
        <f>Mernier_1984!F74</f>
        <v>24.460948488</v>
      </c>
      <c r="BB18" s="33" t="s">
        <v>149</v>
      </c>
      <c r="BC18" s="11">
        <f t="shared" si="11"/>
        <v>0.3229637642168931</v>
      </c>
    </row>
    <row r="19" spans="1:55">
      <c r="A19" s="3">
        <v>1975</v>
      </c>
      <c r="B19" s="4">
        <f>WorldSteel!E11</f>
        <v>36</v>
      </c>
      <c r="C19" s="4">
        <f>WorldSteel!F11</f>
        <v>12.5</v>
      </c>
      <c r="D19" s="4">
        <f>WorldSteel!G11</f>
        <v>60</v>
      </c>
      <c r="E19" s="4">
        <v>36</v>
      </c>
      <c r="F19" s="4">
        <v>12.5</v>
      </c>
      <c r="G19" s="4">
        <v>60</v>
      </c>
      <c r="H19" s="3" t="s">
        <v>8</v>
      </c>
      <c r="J19" s="3">
        <f>Kumar_2020!$B$31</f>
        <v>1923.15</v>
      </c>
      <c r="L19" s="3">
        <f>Hajidavalloo_2013!$B$2</f>
        <v>1873.15</v>
      </c>
      <c r="O19">
        <f t="shared" si="0"/>
        <v>0.84756779242388791</v>
      </c>
      <c r="Q19" s="4">
        <f t="shared" si="1"/>
        <v>36</v>
      </c>
      <c r="R19" s="3" t="s">
        <v>8</v>
      </c>
      <c r="S19" s="11">
        <f t="shared" si="2"/>
        <v>0.21944444444444444</v>
      </c>
      <c r="U19" s="4">
        <f>Mernier_1984!D75</f>
        <v>26.381747576000002</v>
      </c>
      <c r="V19" s="33" t="s">
        <v>149</v>
      </c>
      <c r="W19" s="11">
        <f t="shared" si="3"/>
        <v>0.29944945751762048</v>
      </c>
      <c r="Y19" s="56">
        <f t="shared" si="4"/>
        <v>43.415152941176473</v>
      </c>
      <c r="Z19" s="57" t="s">
        <v>191</v>
      </c>
      <c r="AA19" s="11">
        <f t="shared" si="5"/>
        <v>0.18196411770571835</v>
      </c>
      <c r="AC19" s="56">
        <f t="shared" si="6"/>
        <v>40.314070588235296</v>
      </c>
      <c r="AD19" s="57" t="s">
        <v>191</v>
      </c>
      <c r="AE19" s="11">
        <f t="shared" si="7"/>
        <v>0.19596135752923516</v>
      </c>
      <c r="AG19" s="4">
        <f>Mernier_1984!G75</f>
        <v>21.036917696000003</v>
      </c>
      <c r="AH19" s="33" t="s">
        <v>149</v>
      </c>
      <c r="AI19" s="11">
        <f t="shared" si="8"/>
        <v>0.37553029936044863</v>
      </c>
      <c r="AK19" s="4">
        <f>Mernier_1984!C75</f>
        <v>26.214722296000001</v>
      </c>
      <c r="AL19" s="33" t="s">
        <v>149</v>
      </c>
      <c r="AM19" s="11">
        <f t="shared" si="9"/>
        <v>0.3013573789109118</v>
      </c>
      <c r="AW19" s="4">
        <f>Mernier_1984!E75</f>
        <v>23.082985744000002</v>
      </c>
      <c r="AX19" s="33" t="s">
        <v>149</v>
      </c>
      <c r="AY19" s="11">
        <f t="shared" si="10"/>
        <v>0.34224342065685587</v>
      </c>
      <c r="BA19" s="4">
        <f>Mernier_1984!F75</f>
        <v>24.669734271999999</v>
      </c>
      <c r="BB19" s="33" t="s">
        <v>149</v>
      </c>
      <c r="BC19" s="11">
        <f t="shared" si="11"/>
        <v>0.32023044565042003</v>
      </c>
    </row>
    <row r="20" spans="1:55">
      <c r="A20" s="3">
        <v>1976</v>
      </c>
      <c r="B20" s="4"/>
      <c r="C20" s="4"/>
      <c r="D20" s="4"/>
      <c r="E20" s="56">
        <v>35.6</v>
      </c>
      <c r="F20" s="56">
        <v>12.5</v>
      </c>
      <c r="G20" s="56">
        <v>59.6</v>
      </c>
      <c r="H20" s="57" t="s">
        <v>9</v>
      </c>
      <c r="J20" s="3">
        <f>Kumar_2020!$B$31</f>
        <v>1923.15</v>
      </c>
      <c r="L20" s="3">
        <f>Hajidavalloo_2013!$B$2</f>
        <v>1873.15</v>
      </c>
      <c r="O20">
        <f t="shared" si="0"/>
        <v>0.84756779242388791</v>
      </c>
      <c r="Q20" s="56">
        <f t="shared" si="1"/>
        <v>35.6</v>
      </c>
      <c r="R20" s="57" t="s">
        <v>9</v>
      </c>
      <c r="S20" s="11">
        <f t="shared" si="2"/>
        <v>0.22191011235955058</v>
      </c>
      <c r="U20" s="4">
        <f>Mernier_1984!D76</f>
        <v>26.339991256000001</v>
      </c>
      <c r="V20" s="33" t="s">
        <v>149</v>
      </c>
      <c r="W20" s="11">
        <f t="shared" si="3"/>
        <v>0.29992416942053673</v>
      </c>
      <c r="Y20" s="56">
        <f t="shared" si="4"/>
        <v>42.932762352941182</v>
      </c>
      <c r="Z20" s="57" t="s">
        <v>191</v>
      </c>
      <c r="AA20" s="11">
        <f t="shared" si="5"/>
        <v>0.18400865835409722</v>
      </c>
      <c r="AC20" s="56">
        <f t="shared" si="6"/>
        <v>39.866136470588238</v>
      </c>
      <c r="AD20" s="57" t="s">
        <v>191</v>
      </c>
      <c r="AE20" s="11">
        <f t="shared" si="7"/>
        <v>0.19816317053518162</v>
      </c>
      <c r="AG20" s="4">
        <f>Mernier_1984!G76</f>
        <v>21.245699296000002</v>
      </c>
      <c r="AH20" s="33" t="s">
        <v>149</v>
      </c>
      <c r="AI20" s="11">
        <f t="shared" si="8"/>
        <v>0.37183996111096984</v>
      </c>
      <c r="AK20" s="4">
        <f>Mernier_1984!C76</f>
        <v>26.465260216000001</v>
      </c>
      <c r="AL20" s="33" t="s">
        <v>149</v>
      </c>
      <c r="AM20" s="11">
        <f t="shared" si="9"/>
        <v>0.29850452765334717</v>
      </c>
      <c r="AW20" s="4">
        <f>Mernier_1984!E76</f>
        <v>23.333523663999998</v>
      </c>
      <c r="AX20" s="33" t="s">
        <v>149</v>
      </c>
      <c r="AY20" s="11">
        <f t="shared" si="10"/>
        <v>0.33856866685713966</v>
      </c>
      <c r="BA20" s="4">
        <f>Mernier_1984!F76</f>
        <v>25.003784832000001</v>
      </c>
      <c r="BB20" s="33" t="s">
        <v>149</v>
      </c>
      <c r="BC20" s="11">
        <f t="shared" si="11"/>
        <v>0.31595216696512002</v>
      </c>
    </row>
    <row r="21" spans="1:55">
      <c r="A21" s="3">
        <v>1977</v>
      </c>
      <c r="B21" s="4"/>
      <c r="C21" s="4"/>
      <c r="D21" s="4"/>
      <c r="E21" s="56">
        <v>35.200000000000003</v>
      </c>
      <c r="F21" s="56">
        <v>12.5</v>
      </c>
      <c r="G21" s="56">
        <v>59.2</v>
      </c>
      <c r="H21" s="57" t="s">
        <v>9</v>
      </c>
      <c r="J21" s="3">
        <f>Kumar_2020!$B$31</f>
        <v>1923.15</v>
      </c>
      <c r="L21" s="3">
        <f>Hajidavalloo_2013!$B$2</f>
        <v>1873.15</v>
      </c>
      <c r="O21">
        <f t="shared" si="0"/>
        <v>0.84756779242388791</v>
      </c>
      <c r="Q21" s="56">
        <f t="shared" si="1"/>
        <v>35.200000000000003</v>
      </c>
      <c r="R21" s="57" t="s">
        <v>9</v>
      </c>
      <c r="S21" s="11">
        <f t="shared" si="2"/>
        <v>0.22443181818181818</v>
      </c>
      <c r="U21" s="4">
        <f>Mernier_1984!D77</f>
        <v>25.713646455999999</v>
      </c>
      <c r="V21" s="33" t="s">
        <v>149</v>
      </c>
      <c r="W21" s="11">
        <f t="shared" si="3"/>
        <v>0.30722985997019575</v>
      </c>
      <c r="Y21" s="56">
        <f t="shared" si="4"/>
        <v>42.450371764705892</v>
      </c>
      <c r="Z21" s="57" t="s">
        <v>191</v>
      </c>
      <c r="AA21" s="11">
        <f t="shared" si="5"/>
        <v>0.18609966583539375</v>
      </c>
      <c r="AC21" s="56">
        <f t="shared" si="6"/>
        <v>39.418202352941179</v>
      </c>
      <c r="AD21" s="57" t="s">
        <v>191</v>
      </c>
      <c r="AE21" s="11">
        <f t="shared" si="7"/>
        <v>0.20041502474580869</v>
      </c>
      <c r="AG21" s="4">
        <f>Mernier_1984!G77</f>
        <v>20.744623455999999</v>
      </c>
      <c r="AH21" s="33" t="s">
        <v>149</v>
      </c>
      <c r="AI21" s="11">
        <f t="shared" si="8"/>
        <v>0.38082156645340659</v>
      </c>
      <c r="AK21" s="4">
        <f>Mernier_1984!C77</f>
        <v>25.588373312000002</v>
      </c>
      <c r="AL21" s="33" t="s">
        <v>149</v>
      </c>
      <c r="AM21" s="11">
        <f t="shared" si="9"/>
        <v>0.30873396693392746</v>
      </c>
      <c r="AW21" s="4">
        <f>Mernier_1984!E77</f>
        <v>22.790691504000002</v>
      </c>
      <c r="AX21" s="33" t="s">
        <v>149</v>
      </c>
      <c r="AY21" s="11">
        <f t="shared" si="10"/>
        <v>0.34663274690956475</v>
      </c>
      <c r="BA21" s="4">
        <f>Mernier_1984!F77</f>
        <v>24.544461128000002</v>
      </c>
      <c r="BB21" s="33" t="s">
        <v>149</v>
      </c>
      <c r="BC21" s="11">
        <f t="shared" si="11"/>
        <v>0.32186487854841445</v>
      </c>
    </row>
    <row r="22" spans="1:55">
      <c r="A22" s="3">
        <v>1978</v>
      </c>
      <c r="B22" s="4"/>
      <c r="C22" s="4"/>
      <c r="D22" s="4"/>
      <c r="E22" s="56">
        <v>34.799999999999997</v>
      </c>
      <c r="F22" s="56">
        <v>12.5</v>
      </c>
      <c r="G22" s="56">
        <v>58.8</v>
      </c>
      <c r="H22" s="57" t="s">
        <v>9</v>
      </c>
      <c r="J22" s="3">
        <f>Kumar_2020!$B$31</f>
        <v>1923.15</v>
      </c>
      <c r="L22" s="3">
        <f>Hajidavalloo_2013!$B$2</f>
        <v>1873.15</v>
      </c>
      <c r="O22">
        <f t="shared" si="0"/>
        <v>0.84756779242388791</v>
      </c>
      <c r="Q22" s="56">
        <f t="shared" si="1"/>
        <v>34.799999999999997</v>
      </c>
      <c r="R22" s="57" t="s">
        <v>9</v>
      </c>
      <c r="S22" s="11">
        <f t="shared" si="2"/>
        <v>0.22701149425287359</v>
      </c>
      <c r="U22" s="4">
        <f>Mernier_1984!D78</f>
        <v>24.920272191999999</v>
      </c>
      <c r="V22" s="33" t="s">
        <v>149</v>
      </c>
      <c r="W22" s="11">
        <f t="shared" si="3"/>
        <v>0.3170109836334809</v>
      </c>
      <c r="Y22" s="56">
        <f t="shared" si="4"/>
        <v>41.967981176470587</v>
      </c>
      <c r="Z22" s="57" t="s">
        <v>191</v>
      </c>
      <c r="AA22" s="11">
        <f t="shared" si="5"/>
        <v>0.18823874245419142</v>
      </c>
      <c r="AC22" s="56">
        <f t="shared" si="6"/>
        <v>38.970268235294114</v>
      </c>
      <c r="AD22" s="57" t="s">
        <v>191</v>
      </c>
      <c r="AE22" s="11">
        <f t="shared" si="7"/>
        <v>0.20271864571989848</v>
      </c>
      <c r="AG22" s="4">
        <f>Mernier_1984!G78</f>
        <v>20.076518152000002</v>
      </c>
      <c r="AH22" s="33" t="s">
        <v>149</v>
      </c>
      <c r="AI22" s="11">
        <f t="shared" si="8"/>
        <v>0.39349452630126558</v>
      </c>
      <c r="AK22" s="4">
        <f>Mernier_1984!C78</f>
        <v>24.795003232000003</v>
      </c>
      <c r="AL22" s="33" t="s">
        <v>149</v>
      </c>
      <c r="AM22" s="11">
        <f t="shared" si="9"/>
        <v>0.31861258198201792</v>
      </c>
      <c r="AW22" s="4">
        <f>Mernier_1984!E78</f>
        <v>22.707178863999999</v>
      </c>
      <c r="AX22" s="33" t="s">
        <v>149</v>
      </c>
      <c r="AY22" s="11">
        <f t="shared" si="10"/>
        <v>0.3479075955368755</v>
      </c>
      <c r="BA22" s="4">
        <f>Mernier_1984!F78</f>
        <v>24.377435848000001</v>
      </c>
      <c r="BB22" s="33" t="s">
        <v>149</v>
      </c>
      <c r="BC22" s="11">
        <f t="shared" si="11"/>
        <v>0.32407017904830793</v>
      </c>
    </row>
    <row r="23" spans="1:55">
      <c r="A23" s="3">
        <v>1979</v>
      </c>
      <c r="B23" s="4"/>
      <c r="C23" s="4"/>
      <c r="D23" s="4"/>
      <c r="E23" s="56">
        <v>34.4</v>
      </c>
      <c r="F23" s="56">
        <v>12.5</v>
      </c>
      <c r="G23" s="56">
        <v>58.4</v>
      </c>
      <c r="H23" s="57" t="s">
        <v>9</v>
      </c>
      <c r="J23" s="3">
        <f>Kumar_2020!$B$31</f>
        <v>1923.15</v>
      </c>
      <c r="L23" s="3">
        <f>Hajidavalloo_2013!$B$2</f>
        <v>1873.15</v>
      </c>
      <c r="O23">
        <f t="shared" si="0"/>
        <v>0.84756779242388791</v>
      </c>
      <c r="Q23" s="56">
        <f t="shared" si="1"/>
        <v>34.4</v>
      </c>
      <c r="R23" s="57" t="s">
        <v>9</v>
      </c>
      <c r="S23" s="11">
        <f t="shared" si="2"/>
        <v>0.22965116279069769</v>
      </c>
      <c r="U23" s="4">
        <f>Mernier_1984!D79</f>
        <v>24.293923207999999</v>
      </c>
      <c r="V23" s="33" t="s">
        <v>149</v>
      </c>
      <c r="W23" s="11">
        <f t="shared" si="3"/>
        <v>0.32518420068927062</v>
      </c>
      <c r="Y23" s="56">
        <f>$Q23*(Y$24/$Q$24)</f>
        <v>41.485590588235297</v>
      </c>
      <c r="Z23" s="57" t="s">
        <v>191</v>
      </c>
      <c r="AA23" s="11">
        <f t="shared" si="5"/>
        <v>0.19042756504086805</v>
      </c>
      <c r="AC23" s="56">
        <f>$Q23*(AC$24/$Q$24)</f>
        <v>38.522334117647056</v>
      </c>
      <c r="AD23" s="57" t="s">
        <v>191</v>
      </c>
      <c r="AE23" s="11">
        <f t="shared" si="7"/>
        <v>0.20507583927478101</v>
      </c>
      <c r="AG23" s="4">
        <f>Mernier_1984!G79</f>
        <v>19.533685991999999</v>
      </c>
      <c r="AH23" s="33" t="s">
        <v>149</v>
      </c>
      <c r="AI23" s="11">
        <f t="shared" si="8"/>
        <v>0.40442955841695405</v>
      </c>
      <c r="AK23" s="4">
        <f>Mernier_1984!C79</f>
        <v>24.795003232000003</v>
      </c>
      <c r="AL23" s="33" t="s">
        <v>149</v>
      </c>
      <c r="AM23" s="11">
        <f t="shared" si="9"/>
        <v>0.31861258198201792</v>
      </c>
      <c r="AW23" s="4">
        <f>Mernier_1984!E79</f>
        <v>22.206098840000003</v>
      </c>
      <c r="AX23" s="33" t="s">
        <v>149</v>
      </c>
      <c r="AY23" s="11">
        <f t="shared" si="10"/>
        <v>0.35575812108742283</v>
      </c>
      <c r="BA23" s="4">
        <f>Mernier_1984!F79</f>
        <v>24.085141608000001</v>
      </c>
      <c r="BB23" s="33" t="s">
        <v>149</v>
      </c>
      <c r="BC23" s="11">
        <f t="shared" si="11"/>
        <v>0.3280030538569047</v>
      </c>
    </row>
    <row r="24" spans="1:55" s="23" customFormat="1">
      <c r="A24" s="33">
        <v>1980</v>
      </c>
      <c r="B24" s="58">
        <f>WorldSteel!E12</f>
        <v>34</v>
      </c>
      <c r="C24" s="58">
        <f>WorldSteel!F12</f>
        <v>12.5</v>
      </c>
      <c r="D24" s="58">
        <f>WorldSteel!G12</f>
        <v>58</v>
      </c>
      <c r="E24" s="58">
        <v>34</v>
      </c>
      <c r="F24" s="58">
        <v>12.5</v>
      </c>
      <c r="G24" s="58">
        <v>58</v>
      </c>
      <c r="H24" s="33" t="s">
        <v>8</v>
      </c>
      <c r="I24" s="33"/>
      <c r="J24" s="33">
        <f>Kumar_2020!$B$31</f>
        <v>1923.15</v>
      </c>
      <c r="K24" s="33"/>
      <c r="L24" s="33">
        <f>Hajidavalloo_2013!$B$2</f>
        <v>1873.15</v>
      </c>
      <c r="M24" s="33"/>
      <c r="N24" s="33"/>
      <c r="O24" s="23">
        <f t="shared" si="0"/>
        <v>0.84756779242388791</v>
      </c>
      <c r="P24" s="33"/>
      <c r="Q24" s="58">
        <f t="shared" si="1"/>
        <v>34</v>
      </c>
      <c r="R24" s="33" t="s">
        <v>8</v>
      </c>
      <c r="S24" s="11">
        <f t="shared" si="2"/>
        <v>0.2323529411764706</v>
      </c>
      <c r="U24" s="4">
        <f>Mernier_1984!D80</f>
        <v>23.291767344</v>
      </c>
      <c r="V24" s="33" t="s">
        <v>149</v>
      </c>
      <c r="W24" s="11">
        <f t="shared" si="3"/>
        <v>0.33917563589415872</v>
      </c>
      <c r="Y24" s="58">
        <f>Mernier_1984!D16</f>
        <v>41.003200000000007</v>
      </c>
      <c r="Z24" s="33" t="s">
        <v>149</v>
      </c>
      <c r="AA24" s="11">
        <f t="shared" si="5"/>
        <v>0.19266788933546647</v>
      </c>
      <c r="AC24" s="58">
        <f>Mernier_1984!D13</f>
        <v>38.074399999999997</v>
      </c>
      <c r="AD24" s="33" t="s">
        <v>149</v>
      </c>
      <c r="AE24" s="11">
        <f t="shared" si="7"/>
        <v>0.20748849620742549</v>
      </c>
      <c r="AG24" s="4">
        <f>Mernier_1984!G80</f>
        <v>19.032605968000002</v>
      </c>
      <c r="AH24" s="33" t="s">
        <v>149</v>
      </c>
      <c r="AI24" s="11">
        <f t="shared" si="8"/>
        <v>0.41507715828733432</v>
      </c>
      <c r="AK24" s="4">
        <f>Mernier_1984!C80</f>
        <v>24.126897927999998</v>
      </c>
      <c r="AL24" s="33" t="s">
        <v>149</v>
      </c>
      <c r="AM24" s="11">
        <f t="shared" si="9"/>
        <v>0.32743538036159264</v>
      </c>
      <c r="AO24" s="58">
        <f>Mernier_1984!D11</f>
        <v>18.409600000000001</v>
      </c>
      <c r="AP24" s="33" t="s">
        <v>149</v>
      </c>
      <c r="AS24" s="33">
        <f>Mernier_1984!D20</f>
        <v>31.380000000000003</v>
      </c>
      <c r="AT24" s="33" t="s">
        <v>149</v>
      </c>
      <c r="AW24" s="4">
        <f>Mernier_1984!E80</f>
        <v>21.913804599999999</v>
      </c>
      <c r="AX24" s="33" t="s">
        <v>149</v>
      </c>
      <c r="AY24" s="11">
        <f t="shared" si="10"/>
        <v>0.36050335138974454</v>
      </c>
      <c r="BA24" s="4">
        <f>Mernier_1984!F80</f>
        <v>23.834603688000001</v>
      </c>
      <c r="BB24" s="33" t="s">
        <v>149</v>
      </c>
      <c r="BC24" s="11">
        <f t="shared" si="11"/>
        <v>0.33145086460898071</v>
      </c>
    </row>
    <row r="25" spans="1:55">
      <c r="A25" s="3">
        <v>1981</v>
      </c>
      <c r="B25" s="4"/>
      <c r="C25" s="4"/>
      <c r="D25" s="4"/>
      <c r="E25" s="56">
        <v>33.6</v>
      </c>
      <c r="F25" s="56">
        <v>12.4</v>
      </c>
      <c r="G25" s="56">
        <v>57.6</v>
      </c>
      <c r="H25" s="57" t="s">
        <v>9</v>
      </c>
      <c r="J25" s="3">
        <f>Kumar_2020!$B$31</f>
        <v>1923.15</v>
      </c>
      <c r="L25" s="3">
        <f>Hajidavalloo_2013!$B$2</f>
        <v>1873.15</v>
      </c>
      <c r="O25">
        <f t="shared" si="0"/>
        <v>0.84756779242388791</v>
      </c>
      <c r="Q25" s="56">
        <f t="shared" si="1"/>
        <v>33.6</v>
      </c>
      <c r="R25" s="57" t="s">
        <v>9</v>
      </c>
      <c r="S25" s="11">
        <f t="shared" si="2"/>
        <v>0.23511904761904762</v>
      </c>
      <c r="U25" s="56">
        <f>U24+((U$54-U$24)/(A$54-A$24))</f>
        <v>22.969708432533334</v>
      </c>
      <c r="V25" s="57" t="s">
        <v>9</v>
      </c>
      <c r="W25" s="11">
        <f t="shared" si="3"/>
        <v>0.34393122678086635</v>
      </c>
      <c r="Y25" s="56">
        <f>Y24+((Y$29-Y$24)/($A$29-$A$24))</f>
        <v>40.742560000000005</v>
      </c>
      <c r="Z25" s="57" t="s">
        <v>9</v>
      </c>
      <c r="AA25" s="11">
        <f t="shared" si="5"/>
        <v>0.19390043237341983</v>
      </c>
      <c r="AC25" s="56">
        <f>AC24+((AC$29-AC$24)/($A$29-$A$24))</f>
        <v>36.709519999999998</v>
      </c>
      <c r="AD25" s="57" t="s">
        <v>9</v>
      </c>
      <c r="AE25" s="11">
        <f t="shared" si="7"/>
        <v>0.21520303180210476</v>
      </c>
      <c r="AG25" s="56"/>
      <c r="AH25" s="57" t="s">
        <v>191</v>
      </c>
      <c r="AI25" s="151">
        <f>S25*(AI$24/S$24)</f>
        <v>0.42001855302885022</v>
      </c>
      <c r="AK25" s="56"/>
      <c r="AL25" s="57" t="s">
        <v>191</v>
      </c>
      <c r="AM25" s="151">
        <f>S25*(AM$24/S$24)</f>
        <v>0.33133342060399257</v>
      </c>
      <c r="AW25" s="56"/>
      <c r="AX25" s="57" t="s">
        <v>191</v>
      </c>
      <c r="AY25" s="151">
        <f>S25*(AY$24/S$24)</f>
        <v>0.36479505795390815</v>
      </c>
      <c r="BA25" s="56"/>
      <c r="BB25" s="57" t="s">
        <v>191</v>
      </c>
      <c r="BC25" s="151">
        <f>S25*(BC$24/S$24)</f>
        <v>0.33539670823527806</v>
      </c>
    </row>
    <row r="26" spans="1:55">
      <c r="A26" s="3">
        <v>1982</v>
      </c>
      <c r="B26" s="4"/>
      <c r="C26" s="4"/>
      <c r="D26" s="4"/>
      <c r="E26" s="56">
        <v>33.200000000000003</v>
      </c>
      <c r="F26" s="56">
        <v>12.3</v>
      </c>
      <c r="G26" s="56">
        <v>57.2</v>
      </c>
      <c r="H26" s="57" t="s">
        <v>9</v>
      </c>
      <c r="J26" s="3">
        <f>Kumar_2020!$B$31</f>
        <v>1923.15</v>
      </c>
      <c r="L26" s="3">
        <f>Hajidavalloo_2013!$B$2</f>
        <v>1873.15</v>
      </c>
      <c r="O26">
        <f t="shared" si="0"/>
        <v>0.84756779242388791</v>
      </c>
      <c r="Q26" s="56">
        <f t="shared" si="1"/>
        <v>33.200000000000003</v>
      </c>
      <c r="R26" s="57" t="s">
        <v>9</v>
      </c>
      <c r="S26" s="11">
        <f t="shared" si="2"/>
        <v>0.23795180722891565</v>
      </c>
      <c r="U26" s="56">
        <f t="shared" ref="U26:U53" si="12">U25+((U$54-U$24)/(A$54-A$24))</f>
        <v>22.647649521066668</v>
      </c>
      <c r="V26" s="57" t="s">
        <v>9</v>
      </c>
      <c r="W26" s="11">
        <f t="shared" ref="W26:W53" si="13">BF_BOF_min/U26</f>
        <v>0.3488220705928658</v>
      </c>
      <c r="Y26" s="56">
        <f t="shared" ref="Y26:Y28" si="14">Y25+((Y$29-Y$24)/($A$29-$A$24))</f>
        <v>40.481920000000002</v>
      </c>
      <c r="Z26" s="57" t="s">
        <v>9</v>
      </c>
      <c r="AA26" s="11">
        <f t="shared" si="5"/>
        <v>0.19514884669501842</v>
      </c>
      <c r="AC26" s="56">
        <f t="shared" ref="AC26:AC28" si="15">AC25+((AC$29-AC$24)/($A$29-$A$24))</f>
        <v>35.344639999999998</v>
      </c>
      <c r="AD26" s="57" t="s">
        <v>9</v>
      </c>
      <c r="AE26" s="11">
        <f t="shared" si="7"/>
        <v>0.22351338137833632</v>
      </c>
      <c r="AG26" s="56"/>
      <c r="AH26" s="57" t="s">
        <v>191</v>
      </c>
      <c r="AI26" s="151">
        <f t="shared" ref="AI26:AI64" si="16">S26*(AI$24/S$24)</f>
        <v>0.42507901752317367</v>
      </c>
      <c r="AK26" s="56"/>
      <c r="AL26" s="57" t="s">
        <v>191</v>
      </c>
      <c r="AM26" s="151">
        <f t="shared" ref="AM26:AM64" si="17">S26*(AM$24/S$24)</f>
        <v>0.33532538952693219</v>
      </c>
      <c r="AW26" s="56"/>
      <c r="AX26" s="57" t="s">
        <v>191</v>
      </c>
      <c r="AY26" s="151">
        <f t="shared" ref="AY26:AY64" si="18">S26*(AY$24/S$24)</f>
        <v>0.3691901791340757</v>
      </c>
      <c r="BA26" s="56"/>
      <c r="BB26" s="57" t="s">
        <v>191</v>
      </c>
      <c r="BC26" s="151">
        <f t="shared" ref="BC26:BC64" si="19">S26*(BC$24/S$24)</f>
        <v>0.33943763243088382</v>
      </c>
    </row>
    <row r="27" spans="1:55">
      <c r="A27" s="3">
        <v>1983</v>
      </c>
      <c r="B27" s="4"/>
      <c r="C27" s="4"/>
      <c r="D27" s="4"/>
      <c r="E27" s="56">
        <v>32.799999999999997</v>
      </c>
      <c r="F27" s="56">
        <v>12.2</v>
      </c>
      <c r="G27" s="56">
        <v>56.8</v>
      </c>
      <c r="H27" s="57" t="s">
        <v>9</v>
      </c>
      <c r="J27" s="3">
        <f>Kumar_2020!$B$31</f>
        <v>1923.15</v>
      </c>
      <c r="L27" s="3">
        <f>Hajidavalloo_2013!$B$2</f>
        <v>1873.15</v>
      </c>
      <c r="O27">
        <f t="shared" si="0"/>
        <v>0.84756779242388791</v>
      </c>
      <c r="Q27" s="56">
        <f t="shared" si="1"/>
        <v>32.799999999999997</v>
      </c>
      <c r="R27" s="57" t="s">
        <v>9</v>
      </c>
      <c r="S27" s="11">
        <f t="shared" si="2"/>
        <v>0.24085365853658539</v>
      </c>
      <c r="U27" s="56">
        <f t="shared" si="12"/>
        <v>22.325590609600003</v>
      </c>
      <c r="V27" s="57" t="s">
        <v>9</v>
      </c>
      <c r="W27" s="11">
        <f t="shared" si="13"/>
        <v>0.35385402062344551</v>
      </c>
      <c r="Y27" s="56">
        <f t="shared" si="14"/>
        <v>40.22128</v>
      </c>
      <c r="Z27" s="57" t="s">
        <v>9</v>
      </c>
      <c r="AA27" s="11">
        <f t="shared" si="5"/>
        <v>0.19641344084524412</v>
      </c>
      <c r="AC27" s="56">
        <f t="shared" si="15"/>
        <v>33.979759999999999</v>
      </c>
      <c r="AD27" s="57" t="s">
        <v>9</v>
      </c>
      <c r="AE27" s="11">
        <f t="shared" si="7"/>
        <v>0.23249134190471035</v>
      </c>
      <c r="AG27" s="56"/>
      <c r="AH27" s="57" t="s">
        <v>191</v>
      </c>
      <c r="AI27" s="151">
        <f t="shared" si="16"/>
        <v>0.43026290798077343</v>
      </c>
      <c r="AK27" s="56"/>
      <c r="AL27" s="57" t="s">
        <v>191</v>
      </c>
      <c r="AM27" s="151">
        <f t="shared" si="17"/>
        <v>0.33941472354555341</v>
      </c>
      <c r="AW27" s="56"/>
      <c r="AX27" s="57" t="s">
        <v>191</v>
      </c>
      <c r="AY27" s="151">
        <f t="shared" si="18"/>
        <v>0.37369249839180835</v>
      </c>
      <c r="BA27" s="56"/>
      <c r="BB27" s="57" t="s">
        <v>191</v>
      </c>
      <c r="BC27" s="151">
        <f t="shared" si="19"/>
        <v>0.3435771157532117</v>
      </c>
    </row>
    <row r="28" spans="1:55">
      <c r="A28" s="3">
        <v>1984</v>
      </c>
      <c r="B28" s="4"/>
      <c r="C28" s="4"/>
      <c r="D28" s="4"/>
      <c r="E28" s="56">
        <v>32.4</v>
      </c>
      <c r="F28" s="56">
        <v>12.1</v>
      </c>
      <c r="G28" s="56">
        <v>56.4</v>
      </c>
      <c r="H28" s="57" t="s">
        <v>9</v>
      </c>
      <c r="J28" s="3">
        <f>Kumar_2020!$B$31</f>
        <v>1923.15</v>
      </c>
      <c r="L28" s="3">
        <f>Hajidavalloo_2013!$B$2</f>
        <v>1873.15</v>
      </c>
      <c r="O28">
        <f t="shared" si="0"/>
        <v>0.84756779242388791</v>
      </c>
      <c r="Q28" s="56">
        <f t="shared" si="1"/>
        <v>32.4</v>
      </c>
      <c r="R28" s="57" t="s">
        <v>9</v>
      </c>
      <c r="S28" s="11">
        <f t="shared" si="2"/>
        <v>0.24382716049382719</v>
      </c>
      <c r="U28" s="56">
        <f t="shared" si="12"/>
        <v>22.003531698133337</v>
      </c>
      <c r="V28" s="57" t="s">
        <v>9</v>
      </c>
      <c r="W28" s="11">
        <f t="shared" si="13"/>
        <v>0.35903327285729292</v>
      </c>
      <c r="Y28" s="56">
        <f t="shared" si="14"/>
        <v>39.960639999999998</v>
      </c>
      <c r="Z28" s="57" t="s">
        <v>9</v>
      </c>
      <c r="AA28" s="11">
        <f t="shared" si="5"/>
        <v>0.19769453141891624</v>
      </c>
      <c r="AC28" s="56">
        <f t="shared" si="15"/>
        <v>32.614879999999999</v>
      </c>
      <c r="AD28" s="57" t="s">
        <v>9</v>
      </c>
      <c r="AE28" s="11">
        <f t="shared" si="7"/>
        <v>0.24222072869806666</v>
      </c>
      <c r="AG28" s="56"/>
      <c r="AH28" s="57" t="s">
        <v>191</v>
      </c>
      <c r="AI28" s="151">
        <f t="shared" si="16"/>
        <v>0.43557479573362251</v>
      </c>
      <c r="AK28" s="56"/>
      <c r="AL28" s="57" t="s">
        <v>191</v>
      </c>
      <c r="AM28" s="151">
        <f t="shared" si="17"/>
        <v>0.34360502877451082</v>
      </c>
      <c r="AW28" s="56"/>
      <c r="AX28" s="57" t="s">
        <v>191</v>
      </c>
      <c r="AY28" s="151">
        <f t="shared" si="18"/>
        <v>0.37830598602627513</v>
      </c>
      <c r="BA28" s="56"/>
      <c r="BB28" s="57" t="s">
        <v>191</v>
      </c>
      <c r="BC28" s="151">
        <f t="shared" si="19"/>
        <v>0.3478188085402884</v>
      </c>
    </row>
    <row r="29" spans="1:55" s="23" customFormat="1">
      <c r="A29" s="33">
        <v>1985</v>
      </c>
      <c r="B29" s="58">
        <f>WorldSteel!E13</f>
        <v>32</v>
      </c>
      <c r="C29" s="58">
        <f>WorldSteel!F13</f>
        <v>12</v>
      </c>
      <c r="D29" s="58">
        <f>WorldSteel!G13</f>
        <v>56</v>
      </c>
      <c r="E29" s="58">
        <v>32</v>
      </c>
      <c r="F29" s="58">
        <v>12</v>
      </c>
      <c r="G29" s="58">
        <v>56</v>
      </c>
      <c r="H29" s="33" t="s">
        <v>8</v>
      </c>
      <c r="I29" s="33"/>
      <c r="J29" s="33">
        <f>Kumar_2020!$B$31</f>
        <v>1923.15</v>
      </c>
      <c r="K29" s="33"/>
      <c r="L29" s="33">
        <f>Hajidavalloo_2013!$B$2</f>
        <v>1873.15</v>
      </c>
      <c r="M29" s="33"/>
      <c r="N29" s="33"/>
      <c r="O29" s="23">
        <f t="shared" si="0"/>
        <v>0.84756779242388791</v>
      </c>
      <c r="P29" s="33"/>
      <c r="Q29" s="58">
        <f t="shared" si="1"/>
        <v>32</v>
      </c>
      <c r="R29" s="33" t="s">
        <v>8</v>
      </c>
      <c r="S29" s="11">
        <f t="shared" si="2"/>
        <v>0.24687500000000001</v>
      </c>
      <c r="U29" s="56">
        <f t="shared" si="12"/>
        <v>21.681472786666671</v>
      </c>
      <c r="V29" s="57" t="s">
        <v>9</v>
      </c>
      <c r="W29" s="11">
        <f t="shared" si="13"/>
        <v>0.36436639142236765</v>
      </c>
      <c r="Y29" s="58">
        <f>Goldemberg_2001!C6</f>
        <v>39.700000000000003</v>
      </c>
      <c r="Z29" s="33" t="s">
        <v>402</v>
      </c>
      <c r="AA29" s="11">
        <f t="shared" si="5"/>
        <v>0.19899244332493701</v>
      </c>
      <c r="AC29" s="33">
        <f>Goldemberg_2001!C7</f>
        <v>31.25</v>
      </c>
      <c r="AD29" s="33" t="s">
        <v>402</v>
      </c>
      <c r="AE29" s="11">
        <f t="shared" si="7"/>
        <v>0.25280000000000002</v>
      </c>
      <c r="AG29" s="56"/>
      <c r="AH29" s="57" t="s">
        <v>191</v>
      </c>
      <c r="AI29" s="151">
        <f t="shared" si="16"/>
        <v>0.44101948068029273</v>
      </c>
      <c r="AK29" s="56"/>
      <c r="AL29" s="57" t="s">
        <v>191</v>
      </c>
      <c r="AM29" s="151">
        <f t="shared" si="17"/>
        <v>0.34790009163419222</v>
      </c>
      <c r="AW29" s="56"/>
      <c r="AX29" s="57" t="s">
        <v>191</v>
      </c>
      <c r="AY29" s="151">
        <f t="shared" si="18"/>
        <v>0.38303481085160357</v>
      </c>
      <c r="BA29" s="56"/>
      <c r="BB29" s="57" t="s">
        <v>191</v>
      </c>
      <c r="BC29" s="151">
        <f t="shared" si="19"/>
        <v>0.35216654364704197</v>
      </c>
    </row>
    <row r="30" spans="1:55">
      <c r="A30" s="3">
        <v>1986</v>
      </c>
      <c r="B30" s="4"/>
      <c r="C30" s="4"/>
      <c r="D30" s="4"/>
      <c r="E30" s="56">
        <v>31.6</v>
      </c>
      <c r="F30" s="56">
        <v>12</v>
      </c>
      <c r="G30" s="56">
        <v>55.2</v>
      </c>
      <c r="H30" s="57" t="s">
        <v>9</v>
      </c>
      <c r="J30" s="3">
        <f>Kumar_2020!$B$31</f>
        <v>1923.15</v>
      </c>
      <c r="L30" s="3">
        <f>Hajidavalloo_2013!$B$2</f>
        <v>1873.15</v>
      </c>
      <c r="O30">
        <f t="shared" si="0"/>
        <v>0.84756779242388791</v>
      </c>
      <c r="Q30" s="56">
        <f t="shared" si="1"/>
        <v>31.6</v>
      </c>
      <c r="R30" s="57" t="s">
        <v>9</v>
      </c>
      <c r="S30" s="11">
        <f t="shared" si="2"/>
        <v>0.25</v>
      </c>
      <c r="U30" s="56">
        <f t="shared" si="12"/>
        <v>21.359413875200005</v>
      </c>
      <c r="V30" s="57" t="s">
        <v>9</v>
      </c>
      <c r="W30" s="11">
        <f t="shared" si="13"/>
        <v>0.36986033634436638</v>
      </c>
      <c r="Y30" s="56">
        <f>Y29+((Y$56-Y$29)/($A$56-$A$29))</f>
        <v>38.837037037037042</v>
      </c>
      <c r="Z30" s="57" t="s">
        <v>9</v>
      </c>
      <c r="AA30" s="11">
        <f t="shared" si="5"/>
        <v>0.2034140759107381</v>
      </c>
      <c r="AC30" s="56"/>
      <c r="AD30" s="57" t="s">
        <v>191</v>
      </c>
      <c r="AE30" s="151">
        <f>S30*(AE$29/S$29)</f>
        <v>0.25600000000000001</v>
      </c>
      <c r="AG30" s="56"/>
      <c r="AH30" s="57" t="s">
        <v>191</v>
      </c>
      <c r="AI30" s="151">
        <f t="shared" si="16"/>
        <v>0.44660200575219516</v>
      </c>
      <c r="AK30" s="56"/>
      <c r="AL30" s="57" t="s">
        <v>191</v>
      </c>
      <c r="AM30" s="151">
        <f t="shared" si="17"/>
        <v>0.35230389026247311</v>
      </c>
      <c r="AW30" s="56"/>
      <c r="AX30" s="57" t="s">
        <v>191</v>
      </c>
      <c r="AY30" s="151">
        <f t="shared" si="18"/>
        <v>0.38788335276111752</v>
      </c>
      <c r="BA30" s="56"/>
      <c r="BB30" s="57" t="s">
        <v>191</v>
      </c>
      <c r="BC30" s="151">
        <f t="shared" si="19"/>
        <v>0.35662434799700454</v>
      </c>
    </row>
    <row r="31" spans="1:55">
      <c r="A31" s="3">
        <v>1987</v>
      </c>
      <c r="B31" s="4"/>
      <c r="C31" s="4"/>
      <c r="D31" s="4"/>
      <c r="E31" s="56">
        <v>31.2</v>
      </c>
      <c r="F31" s="56">
        <v>12</v>
      </c>
      <c r="G31" s="56">
        <v>54.4</v>
      </c>
      <c r="H31" s="57" t="s">
        <v>9</v>
      </c>
      <c r="J31" s="3">
        <f>Kumar_2020!$B$31</f>
        <v>1923.15</v>
      </c>
      <c r="L31" s="3">
        <f>Hajidavalloo_2013!$B$2</f>
        <v>1873.15</v>
      </c>
      <c r="O31">
        <f t="shared" si="0"/>
        <v>0.84756779242388791</v>
      </c>
      <c r="Q31" s="56">
        <f t="shared" si="1"/>
        <v>31.2</v>
      </c>
      <c r="R31" s="57" t="s">
        <v>9</v>
      </c>
      <c r="S31" s="11">
        <f t="shared" si="2"/>
        <v>0.25320512820512825</v>
      </c>
      <c r="U31" s="56">
        <f t="shared" si="12"/>
        <v>21.037354963733339</v>
      </c>
      <c r="V31" s="57" t="s">
        <v>9</v>
      </c>
      <c r="W31" s="11">
        <f t="shared" si="13"/>
        <v>0.37552249385053144</v>
      </c>
      <c r="Y31" s="56">
        <f t="shared" ref="Y31:Y55" si="20">Y30+((Y$56-Y$29)/($A$56-$A$29))</f>
        <v>37.974074074074082</v>
      </c>
      <c r="Z31" s="57" t="s">
        <v>9</v>
      </c>
      <c r="AA31" s="11">
        <f t="shared" ref="AA31:AA55" si="21">BF_BOF_min/Y31</f>
        <v>0.2080366721935043</v>
      </c>
      <c r="AC31" s="56"/>
      <c r="AD31" s="57" t="s">
        <v>191</v>
      </c>
      <c r="AE31" s="151">
        <f t="shared" ref="AE31:AE64" si="22">S31*(AE$29/S$29)</f>
        <v>0.25928205128205134</v>
      </c>
      <c r="AG31" s="56"/>
      <c r="AH31" s="57" t="s">
        <v>191</v>
      </c>
      <c r="AI31" s="151">
        <f t="shared" si="16"/>
        <v>0.45232767249260802</v>
      </c>
      <c r="AK31" s="56"/>
      <c r="AL31" s="57" t="s">
        <v>191</v>
      </c>
      <c r="AM31" s="151">
        <f t="shared" si="17"/>
        <v>0.35682060680429972</v>
      </c>
      <c r="AW31" s="56"/>
      <c r="AX31" s="57" t="s">
        <v>191</v>
      </c>
      <c r="AY31" s="151">
        <f t="shared" si="18"/>
        <v>0.392856216258055</v>
      </c>
      <c r="BA31" s="56"/>
      <c r="BB31" s="57" t="s">
        <v>191</v>
      </c>
      <c r="BC31" s="151">
        <f t="shared" si="19"/>
        <v>0.36119645502260722</v>
      </c>
    </row>
    <row r="32" spans="1:55">
      <c r="A32" s="3">
        <v>1988</v>
      </c>
      <c r="B32" s="4"/>
      <c r="C32" s="4"/>
      <c r="D32" s="4"/>
      <c r="E32" s="56">
        <v>30.8</v>
      </c>
      <c r="F32" s="56">
        <v>12</v>
      </c>
      <c r="G32" s="56">
        <v>53.6</v>
      </c>
      <c r="H32" s="57" t="s">
        <v>9</v>
      </c>
      <c r="J32" s="3">
        <f>Kumar_2020!$B$31</f>
        <v>1923.15</v>
      </c>
      <c r="L32" s="3">
        <f>Hajidavalloo_2013!$B$2</f>
        <v>1873.15</v>
      </c>
      <c r="O32">
        <f t="shared" si="0"/>
        <v>0.84756779242388791</v>
      </c>
      <c r="Q32" s="56">
        <f t="shared" si="1"/>
        <v>30.8</v>
      </c>
      <c r="R32" s="57" t="s">
        <v>9</v>
      </c>
      <c r="S32" s="11">
        <f t="shared" si="2"/>
        <v>0.2564935064935065</v>
      </c>
      <c r="U32" s="56">
        <f t="shared" si="12"/>
        <v>20.715296052266673</v>
      </c>
      <c r="V32" s="57" t="s">
        <v>9</v>
      </c>
      <c r="W32" s="11">
        <f t="shared" si="13"/>
        <v>0.38136070950024298</v>
      </c>
      <c r="Y32" s="56">
        <f t="shared" si="20"/>
        <v>37.111111111111121</v>
      </c>
      <c r="Z32" s="57" t="s">
        <v>9</v>
      </c>
      <c r="AA32" s="11">
        <f t="shared" si="21"/>
        <v>0.21287425149700595</v>
      </c>
      <c r="AC32" s="56"/>
      <c r="AD32" s="57" t="s">
        <v>191</v>
      </c>
      <c r="AE32" s="151">
        <f t="shared" si="22"/>
        <v>0.26264935064935063</v>
      </c>
      <c r="AG32" s="56"/>
      <c r="AH32" s="57" t="s">
        <v>191</v>
      </c>
      <c r="AI32" s="151">
        <f t="shared" si="16"/>
        <v>0.45820205784965479</v>
      </c>
      <c r="AK32" s="56"/>
      <c r="AL32" s="57" t="s">
        <v>191</v>
      </c>
      <c r="AM32" s="151">
        <f t="shared" si="17"/>
        <v>0.36145464065890098</v>
      </c>
      <c r="AW32" s="56"/>
      <c r="AX32" s="57" t="s">
        <v>191</v>
      </c>
      <c r="AY32" s="151">
        <f t="shared" si="18"/>
        <v>0.39795824504062705</v>
      </c>
      <c r="BA32" s="56"/>
      <c r="BB32" s="57" t="s">
        <v>191</v>
      </c>
      <c r="BC32" s="151">
        <f t="shared" si="19"/>
        <v>0.36588731807484881</v>
      </c>
    </row>
    <row r="33" spans="1:55">
      <c r="A33" s="3">
        <v>1989</v>
      </c>
      <c r="B33" s="4"/>
      <c r="C33" s="4"/>
      <c r="D33" s="4"/>
      <c r="E33" s="56">
        <v>30.4</v>
      </c>
      <c r="F33" s="56">
        <v>12</v>
      </c>
      <c r="G33" s="56">
        <v>52.8</v>
      </c>
      <c r="H33" s="57" t="s">
        <v>9</v>
      </c>
      <c r="J33" s="3">
        <f>Kumar_2020!$B$31</f>
        <v>1923.15</v>
      </c>
      <c r="L33" s="3">
        <f>Hajidavalloo_2013!$B$2</f>
        <v>1873.15</v>
      </c>
      <c r="O33">
        <f t="shared" si="0"/>
        <v>0.84756779242388791</v>
      </c>
      <c r="Q33" s="56">
        <f t="shared" si="1"/>
        <v>30.4</v>
      </c>
      <c r="R33" s="57" t="s">
        <v>9</v>
      </c>
      <c r="S33" s="11">
        <f t="shared" si="2"/>
        <v>0.25986842105263158</v>
      </c>
      <c r="U33" s="56">
        <f t="shared" si="12"/>
        <v>20.393237140800007</v>
      </c>
      <c r="V33" s="57" t="s">
        <v>9</v>
      </c>
      <c r="W33" s="11">
        <f t="shared" si="13"/>
        <v>0.38738332445488793</v>
      </c>
      <c r="Y33" s="56">
        <f t="shared" si="20"/>
        <v>36.248148148148161</v>
      </c>
      <c r="Z33" s="57" t="s">
        <v>9</v>
      </c>
      <c r="AA33" s="11">
        <f t="shared" si="21"/>
        <v>0.21794216818228254</v>
      </c>
      <c r="AC33" s="56"/>
      <c r="AD33" s="57" t="s">
        <v>191</v>
      </c>
      <c r="AE33" s="151">
        <f t="shared" si="22"/>
        <v>0.26610526315789473</v>
      </c>
      <c r="AG33" s="56"/>
      <c r="AH33" s="57" t="s">
        <v>191</v>
      </c>
      <c r="AI33" s="151">
        <f t="shared" si="16"/>
        <v>0.46423103229504498</v>
      </c>
      <c r="AK33" s="56"/>
      <c r="AL33" s="57" t="s">
        <v>191</v>
      </c>
      <c r="AM33" s="151">
        <f t="shared" si="17"/>
        <v>0.36621062277283389</v>
      </c>
      <c r="AW33" s="56"/>
      <c r="AX33" s="57" t="s">
        <v>191</v>
      </c>
      <c r="AY33" s="151">
        <f t="shared" si="18"/>
        <v>0.40319453773853003</v>
      </c>
      <c r="BA33" s="56"/>
      <c r="BB33" s="57" t="s">
        <v>191</v>
      </c>
      <c r="BC33" s="151">
        <f t="shared" si="19"/>
        <v>0.37070162489162317</v>
      </c>
    </row>
    <row r="34" spans="1:55">
      <c r="A34" s="3">
        <v>1990</v>
      </c>
      <c r="B34" s="4">
        <f>WorldSteel!E14</f>
        <v>30</v>
      </c>
      <c r="C34" s="4">
        <f>WorldSteel!F14</f>
        <v>12</v>
      </c>
      <c r="D34" s="4">
        <f>WorldSteel!G14</f>
        <v>52</v>
      </c>
      <c r="E34" s="4">
        <v>30</v>
      </c>
      <c r="F34" s="4">
        <v>12</v>
      </c>
      <c r="G34" s="4">
        <v>52</v>
      </c>
      <c r="H34" s="3" t="s">
        <v>8</v>
      </c>
      <c r="J34" s="3">
        <f>Kumar_2020!$B$31</f>
        <v>1923.15</v>
      </c>
      <c r="L34" s="3">
        <f>Hajidavalloo_2013!$B$2</f>
        <v>1873.15</v>
      </c>
      <c r="O34">
        <f t="shared" si="0"/>
        <v>0.84756779242388791</v>
      </c>
      <c r="Q34" s="4">
        <f t="shared" si="1"/>
        <v>30</v>
      </c>
      <c r="R34" s="3" t="s">
        <v>8</v>
      </c>
      <c r="S34" s="11">
        <f t="shared" si="2"/>
        <v>0.26333333333333336</v>
      </c>
      <c r="U34" s="56">
        <f t="shared" si="12"/>
        <v>20.071178229333341</v>
      </c>
      <c r="V34" s="57" t="s">
        <v>9</v>
      </c>
      <c r="W34" s="11">
        <f t="shared" si="13"/>
        <v>0.39359921523961261</v>
      </c>
      <c r="Y34" s="56">
        <f t="shared" si="20"/>
        <v>35.3851851851852</v>
      </c>
      <c r="Z34" s="57" t="s">
        <v>9</v>
      </c>
      <c r="AA34" s="11">
        <f t="shared" si="21"/>
        <v>0.22325727444002502</v>
      </c>
      <c r="AC34" s="56"/>
      <c r="AD34" s="57" t="s">
        <v>191</v>
      </c>
      <c r="AE34" s="151">
        <f t="shared" si="22"/>
        <v>0.26965333333333336</v>
      </c>
      <c r="AG34" s="56"/>
      <c r="AH34" s="57" t="s">
        <v>191</v>
      </c>
      <c r="AI34" s="151">
        <f t="shared" si="16"/>
        <v>0.4704207793923123</v>
      </c>
      <c r="AK34" s="56"/>
      <c r="AL34" s="57" t="s">
        <v>191</v>
      </c>
      <c r="AM34" s="151">
        <f t="shared" si="17"/>
        <v>0.37109343107647169</v>
      </c>
      <c r="AW34" s="56"/>
      <c r="AX34" s="57" t="s">
        <v>191</v>
      </c>
      <c r="AY34" s="151">
        <f t="shared" si="18"/>
        <v>0.40857046490837717</v>
      </c>
      <c r="BA34" s="56"/>
      <c r="BB34" s="57" t="s">
        <v>191</v>
      </c>
      <c r="BC34" s="151">
        <f t="shared" si="19"/>
        <v>0.37564431322351149</v>
      </c>
    </row>
    <row r="35" spans="1:55">
      <c r="A35" s="3">
        <v>1991</v>
      </c>
      <c r="B35" s="4"/>
      <c r="C35" s="4"/>
      <c r="D35" s="4"/>
      <c r="E35" s="56">
        <v>29.6</v>
      </c>
      <c r="F35" s="56">
        <v>11.9</v>
      </c>
      <c r="G35" s="56">
        <v>51.2</v>
      </c>
      <c r="H35" s="57" t="s">
        <v>9</v>
      </c>
      <c r="J35" s="3">
        <f>Kumar_2020!$B$31</f>
        <v>1923.15</v>
      </c>
      <c r="L35" s="3">
        <f>Hajidavalloo_2013!$B$2</f>
        <v>1873.15</v>
      </c>
      <c r="O35">
        <f t="shared" si="0"/>
        <v>0.84756779242388791</v>
      </c>
      <c r="Q35" s="56">
        <f t="shared" si="1"/>
        <v>29.6</v>
      </c>
      <c r="R35" s="57" t="s">
        <v>9</v>
      </c>
      <c r="S35" s="11">
        <f t="shared" si="2"/>
        <v>0.26689189189189189</v>
      </c>
      <c r="U35" s="56">
        <f t="shared" si="12"/>
        <v>19.749119317866676</v>
      </c>
      <c r="V35" s="57" t="s">
        <v>9</v>
      </c>
      <c r="W35" s="11">
        <f t="shared" si="13"/>
        <v>0.40001783739556485</v>
      </c>
      <c r="Y35" s="56">
        <f t="shared" si="20"/>
        <v>34.52222222222224</v>
      </c>
      <c r="Z35" s="57" t="s">
        <v>9</v>
      </c>
      <c r="AA35" s="11">
        <f t="shared" si="21"/>
        <v>0.22883810749919525</v>
      </c>
      <c r="AC35" s="56"/>
      <c r="AD35" s="57" t="s">
        <v>191</v>
      </c>
      <c r="AE35" s="151">
        <f t="shared" si="22"/>
        <v>0.27329729729729729</v>
      </c>
      <c r="AG35" s="56"/>
      <c r="AH35" s="57" t="s">
        <v>191</v>
      </c>
      <c r="AI35" s="151">
        <f t="shared" si="16"/>
        <v>0.47677781695166782</v>
      </c>
      <c r="AK35" s="56"/>
      <c r="AL35" s="57" t="s">
        <v>191</v>
      </c>
      <c r="AM35" s="151">
        <f t="shared" si="17"/>
        <v>0.37610820717209964</v>
      </c>
      <c r="AW35" s="56"/>
      <c r="AX35" s="57" t="s">
        <v>191</v>
      </c>
      <c r="AY35" s="151">
        <f t="shared" si="18"/>
        <v>0.41409168740713898</v>
      </c>
      <c r="BA35" s="56"/>
      <c r="BB35" s="57" t="s">
        <v>191</v>
      </c>
      <c r="BC35" s="151">
        <f t="shared" si="19"/>
        <v>0.38072058772653189</v>
      </c>
    </row>
    <row r="36" spans="1:55">
      <c r="A36" s="3">
        <v>1992</v>
      </c>
      <c r="B36" s="4"/>
      <c r="C36" s="4"/>
      <c r="D36" s="4"/>
      <c r="E36" s="56">
        <v>29.2</v>
      </c>
      <c r="F36" s="56">
        <v>11.8</v>
      </c>
      <c r="G36" s="56">
        <v>50.4</v>
      </c>
      <c r="H36" s="57" t="s">
        <v>9</v>
      </c>
      <c r="J36" s="3">
        <f>Kumar_2020!$B$31</f>
        <v>1923.15</v>
      </c>
      <c r="L36" s="3">
        <f>Hajidavalloo_2013!$B$2</f>
        <v>1873.15</v>
      </c>
      <c r="O36">
        <f t="shared" ref="O36:O64" si="23">1-(293.15/J36)</f>
        <v>0.84756779242388791</v>
      </c>
      <c r="Q36" s="56">
        <f t="shared" ref="Q36:Q64" si="24">E36</f>
        <v>29.2</v>
      </c>
      <c r="R36" s="57" t="s">
        <v>9</v>
      </c>
      <c r="S36" s="11">
        <f t="shared" ref="S36:S64" si="25">BF_BOF_min/Q36</f>
        <v>0.27054794520547948</v>
      </c>
      <c r="U36" s="56">
        <f t="shared" si="12"/>
        <v>19.42706040640001</v>
      </c>
      <c r="V36" s="57" t="s">
        <v>9</v>
      </c>
      <c r="W36" s="11">
        <f t="shared" si="13"/>
        <v>0.40664927347409913</v>
      </c>
      <c r="Y36" s="56">
        <f t="shared" si="20"/>
        <v>33.659259259259279</v>
      </c>
      <c r="Z36" s="57" t="s">
        <v>9</v>
      </c>
      <c r="AA36" s="11">
        <f t="shared" si="21"/>
        <v>0.23470510563380267</v>
      </c>
      <c r="AC36" s="56"/>
      <c r="AD36" s="57" t="s">
        <v>191</v>
      </c>
      <c r="AE36" s="151">
        <f t="shared" si="22"/>
        <v>0.27704109589041098</v>
      </c>
      <c r="AG36" s="56"/>
      <c r="AH36" s="57" t="s">
        <v>191</v>
      </c>
      <c r="AI36" s="151">
        <f t="shared" si="16"/>
        <v>0.48330901992360853</v>
      </c>
      <c r="AK36" s="56"/>
      <c r="AL36" s="57" t="s">
        <v>191</v>
      </c>
      <c r="AM36" s="151">
        <f t="shared" si="17"/>
        <v>0.3812603743936353</v>
      </c>
      <c r="AW36" s="56"/>
      <c r="AX36" s="57" t="s">
        <v>191</v>
      </c>
      <c r="AY36" s="151">
        <f t="shared" si="18"/>
        <v>0.41976417627572998</v>
      </c>
      <c r="BA36" s="56"/>
      <c r="BB36" s="57" t="s">
        <v>191</v>
      </c>
      <c r="BC36" s="151">
        <f t="shared" si="19"/>
        <v>0.38593593824333372</v>
      </c>
    </row>
    <row r="37" spans="1:55">
      <c r="A37" s="3">
        <v>1993</v>
      </c>
      <c r="B37" s="4"/>
      <c r="C37" s="4"/>
      <c r="D37" s="4"/>
      <c r="E37" s="56">
        <v>28.8</v>
      </c>
      <c r="F37" s="56">
        <v>11.7</v>
      </c>
      <c r="G37" s="56">
        <v>49.6</v>
      </c>
      <c r="H37" s="57" t="s">
        <v>9</v>
      </c>
      <c r="J37" s="3">
        <f>Kumar_2020!$B$31</f>
        <v>1923.15</v>
      </c>
      <c r="L37" s="3">
        <f>Hajidavalloo_2013!$B$2</f>
        <v>1873.15</v>
      </c>
      <c r="O37">
        <f t="shared" si="23"/>
        <v>0.84756779242388791</v>
      </c>
      <c r="Q37" s="56">
        <f t="shared" si="24"/>
        <v>28.8</v>
      </c>
      <c r="R37" s="57" t="s">
        <v>9</v>
      </c>
      <c r="S37" s="11">
        <f t="shared" si="25"/>
        <v>0.27430555555555558</v>
      </c>
      <c r="U37" s="56">
        <f t="shared" si="12"/>
        <v>19.105001494933344</v>
      </c>
      <c r="V37" s="57" t="s">
        <v>9</v>
      </c>
      <c r="W37" s="11">
        <f t="shared" si="13"/>
        <v>0.41350428588529997</v>
      </c>
      <c r="Y37" s="56">
        <f t="shared" si="20"/>
        <v>32.796296296296319</v>
      </c>
      <c r="Z37" s="57" t="s">
        <v>9</v>
      </c>
      <c r="AA37" s="11">
        <f t="shared" si="21"/>
        <v>0.24088085827216246</v>
      </c>
      <c r="AC37" s="56"/>
      <c r="AD37" s="57" t="s">
        <v>191</v>
      </c>
      <c r="AE37" s="151">
        <f t="shared" si="22"/>
        <v>0.28088888888888891</v>
      </c>
      <c r="AG37" s="56"/>
      <c r="AH37" s="57" t="s">
        <v>191</v>
      </c>
      <c r="AI37" s="151">
        <f t="shared" si="16"/>
        <v>0.49002164520032532</v>
      </c>
      <c r="AK37" s="56"/>
      <c r="AL37" s="57" t="s">
        <v>191</v>
      </c>
      <c r="AM37" s="151">
        <f t="shared" si="17"/>
        <v>0.38655565737132469</v>
      </c>
      <c r="AW37" s="56"/>
      <c r="AX37" s="57" t="s">
        <v>191</v>
      </c>
      <c r="AY37" s="151">
        <f t="shared" si="18"/>
        <v>0.42559423427955956</v>
      </c>
      <c r="BA37" s="56"/>
      <c r="BB37" s="57" t="s">
        <v>191</v>
      </c>
      <c r="BC37" s="151">
        <f t="shared" si="19"/>
        <v>0.39129615960782449</v>
      </c>
    </row>
    <row r="38" spans="1:55">
      <c r="A38" s="3">
        <v>1994</v>
      </c>
      <c r="B38" s="4"/>
      <c r="C38" s="4"/>
      <c r="D38" s="4"/>
      <c r="E38" s="56">
        <v>28.4</v>
      </c>
      <c r="F38" s="56">
        <v>11.6</v>
      </c>
      <c r="G38" s="56">
        <v>48.8</v>
      </c>
      <c r="H38" s="57" t="s">
        <v>9</v>
      </c>
      <c r="J38" s="3">
        <f>Kumar_2020!$B$31</f>
        <v>1923.15</v>
      </c>
      <c r="L38" s="3">
        <f>Hajidavalloo_2013!$B$2</f>
        <v>1873.15</v>
      </c>
      <c r="O38">
        <f t="shared" si="23"/>
        <v>0.84756779242388791</v>
      </c>
      <c r="Q38" s="56">
        <f t="shared" si="24"/>
        <v>28.4</v>
      </c>
      <c r="R38" s="57" t="s">
        <v>9</v>
      </c>
      <c r="S38" s="11">
        <f t="shared" si="25"/>
        <v>0.27816901408450706</v>
      </c>
      <c r="U38" s="56">
        <f t="shared" si="12"/>
        <v>18.782942583466678</v>
      </c>
      <c r="V38" s="57" t="s">
        <v>9</v>
      </c>
      <c r="W38" s="11">
        <f t="shared" si="13"/>
        <v>0.42059437518346154</v>
      </c>
      <c r="Y38" s="56">
        <f t="shared" si="20"/>
        <v>31.933333333333355</v>
      </c>
      <c r="Z38" s="57" t="s">
        <v>9</v>
      </c>
      <c r="AA38" s="11">
        <f t="shared" si="21"/>
        <v>0.24739039665970758</v>
      </c>
      <c r="AC38" s="56"/>
      <c r="AD38" s="57" t="s">
        <v>191</v>
      </c>
      <c r="AE38" s="151">
        <f t="shared" si="22"/>
        <v>0.28484507042253526</v>
      </c>
      <c r="AG38" s="56"/>
      <c r="AH38" s="57" t="s">
        <v>191</v>
      </c>
      <c r="AI38" s="151">
        <f t="shared" si="16"/>
        <v>0.4969233585130059</v>
      </c>
      <c r="AK38" s="56"/>
      <c r="AL38" s="57" t="s">
        <v>191</v>
      </c>
      <c r="AM38" s="151">
        <f t="shared" si="17"/>
        <v>0.39200010324979406</v>
      </c>
      <c r="AW38" s="56"/>
      <c r="AX38" s="57" t="s">
        <v>191</v>
      </c>
      <c r="AY38" s="151">
        <f t="shared" si="18"/>
        <v>0.4315885192694125</v>
      </c>
      <c r="BA38" s="56"/>
      <c r="BB38" s="57" t="s">
        <v>191</v>
      </c>
      <c r="BC38" s="151">
        <f t="shared" si="19"/>
        <v>0.39680737312342762</v>
      </c>
    </row>
    <row r="39" spans="1:55">
      <c r="A39" s="3">
        <v>1995</v>
      </c>
      <c r="B39" s="4">
        <f>WorldSteel!E15</f>
        <v>28</v>
      </c>
      <c r="C39" s="4">
        <f>WorldSteel!F15</f>
        <v>11.5</v>
      </c>
      <c r="D39" s="4">
        <f>WorldSteel!G15</f>
        <v>48</v>
      </c>
      <c r="E39" s="4">
        <v>28</v>
      </c>
      <c r="F39" s="4">
        <v>11.5</v>
      </c>
      <c r="G39" s="4">
        <v>48</v>
      </c>
      <c r="H39" s="3" t="s">
        <v>8</v>
      </c>
      <c r="J39" s="3">
        <f>Kumar_2020!$B$31</f>
        <v>1923.15</v>
      </c>
      <c r="L39" s="3">
        <f>Hajidavalloo_2013!$B$2</f>
        <v>1873.15</v>
      </c>
      <c r="O39">
        <f t="shared" si="23"/>
        <v>0.84756779242388791</v>
      </c>
      <c r="Q39" s="4">
        <f t="shared" si="24"/>
        <v>28</v>
      </c>
      <c r="R39" s="3" t="s">
        <v>8</v>
      </c>
      <c r="S39" s="11">
        <f t="shared" si="25"/>
        <v>0.28214285714285714</v>
      </c>
      <c r="U39" s="56">
        <f t="shared" si="12"/>
        <v>18.460883672000012</v>
      </c>
      <c r="V39" s="57" t="s">
        <v>9</v>
      </c>
      <c r="W39" s="11">
        <f t="shared" si="13"/>
        <v>0.42793184445347471</v>
      </c>
      <c r="Y39" s="56">
        <f t="shared" si="20"/>
        <v>31.070370370370391</v>
      </c>
      <c r="Z39" s="57" t="s">
        <v>9</v>
      </c>
      <c r="AA39" s="11">
        <f t="shared" si="21"/>
        <v>0.25426153295982817</v>
      </c>
      <c r="AC39" s="56"/>
      <c r="AD39" s="57" t="s">
        <v>191</v>
      </c>
      <c r="AE39" s="151">
        <f t="shared" si="22"/>
        <v>0.28891428571428573</v>
      </c>
      <c r="AG39" s="56"/>
      <c r="AH39" s="57" t="s">
        <v>191</v>
      </c>
      <c r="AI39" s="151">
        <f t="shared" si="16"/>
        <v>0.50402226363462022</v>
      </c>
      <c r="AK39" s="56"/>
      <c r="AL39" s="57" t="s">
        <v>191</v>
      </c>
      <c r="AM39" s="151">
        <f t="shared" si="17"/>
        <v>0.39760010472479107</v>
      </c>
      <c r="AW39" s="56"/>
      <c r="AX39" s="57" t="s">
        <v>191</v>
      </c>
      <c r="AY39" s="151">
        <f t="shared" si="18"/>
        <v>0.43775406954468976</v>
      </c>
      <c r="BA39" s="56"/>
      <c r="BB39" s="57" t="s">
        <v>191</v>
      </c>
      <c r="BC39" s="151">
        <f t="shared" si="19"/>
        <v>0.40247604988233371</v>
      </c>
    </row>
    <row r="40" spans="1:55">
      <c r="A40" s="3">
        <v>1996</v>
      </c>
      <c r="B40" s="4"/>
      <c r="C40" s="4"/>
      <c r="D40" s="4"/>
      <c r="E40" s="56">
        <v>27.6</v>
      </c>
      <c r="F40" s="56">
        <v>11.5</v>
      </c>
      <c r="G40" s="56">
        <v>47.64</v>
      </c>
      <c r="H40" s="57" t="s">
        <v>9</v>
      </c>
      <c r="J40" s="3">
        <f>Kumar_2020!$B$31</f>
        <v>1923.15</v>
      </c>
      <c r="L40" s="3">
        <f>Hajidavalloo_2013!$B$2</f>
        <v>1873.15</v>
      </c>
      <c r="O40">
        <f t="shared" si="23"/>
        <v>0.84756779242388791</v>
      </c>
      <c r="Q40" s="56">
        <f t="shared" si="24"/>
        <v>27.6</v>
      </c>
      <c r="R40" s="57" t="s">
        <v>9</v>
      </c>
      <c r="S40" s="11">
        <f t="shared" si="25"/>
        <v>0.28623188405797101</v>
      </c>
      <c r="U40" s="56">
        <f t="shared" si="12"/>
        <v>18.138824760533346</v>
      </c>
      <c r="V40" s="57" t="s">
        <v>9</v>
      </c>
      <c r="W40" s="11">
        <f t="shared" si="13"/>
        <v>0.43552987055638287</v>
      </c>
      <c r="Y40" s="56">
        <f t="shared" si="20"/>
        <v>30.207407407407427</v>
      </c>
      <c r="Z40" s="57" t="s">
        <v>9</v>
      </c>
      <c r="AA40" s="11">
        <f t="shared" si="21"/>
        <v>0.26152525747915628</v>
      </c>
      <c r="AC40" s="56"/>
      <c r="AD40" s="57" t="s">
        <v>191</v>
      </c>
      <c r="AE40" s="151">
        <f t="shared" si="22"/>
        <v>0.2931014492753623</v>
      </c>
      <c r="AG40" s="56"/>
      <c r="AH40" s="57" t="s">
        <v>191</v>
      </c>
      <c r="AI40" s="151">
        <f t="shared" si="16"/>
        <v>0.51132693412207852</v>
      </c>
      <c r="AK40" s="56"/>
      <c r="AL40" s="57" t="s">
        <v>191</v>
      </c>
      <c r="AM40" s="151">
        <f t="shared" si="17"/>
        <v>0.40336242508312137</v>
      </c>
      <c r="AW40" s="56"/>
      <c r="AX40" s="57" t="s">
        <v>191</v>
      </c>
      <c r="AY40" s="151">
        <f t="shared" si="18"/>
        <v>0.44409833142214905</v>
      </c>
      <c r="BA40" s="56"/>
      <c r="BB40" s="57" t="s">
        <v>191</v>
      </c>
      <c r="BC40" s="151">
        <f t="shared" si="19"/>
        <v>0.40830903611251246</v>
      </c>
    </row>
    <row r="41" spans="1:55">
      <c r="A41" s="3">
        <v>1997</v>
      </c>
      <c r="B41" s="4"/>
      <c r="C41" s="4"/>
      <c r="D41" s="4"/>
      <c r="E41" s="56">
        <v>27.2</v>
      </c>
      <c r="F41" s="56">
        <v>11.5</v>
      </c>
      <c r="G41" s="56">
        <v>47.28</v>
      </c>
      <c r="H41" s="57" t="s">
        <v>9</v>
      </c>
      <c r="J41" s="3">
        <f>Kumar_2020!$B$31</f>
        <v>1923.15</v>
      </c>
      <c r="L41" s="3">
        <f>Hajidavalloo_2013!$B$2</f>
        <v>1873.15</v>
      </c>
      <c r="O41">
        <f t="shared" si="23"/>
        <v>0.84756779242388791</v>
      </c>
      <c r="Q41" s="56">
        <f t="shared" si="24"/>
        <v>27.2</v>
      </c>
      <c r="R41" s="57" t="s">
        <v>9</v>
      </c>
      <c r="S41" s="11">
        <f t="shared" si="25"/>
        <v>0.29044117647058826</v>
      </c>
      <c r="U41" s="56">
        <f t="shared" si="12"/>
        <v>17.81676584906668</v>
      </c>
      <c r="V41" s="57" t="s">
        <v>9</v>
      </c>
      <c r="W41" s="11">
        <f t="shared" si="13"/>
        <v>0.44340258310201885</v>
      </c>
      <c r="Y41" s="56">
        <f t="shared" si="20"/>
        <v>29.344444444444463</v>
      </c>
      <c r="Z41" s="57" t="s">
        <v>9</v>
      </c>
      <c r="AA41" s="11">
        <f t="shared" si="21"/>
        <v>0.26921620598258222</v>
      </c>
      <c r="AC41" s="56"/>
      <c r="AD41" s="57" t="s">
        <v>191</v>
      </c>
      <c r="AE41" s="151">
        <f t="shared" si="22"/>
        <v>0.29741176470588238</v>
      </c>
      <c r="AG41" s="56"/>
      <c r="AH41" s="57" t="s">
        <v>191</v>
      </c>
      <c r="AI41" s="151">
        <f t="shared" si="16"/>
        <v>0.518846447859168</v>
      </c>
      <c r="AK41" s="56"/>
      <c r="AL41" s="57" t="s">
        <v>191</v>
      </c>
      <c r="AM41" s="151">
        <f t="shared" si="17"/>
        <v>0.40929422545199085</v>
      </c>
      <c r="AW41" s="56"/>
      <c r="AX41" s="57" t="s">
        <v>191</v>
      </c>
      <c r="AY41" s="151">
        <f t="shared" si="18"/>
        <v>0.45062918923718071</v>
      </c>
      <c r="BA41" s="56"/>
      <c r="BB41" s="57" t="s">
        <v>191</v>
      </c>
      <c r="BC41" s="151">
        <f t="shared" si="19"/>
        <v>0.41431358076122587</v>
      </c>
    </row>
    <row r="42" spans="1:55">
      <c r="A42" s="3">
        <v>1998</v>
      </c>
      <c r="B42" s="4"/>
      <c r="C42" s="4"/>
      <c r="D42" s="4"/>
      <c r="E42" s="56">
        <v>26.8</v>
      </c>
      <c r="F42" s="56">
        <v>11.5</v>
      </c>
      <c r="G42" s="56">
        <v>46.92</v>
      </c>
      <c r="H42" s="57" t="s">
        <v>9</v>
      </c>
      <c r="J42" s="3">
        <f>Kumar_2020!$B$31</f>
        <v>1923.15</v>
      </c>
      <c r="L42" s="3">
        <f>Hajidavalloo_2013!$B$2</f>
        <v>1873.15</v>
      </c>
      <c r="O42">
        <f t="shared" si="23"/>
        <v>0.84756779242388791</v>
      </c>
      <c r="Q42" s="56">
        <f t="shared" si="24"/>
        <v>26.8</v>
      </c>
      <c r="R42" s="57" t="s">
        <v>9</v>
      </c>
      <c r="S42" s="11">
        <f t="shared" si="25"/>
        <v>0.29477611940298509</v>
      </c>
      <c r="U42" s="56">
        <f t="shared" si="12"/>
        <v>17.494706937600014</v>
      </c>
      <c r="V42" s="57" t="s">
        <v>9</v>
      </c>
      <c r="W42" s="11">
        <f t="shared" si="13"/>
        <v>0.45156515214445486</v>
      </c>
      <c r="Y42" s="56">
        <f t="shared" si="20"/>
        <v>28.481481481481499</v>
      </c>
      <c r="Z42" s="57" t="s">
        <v>9</v>
      </c>
      <c r="AA42" s="11">
        <f t="shared" si="21"/>
        <v>0.27737321196358894</v>
      </c>
      <c r="AC42" s="56"/>
      <c r="AD42" s="57" t="s">
        <v>191</v>
      </c>
      <c r="AE42" s="151">
        <f t="shared" si="22"/>
        <v>0.30185074626865677</v>
      </c>
      <c r="AG42" s="56"/>
      <c r="AH42" s="57" t="s">
        <v>191</v>
      </c>
      <c r="AI42" s="151">
        <f t="shared" si="16"/>
        <v>0.52659042469288686</v>
      </c>
      <c r="AK42" s="56"/>
      <c r="AL42" s="57" t="s">
        <v>191</v>
      </c>
      <c r="AM42" s="151">
        <f t="shared" si="17"/>
        <v>0.4154030944885877</v>
      </c>
      <c r="AW42" s="56"/>
      <c r="AX42" s="57" t="s">
        <v>191</v>
      </c>
      <c r="AY42" s="151">
        <f t="shared" si="18"/>
        <v>0.45735499803176544</v>
      </c>
      <c r="BA42" s="56"/>
      <c r="BB42" s="57" t="s">
        <v>191</v>
      </c>
      <c r="BC42" s="151">
        <f t="shared" si="19"/>
        <v>0.42049736554870687</v>
      </c>
    </row>
    <row r="43" spans="1:55">
      <c r="A43" s="3">
        <v>1999</v>
      </c>
      <c r="B43" s="4"/>
      <c r="C43" s="4"/>
      <c r="D43" s="4"/>
      <c r="E43" s="56">
        <v>26.4</v>
      </c>
      <c r="F43" s="56">
        <v>11.5</v>
      </c>
      <c r="G43" s="56">
        <v>46.56</v>
      </c>
      <c r="H43" s="57" t="s">
        <v>9</v>
      </c>
      <c r="J43" s="3">
        <f>Kumar_2020!$B$31</f>
        <v>1923.15</v>
      </c>
      <c r="L43" s="3">
        <f>Hajidavalloo_2013!$B$2</f>
        <v>1873.15</v>
      </c>
      <c r="O43">
        <f t="shared" si="23"/>
        <v>0.84756779242388791</v>
      </c>
      <c r="Q43" s="56">
        <f t="shared" si="24"/>
        <v>26.4</v>
      </c>
      <c r="R43" s="57" t="s">
        <v>9</v>
      </c>
      <c r="S43" s="11">
        <f t="shared" si="25"/>
        <v>0.29924242424242425</v>
      </c>
      <c r="U43" s="56">
        <f t="shared" si="12"/>
        <v>17.172648026133349</v>
      </c>
      <c r="V43" s="57" t="s">
        <v>9</v>
      </c>
      <c r="W43" s="11">
        <f t="shared" si="13"/>
        <v>0.4600338857453885</v>
      </c>
      <c r="Y43" s="56">
        <f t="shared" si="20"/>
        <v>27.618518518518535</v>
      </c>
      <c r="Z43" s="57" t="s">
        <v>9</v>
      </c>
      <c r="AA43" s="11">
        <f t="shared" si="21"/>
        <v>0.2860399624513878</v>
      </c>
      <c r="AC43" s="56"/>
      <c r="AD43" s="57" t="s">
        <v>191</v>
      </c>
      <c r="AE43" s="151">
        <f t="shared" si="22"/>
        <v>0.30642424242424243</v>
      </c>
      <c r="AG43" s="56"/>
      <c r="AH43" s="57" t="s">
        <v>191</v>
      </c>
      <c r="AI43" s="151">
        <f t="shared" si="16"/>
        <v>0.53456906749126398</v>
      </c>
      <c r="AK43" s="56"/>
      <c r="AL43" s="57" t="s">
        <v>191</v>
      </c>
      <c r="AM43" s="151">
        <f t="shared" si="17"/>
        <v>0.42169708076871781</v>
      </c>
      <c r="AW43" s="56"/>
      <c r="AX43" s="57" t="s">
        <v>191</v>
      </c>
      <c r="AY43" s="151">
        <f t="shared" si="18"/>
        <v>0.46428461921406494</v>
      </c>
      <c r="BA43" s="56"/>
      <c r="BB43" s="57" t="s">
        <v>191</v>
      </c>
      <c r="BC43" s="151">
        <f t="shared" si="19"/>
        <v>0.42686853775399031</v>
      </c>
    </row>
    <row r="44" spans="1:55">
      <c r="A44" s="3">
        <v>2000</v>
      </c>
      <c r="B44" s="4">
        <f>WorldSteel!E16</f>
        <v>26</v>
      </c>
      <c r="C44" s="4">
        <f>WorldSteel!F16</f>
        <v>11.5</v>
      </c>
      <c r="D44" s="4">
        <f>WorldSteel!G16</f>
        <v>46.2</v>
      </c>
      <c r="E44" s="4">
        <v>26</v>
      </c>
      <c r="F44" s="4">
        <v>11.5</v>
      </c>
      <c r="G44" s="4">
        <v>46.2</v>
      </c>
      <c r="H44" s="3" t="s">
        <v>8</v>
      </c>
      <c r="J44" s="3">
        <f>Kumar_2020!$B$31</f>
        <v>1923.15</v>
      </c>
      <c r="L44" s="3">
        <f>Hajidavalloo_2013!$B$2</f>
        <v>1873.15</v>
      </c>
      <c r="O44">
        <f t="shared" si="23"/>
        <v>0.84756779242388791</v>
      </c>
      <c r="Q44" s="4">
        <f t="shared" si="24"/>
        <v>26</v>
      </c>
      <c r="R44" s="3" t="s">
        <v>8</v>
      </c>
      <c r="S44" s="11">
        <f t="shared" si="25"/>
        <v>0.30384615384615388</v>
      </c>
      <c r="U44" s="56">
        <f t="shared" si="12"/>
        <v>16.850589114666683</v>
      </c>
      <c r="V44" s="57" t="s">
        <v>9</v>
      </c>
      <c r="W44" s="11">
        <f t="shared" si="13"/>
        <v>0.4688263387256813</v>
      </c>
      <c r="Y44" s="56">
        <f t="shared" si="20"/>
        <v>26.755555555555571</v>
      </c>
      <c r="Z44" s="57" t="s">
        <v>9</v>
      </c>
      <c r="AA44" s="11">
        <f t="shared" si="21"/>
        <v>0.29526578073089688</v>
      </c>
      <c r="AC44" s="56"/>
      <c r="AD44" s="57" t="s">
        <v>191</v>
      </c>
      <c r="AE44" s="151">
        <f t="shared" si="22"/>
        <v>0.31113846153846159</v>
      </c>
      <c r="AG44" s="56"/>
      <c r="AH44" s="57" t="s">
        <v>191</v>
      </c>
      <c r="AI44" s="151">
        <f t="shared" si="16"/>
        <v>0.54279320699112954</v>
      </c>
      <c r="AK44" s="56"/>
      <c r="AL44" s="57" t="s">
        <v>191</v>
      </c>
      <c r="AM44" s="151">
        <f t="shared" si="17"/>
        <v>0.42818472816515968</v>
      </c>
      <c r="AW44" s="56"/>
      <c r="AX44" s="57" t="s">
        <v>191</v>
      </c>
      <c r="AY44" s="151">
        <f t="shared" si="18"/>
        <v>0.47142745950966597</v>
      </c>
      <c r="BA44" s="56"/>
      <c r="BB44" s="57" t="s">
        <v>191</v>
      </c>
      <c r="BC44" s="151">
        <f t="shared" si="19"/>
        <v>0.43343574602712864</v>
      </c>
    </row>
    <row r="45" spans="1:55">
      <c r="A45" s="3">
        <v>2001</v>
      </c>
      <c r="B45" s="4"/>
      <c r="C45" s="4"/>
      <c r="D45" s="4"/>
      <c r="E45" s="56">
        <v>25.6</v>
      </c>
      <c r="F45" s="56">
        <v>11.4</v>
      </c>
      <c r="G45" s="56">
        <v>46.2</v>
      </c>
      <c r="H45" s="57" t="s">
        <v>9</v>
      </c>
      <c r="J45" s="3">
        <f>Kumar_2020!$B$31</f>
        <v>1923.15</v>
      </c>
      <c r="L45" s="3">
        <f>Hajidavalloo_2013!$B$2</f>
        <v>1873.15</v>
      </c>
      <c r="O45">
        <f t="shared" si="23"/>
        <v>0.84756779242388791</v>
      </c>
      <c r="Q45" s="56">
        <f t="shared" si="24"/>
        <v>25.6</v>
      </c>
      <c r="R45" s="57" t="s">
        <v>9</v>
      </c>
      <c r="S45" s="11">
        <f t="shared" si="25"/>
        <v>0.30859375</v>
      </c>
      <c r="U45" s="56">
        <f t="shared" si="12"/>
        <v>16.528530203200017</v>
      </c>
      <c r="V45" s="57" t="s">
        <v>9</v>
      </c>
      <c r="W45" s="11">
        <f t="shared" si="13"/>
        <v>0.47796143413105879</v>
      </c>
      <c r="Y45" s="56">
        <f t="shared" si="20"/>
        <v>25.892592592592607</v>
      </c>
      <c r="Z45" s="57" t="s">
        <v>9</v>
      </c>
      <c r="AA45" s="11">
        <f t="shared" si="21"/>
        <v>0.30510656558432253</v>
      </c>
      <c r="AC45" s="56"/>
      <c r="AD45" s="57" t="s">
        <v>191</v>
      </c>
      <c r="AE45" s="151">
        <f t="shared" si="22"/>
        <v>0.316</v>
      </c>
      <c r="AG45" s="56"/>
      <c r="AH45" s="57" t="s">
        <v>191</v>
      </c>
      <c r="AI45" s="151">
        <f t="shared" si="16"/>
        <v>0.55127435085036591</v>
      </c>
      <c r="AK45" s="56"/>
      <c r="AL45" s="57" t="s">
        <v>191</v>
      </c>
      <c r="AM45" s="151">
        <f t="shared" si="17"/>
        <v>0.43487511454274025</v>
      </c>
      <c r="AW45" s="56"/>
      <c r="AX45" s="57" t="s">
        <v>191</v>
      </c>
      <c r="AY45" s="151">
        <f t="shared" si="18"/>
        <v>0.47879351356450445</v>
      </c>
      <c r="BA45" s="56"/>
      <c r="BB45" s="57" t="s">
        <v>191</v>
      </c>
      <c r="BC45" s="151">
        <f t="shared" si="19"/>
        <v>0.44020817955880248</v>
      </c>
    </row>
    <row r="46" spans="1:55">
      <c r="A46" s="3">
        <v>2002</v>
      </c>
      <c r="B46" s="4"/>
      <c r="C46" s="4"/>
      <c r="D46" s="4"/>
      <c r="E46" s="56">
        <v>25.2</v>
      </c>
      <c r="F46" s="56">
        <v>11.3</v>
      </c>
      <c r="G46" s="56">
        <v>46.2</v>
      </c>
      <c r="H46" s="57" t="s">
        <v>9</v>
      </c>
      <c r="J46" s="3">
        <f>Kumar_2020!$B$31</f>
        <v>1923.15</v>
      </c>
      <c r="L46" s="3">
        <f>Hajidavalloo_2013!$B$2</f>
        <v>1873.15</v>
      </c>
      <c r="O46">
        <f t="shared" si="23"/>
        <v>0.84756779242388791</v>
      </c>
      <c r="Q46" s="56">
        <f t="shared" si="24"/>
        <v>25.2</v>
      </c>
      <c r="R46" s="57" t="s">
        <v>9</v>
      </c>
      <c r="S46" s="11">
        <f t="shared" si="25"/>
        <v>0.31349206349206349</v>
      </c>
      <c r="U46" s="56">
        <f t="shared" si="12"/>
        <v>16.206471291733351</v>
      </c>
      <c r="V46" s="57" t="s">
        <v>9</v>
      </c>
      <c r="W46" s="11">
        <f t="shared" si="13"/>
        <v>0.48745959918058523</v>
      </c>
      <c r="Y46" s="56">
        <f t="shared" si="20"/>
        <v>25.029629629629643</v>
      </c>
      <c r="Z46" s="57" t="s">
        <v>9</v>
      </c>
      <c r="AA46" s="11">
        <f t="shared" si="21"/>
        <v>0.31562592482983115</v>
      </c>
      <c r="AC46" s="56"/>
      <c r="AD46" s="57" t="s">
        <v>191</v>
      </c>
      <c r="AE46" s="151">
        <f t="shared" si="22"/>
        <v>0.32101587301587303</v>
      </c>
      <c r="AG46" s="56"/>
      <c r="AH46" s="57" t="s">
        <v>191</v>
      </c>
      <c r="AI46" s="151">
        <f t="shared" si="16"/>
        <v>0.56002473737180025</v>
      </c>
      <c r="AK46" s="56"/>
      <c r="AL46" s="57" t="s">
        <v>191</v>
      </c>
      <c r="AM46" s="151">
        <f t="shared" si="17"/>
        <v>0.44177789413865676</v>
      </c>
      <c r="AW46" s="56"/>
      <c r="AX46" s="57" t="s">
        <v>191</v>
      </c>
      <c r="AY46" s="151">
        <f t="shared" si="18"/>
        <v>0.48639341060521085</v>
      </c>
      <c r="BA46" s="56"/>
      <c r="BB46" s="57" t="s">
        <v>191</v>
      </c>
      <c r="BC46" s="151">
        <f t="shared" si="19"/>
        <v>0.44719561098037075</v>
      </c>
    </row>
    <row r="47" spans="1:55">
      <c r="A47" s="3">
        <v>2003</v>
      </c>
      <c r="B47" s="4"/>
      <c r="C47" s="4"/>
      <c r="D47" s="4"/>
      <c r="E47" s="56">
        <v>24.8</v>
      </c>
      <c r="F47" s="56">
        <v>11.2</v>
      </c>
      <c r="G47" s="56">
        <v>46.2</v>
      </c>
      <c r="H47" s="57" t="s">
        <v>9</v>
      </c>
      <c r="J47" s="3">
        <f>Kumar_2020!$B$31</f>
        <v>1923.15</v>
      </c>
      <c r="L47" s="3">
        <f>Hajidavalloo_2013!$B$2</f>
        <v>1873.15</v>
      </c>
      <c r="O47">
        <f t="shared" si="23"/>
        <v>0.84756779242388791</v>
      </c>
      <c r="Q47" s="56">
        <f t="shared" si="24"/>
        <v>24.8</v>
      </c>
      <c r="R47" s="57" t="s">
        <v>9</v>
      </c>
      <c r="S47" s="11">
        <f t="shared" si="25"/>
        <v>0.31854838709677419</v>
      </c>
      <c r="U47" s="56">
        <f t="shared" si="12"/>
        <v>15.884412380266685</v>
      </c>
      <c r="V47" s="57" t="s">
        <v>9</v>
      </c>
      <c r="W47" s="11">
        <f t="shared" si="13"/>
        <v>0.49734291775339606</v>
      </c>
      <c r="Y47" s="56">
        <f t="shared" si="20"/>
        <v>24.166666666666679</v>
      </c>
      <c r="Z47" s="57" t="s">
        <v>9</v>
      </c>
      <c r="AA47" s="11">
        <f t="shared" si="21"/>
        <v>0.32689655172413778</v>
      </c>
      <c r="AC47" s="56"/>
      <c r="AD47" s="57" t="s">
        <v>191</v>
      </c>
      <c r="AE47" s="151">
        <f t="shared" si="22"/>
        <v>0.3261935483870968</v>
      </c>
      <c r="AG47" s="56"/>
      <c r="AH47" s="57" t="s">
        <v>191</v>
      </c>
      <c r="AI47" s="151">
        <f t="shared" si="16"/>
        <v>0.56905739442618419</v>
      </c>
      <c r="AK47" s="56"/>
      <c r="AL47" s="57" t="s">
        <v>191</v>
      </c>
      <c r="AM47" s="151">
        <f t="shared" si="17"/>
        <v>0.44890334404411897</v>
      </c>
      <c r="AW47" s="56"/>
      <c r="AX47" s="57" t="s">
        <v>191</v>
      </c>
      <c r="AY47" s="151">
        <f t="shared" si="18"/>
        <v>0.49423846561497231</v>
      </c>
      <c r="BA47" s="56"/>
      <c r="BB47" s="57" t="s">
        <v>191</v>
      </c>
      <c r="BC47" s="151">
        <f t="shared" si="19"/>
        <v>0.45440844341553804</v>
      </c>
    </row>
    <row r="48" spans="1:55">
      <c r="A48" s="3">
        <v>2004</v>
      </c>
      <c r="B48" s="4"/>
      <c r="C48" s="4"/>
      <c r="D48" s="4"/>
      <c r="E48" s="56">
        <v>24.4</v>
      </c>
      <c r="F48" s="56">
        <v>11.1</v>
      </c>
      <c r="G48" s="56">
        <v>46.2</v>
      </c>
      <c r="H48" s="57" t="s">
        <v>9</v>
      </c>
      <c r="J48" s="3">
        <f>Kumar_2020!$B$31</f>
        <v>1923.15</v>
      </c>
      <c r="L48" s="3">
        <f>Hajidavalloo_2013!$B$2</f>
        <v>1873.15</v>
      </c>
      <c r="O48">
        <f t="shared" si="23"/>
        <v>0.84756779242388791</v>
      </c>
      <c r="Q48" s="56">
        <f t="shared" si="24"/>
        <v>24.4</v>
      </c>
      <c r="R48" s="57" t="s">
        <v>9</v>
      </c>
      <c r="S48" s="11">
        <f t="shared" si="25"/>
        <v>0.32377049180327871</v>
      </c>
      <c r="U48" s="56">
        <f t="shared" si="12"/>
        <v>15.562353468800019</v>
      </c>
      <c r="V48" s="57" t="s">
        <v>9</v>
      </c>
      <c r="W48" s="11">
        <f t="shared" si="13"/>
        <v>0.50763530180947325</v>
      </c>
      <c r="Y48" s="56">
        <f t="shared" si="20"/>
        <v>23.303703703703714</v>
      </c>
      <c r="Z48" s="57" t="s">
        <v>9</v>
      </c>
      <c r="AA48" s="11">
        <f t="shared" si="21"/>
        <v>0.33900190718372525</v>
      </c>
      <c r="AC48" s="56"/>
      <c r="AD48" s="57" t="s">
        <v>191</v>
      </c>
      <c r="AE48" s="151">
        <f t="shared" si="22"/>
        <v>0.33154098360655743</v>
      </c>
      <c r="AG48" s="56"/>
      <c r="AH48" s="57" t="s">
        <v>191</v>
      </c>
      <c r="AI48" s="151">
        <f t="shared" si="16"/>
        <v>0.57838620417087572</v>
      </c>
      <c r="AK48" s="56"/>
      <c r="AL48" s="57" t="s">
        <v>191</v>
      </c>
      <c r="AM48" s="151">
        <f t="shared" si="17"/>
        <v>0.45626241525795702</v>
      </c>
      <c r="AW48" s="56"/>
      <c r="AX48" s="57" t="s">
        <v>191</v>
      </c>
      <c r="AY48" s="151">
        <f t="shared" si="18"/>
        <v>0.50234073554308667</v>
      </c>
      <c r="BA48" s="56"/>
      <c r="BB48" s="57" t="s">
        <v>191</v>
      </c>
      <c r="BC48" s="151">
        <f t="shared" si="19"/>
        <v>0.46185776216005509</v>
      </c>
    </row>
    <row r="49" spans="1:55" s="23" customFormat="1">
      <c r="A49" s="33">
        <v>2005</v>
      </c>
      <c r="B49" s="58">
        <f>WorldSteel!E17</f>
        <v>24</v>
      </c>
      <c r="C49" s="58">
        <f>WorldSteel!F17</f>
        <v>11</v>
      </c>
      <c r="D49" s="58">
        <f>WorldSteel!G17</f>
        <v>46.2</v>
      </c>
      <c r="E49" s="58">
        <v>24</v>
      </c>
      <c r="F49" s="58">
        <v>11</v>
      </c>
      <c r="G49" s="58">
        <v>46.2</v>
      </c>
      <c r="H49" s="33" t="s">
        <v>8</v>
      </c>
      <c r="I49" s="33"/>
      <c r="J49" s="33">
        <f>Kumar_2020!$B$31</f>
        <v>1923.15</v>
      </c>
      <c r="K49" s="33"/>
      <c r="L49" s="33">
        <f>Hajidavalloo_2013!$B$2</f>
        <v>1873.15</v>
      </c>
      <c r="M49" s="33"/>
      <c r="N49" s="33"/>
      <c r="O49" s="23">
        <f t="shared" si="23"/>
        <v>0.84756779242388791</v>
      </c>
      <c r="P49" s="33"/>
      <c r="Q49" s="58">
        <f t="shared" si="24"/>
        <v>24</v>
      </c>
      <c r="R49" s="33" t="s">
        <v>8</v>
      </c>
      <c r="S49" s="11">
        <f t="shared" si="25"/>
        <v>0.32916666666666666</v>
      </c>
      <c r="U49" s="56">
        <f t="shared" si="12"/>
        <v>15.240294557333353</v>
      </c>
      <c r="V49" s="57" t="s">
        <v>9</v>
      </c>
      <c r="W49" s="11">
        <f t="shared" si="13"/>
        <v>0.51836268454527101</v>
      </c>
      <c r="Y49" s="56">
        <f t="shared" si="20"/>
        <v>22.44074074074075</v>
      </c>
      <c r="Z49" s="57" t="s">
        <v>9</v>
      </c>
      <c r="AA49" s="11">
        <f t="shared" si="21"/>
        <v>0.35203829014688881</v>
      </c>
      <c r="AC49" s="56"/>
      <c r="AD49" s="57" t="s">
        <v>191</v>
      </c>
      <c r="AE49" s="151">
        <f t="shared" si="22"/>
        <v>0.33706666666666668</v>
      </c>
      <c r="AG49" s="56"/>
      <c r="AH49" s="57" t="s">
        <v>191</v>
      </c>
      <c r="AI49" s="151">
        <f t="shared" si="16"/>
        <v>0.58802597424039027</v>
      </c>
      <c r="AK49" s="56"/>
      <c r="AL49" s="57" t="s">
        <v>191</v>
      </c>
      <c r="AM49" s="151">
        <f t="shared" si="17"/>
        <v>0.46386678884558957</v>
      </c>
      <c r="AW49" s="56"/>
      <c r="AX49" s="57" t="s">
        <v>191</v>
      </c>
      <c r="AY49" s="151">
        <f t="shared" si="18"/>
        <v>0.51071308113547143</v>
      </c>
      <c r="BA49" s="56"/>
      <c r="BB49" s="57" t="s">
        <v>191</v>
      </c>
      <c r="BC49" s="151">
        <f t="shared" si="19"/>
        <v>0.4695553915293893</v>
      </c>
    </row>
    <row r="50" spans="1:55">
      <c r="A50" s="3">
        <v>2006</v>
      </c>
      <c r="B50" s="4"/>
      <c r="C50" s="4"/>
      <c r="D50" s="4"/>
      <c r="E50" s="56">
        <v>24.15</v>
      </c>
      <c r="F50" s="56">
        <v>10.9</v>
      </c>
      <c r="G50" s="56">
        <v>39.35</v>
      </c>
      <c r="H50" s="57" t="s">
        <v>9</v>
      </c>
      <c r="J50" s="3">
        <f>Kumar_2020!$B$31</f>
        <v>1923.15</v>
      </c>
      <c r="L50" s="3">
        <f>Hajidavalloo_2013!$B$2</f>
        <v>1873.15</v>
      </c>
      <c r="O50">
        <f t="shared" si="23"/>
        <v>0.84756779242388791</v>
      </c>
      <c r="Q50" s="56">
        <f t="shared" si="24"/>
        <v>24.15</v>
      </c>
      <c r="R50" s="57" t="s">
        <v>9</v>
      </c>
      <c r="S50" s="11">
        <f t="shared" si="25"/>
        <v>0.32712215320910976</v>
      </c>
      <c r="U50" s="56">
        <f t="shared" si="12"/>
        <v>14.918235645866687</v>
      </c>
      <c r="V50" s="57" t="s">
        <v>9</v>
      </c>
      <c r="W50" s="11">
        <f t="shared" si="13"/>
        <v>0.52955323856871839</v>
      </c>
      <c r="Y50" s="56">
        <f t="shared" si="20"/>
        <v>21.577777777777786</v>
      </c>
      <c r="Z50" s="57" t="s">
        <v>9</v>
      </c>
      <c r="AA50" s="11">
        <f t="shared" si="21"/>
        <v>0.36611740473738402</v>
      </c>
      <c r="AC50" s="56"/>
      <c r="AD50" s="57" t="s">
        <v>191</v>
      </c>
      <c r="AE50" s="151">
        <f t="shared" si="22"/>
        <v>0.33497308488612842</v>
      </c>
      <c r="AG50" s="56"/>
      <c r="AH50" s="57" t="s">
        <v>191</v>
      </c>
      <c r="AI50" s="151">
        <f t="shared" si="16"/>
        <v>0.58437363899666117</v>
      </c>
      <c r="AK50" s="56"/>
      <c r="AL50" s="57" t="s">
        <v>191</v>
      </c>
      <c r="AM50" s="151">
        <f t="shared" si="17"/>
        <v>0.46098562866642445</v>
      </c>
      <c r="AW50" s="56"/>
      <c r="AX50" s="57" t="s">
        <v>191</v>
      </c>
      <c r="AY50" s="151">
        <f t="shared" si="18"/>
        <v>0.50754095019674184</v>
      </c>
      <c r="BA50" s="56"/>
      <c r="BB50" s="57" t="s">
        <v>191</v>
      </c>
      <c r="BC50" s="151">
        <f t="shared" si="19"/>
        <v>0.46663889841429995</v>
      </c>
    </row>
    <row r="51" spans="1:55">
      <c r="A51" s="3">
        <v>2007</v>
      </c>
      <c r="B51" s="4">
        <f>WorldSteel!E18</f>
        <v>24.3</v>
      </c>
      <c r="C51" s="4">
        <f>WorldSteel!F18</f>
        <v>10.8</v>
      </c>
      <c r="D51" s="4">
        <f>WorldSteel!G18</f>
        <v>32.5</v>
      </c>
      <c r="E51" s="4">
        <v>24.3</v>
      </c>
      <c r="F51" s="4">
        <v>10.8</v>
      </c>
      <c r="G51" s="4">
        <v>32.5</v>
      </c>
      <c r="H51" s="3" t="s">
        <v>8</v>
      </c>
      <c r="J51" s="3">
        <f>Kumar_2020!$B$31</f>
        <v>1923.15</v>
      </c>
      <c r="L51" s="3">
        <f>Hajidavalloo_2013!$B$2</f>
        <v>1873.15</v>
      </c>
      <c r="O51">
        <f t="shared" si="23"/>
        <v>0.84756779242388791</v>
      </c>
      <c r="Q51" s="4">
        <f t="shared" si="24"/>
        <v>24.3</v>
      </c>
      <c r="R51" s="3" t="s">
        <v>8</v>
      </c>
      <c r="S51" s="11">
        <f t="shared" si="25"/>
        <v>0.32510288065843623</v>
      </c>
      <c r="U51" s="56">
        <f t="shared" si="12"/>
        <v>14.596176734400022</v>
      </c>
      <c r="V51" s="57" t="s">
        <v>9</v>
      </c>
      <c r="W51" s="11">
        <f t="shared" si="13"/>
        <v>0.54123762295789513</v>
      </c>
      <c r="Y51" s="56">
        <f t="shared" si="20"/>
        <v>20.714814814814822</v>
      </c>
      <c r="Z51" s="57" t="s">
        <v>9</v>
      </c>
      <c r="AA51" s="11">
        <f t="shared" si="21"/>
        <v>0.3813695691042373</v>
      </c>
      <c r="AC51" s="56"/>
      <c r="AD51" s="57" t="s">
        <v>191</v>
      </c>
      <c r="AE51" s="151">
        <f t="shared" si="22"/>
        <v>0.33290534979423869</v>
      </c>
      <c r="AG51" s="56"/>
      <c r="AH51" s="57" t="s">
        <v>191</v>
      </c>
      <c r="AI51" s="151">
        <f t="shared" si="16"/>
        <v>0.58076639431149657</v>
      </c>
      <c r="AK51" s="56"/>
      <c r="AL51" s="57" t="s">
        <v>191</v>
      </c>
      <c r="AM51" s="151">
        <f t="shared" si="17"/>
        <v>0.45814003836601441</v>
      </c>
      <c r="AW51" s="56"/>
      <c r="AX51" s="57" t="s">
        <v>191</v>
      </c>
      <c r="AY51" s="151">
        <f t="shared" si="18"/>
        <v>0.50440798136836684</v>
      </c>
      <c r="BA51" s="56"/>
      <c r="BB51" s="57" t="s">
        <v>191</v>
      </c>
      <c r="BC51" s="151">
        <f t="shared" si="19"/>
        <v>0.46375841138705121</v>
      </c>
    </row>
    <row r="52" spans="1:55">
      <c r="A52" s="3">
        <v>2008</v>
      </c>
      <c r="B52" s="4">
        <f>WorldSteel!E19</f>
        <v>24.5</v>
      </c>
      <c r="C52" s="4">
        <f>WorldSteel!F19</f>
        <v>10</v>
      </c>
      <c r="D52" s="4">
        <f>WorldSteel!G19</f>
        <v>39.799999999999997</v>
      </c>
      <c r="E52" s="4">
        <v>24.5</v>
      </c>
      <c r="F52" s="4">
        <v>10</v>
      </c>
      <c r="G52" s="4">
        <v>39.799999999999997</v>
      </c>
      <c r="H52" s="3" t="s">
        <v>8</v>
      </c>
      <c r="J52" s="3">
        <f>Kumar_2020!$B$31</f>
        <v>1923.15</v>
      </c>
      <c r="L52" s="3">
        <f>Hajidavalloo_2013!$B$2</f>
        <v>1873.15</v>
      </c>
      <c r="O52">
        <f t="shared" si="23"/>
        <v>0.84756779242388791</v>
      </c>
      <c r="Q52" s="4">
        <f t="shared" si="24"/>
        <v>24.5</v>
      </c>
      <c r="R52" s="3" t="s">
        <v>8</v>
      </c>
      <c r="S52" s="11">
        <f t="shared" si="25"/>
        <v>0.32244897959183677</v>
      </c>
      <c r="U52" s="56">
        <f t="shared" si="12"/>
        <v>14.274117822933356</v>
      </c>
      <c r="V52" s="57" t="s">
        <v>9</v>
      </c>
      <c r="W52" s="11">
        <f t="shared" si="13"/>
        <v>0.5534492637651871</v>
      </c>
      <c r="Y52" s="56">
        <f t="shared" si="20"/>
        <v>19.851851851851858</v>
      </c>
      <c r="Z52" s="57" t="s">
        <v>9</v>
      </c>
      <c r="AA52" s="11">
        <f t="shared" si="21"/>
        <v>0.39794776119402975</v>
      </c>
      <c r="AC52" s="56"/>
      <c r="AD52" s="57" t="s">
        <v>191</v>
      </c>
      <c r="AE52" s="151">
        <f t="shared" si="22"/>
        <v>0.33018775510204085</v>
      </c>
      <c r="AG52" s="56"/>
      <c r="AH52" s="57" t="s">
        <v>191</v>
      </c>
      <c r="AI52" s="151">
        <f t="shared" si="16"/>
        <v>0.57602544415385182</v>
      </c>
      <c r="AK52" s="56"/>
      <c r="AL52" s="57" t="s">
        <v>191</v>
      </c>
      <c r="AM52" s="151">
        <f t="shared" si="17"/>
        <v>0.45440011968547556</v>
      </c>
      <c r="AW52" s="56"/>
      <c r="AX52" s="57" t="s">
        <v>191</v>
      </c>
      <c r="AY52" s="151">
        <f t="shared" si="18"/>
        <v>0.50029036519393122</v>
      </c>
      <c r="BA52" s="56"/>
      <c r="BB52" s="57" t="s">
        <v>191</v>
      </c>
      <c r="BC52" s="151">
        <f t="shared" si="19"/>
        <v>0.45997262843695286</v>
      </c>
    </row>
    <row r="53" spans="1:55">
      <c r="A53" s="3">
        <v>2009</v>
      </c>
      <c r="B53" s="4">
        <f>WorldSteel!E20</f>
        <v>24.2</v>
      </c>
      <c r="C53" s="4">
        <f>WorldSteel!F20</f>
        <v>10.4</v>
      </c>
      <c r="D53" s="4">
        <f>WorldSteel!G20</f>
        <v>46.2</v>
      </c>
      <c r="E53" s="4">
        <v>24.2</v>
      </c>
      <c r="F53" s="4">
        <v>10.4</v>
      </c>
      <c r="G53" s="4">
        <v>46.2</v>
      </c>
      <c r="H53" s="3" t="s">
        <v>8</v>
      </c>
      <c r="J53" s="3">
        <f>Kumar_2020!$B$31</f>
        <v>1923.15</v>
      </c>
      <c r="L53" s="3">
        <f>Hajidavalloo_2013!$B$2</f>
        <v>1873.15</v>
      </c>
      <c r="O53">
        <f t="shared" si="23"/>
        <v>0.84756779242388791</v>
      </c>
      <c r="Q53" s="4">
        <f t="shared" si="24"/>
        <v>24.2</v>
      </c>
      <c r="R53" s="3" t="s">
        <v>8</v>
      </c>
      <c r="S53" s="11">
        <f t="shared" si="25"/>
        <v>0.32644628099173556</v>
      </c>
      <c r="U53" s="56">
        <f t="shared" si="12"/>
        <v>13.95205891146669</v>
      </c>
      <c r="V53" s="57" t="s">
        <v>9</v>
      </c>
      <c r="W53" s="11">
        <f t="shared" si="13"/>
        <v>0.56622467337113069</v>
      </c>
      <c r="Y53" s="56">
        <f t="shared" si="20"/>
        <v>18.988888888888894</v>
      </c>
      <c r="Z53" s="57" t="s">
        <v>9</v>
      </c>
      <c r="AA53" s="11">
        <f t="shared" si="21"/>
        <v>0.41603276770040948</v>
      </c>
      <c r="AC53" s="56"/>
      <c r="AD53" s="57" t="s">
        <v>191</v>
      </c>
      <c r="AE53" s="151">
        <f t="shared" si="22"/>
        <v>0.33428099173553721</v>
      </c>
      <c r="AG53" s="56"/>
      <c r="AH53" s="57" t="s">
        <v>191</v>
      </c>
      <c r="AI53" s="151">
        <f t="shared" si="16"/>
        <v>0.58316625544501521</v>
      </c>
      <c r="AK53" s="56"/>
      <c r="AL53" s="57" t="s">
        <v>191</v>
      </c>
      <c r="AM53" s="151">
        <f t="shared" si="17"/>
        <v>0.46003317902041946</v>
      </c>
      <c r="AW53" s="56"/>
      <c r="AX53" s="57" t="s">
        <v>191</v>
      </c>
      <c r="AY53" s="151">
        <f t="shared" si="18"/>
        <v>0.50649231186988908</v>
      </c>
      <c r="BA53" s="56"/>
      <c r="BB53" s="57" t="s">
        <v>191</v>
      </c>
      <c r="BC53" s="151">
        <f t="shared" si="19"/>
        <v>0.46567476845889855</v>
      </c>
    </row>
    <row r="54" spans="1:55">
      <c r="A54" s="3">
        <v>2010</v>
      </c>
      <c r="B54" s="4">
        <f>WorldSteel!E21</f>
        <v>24</v>
      </c>
      <c r="C54" s="4">
        <f>WorldSteel!F21</f>
        <v>9.9</v>
      </c>
      <c r="D54" s="4">
        <f>WorldSteel!G21</f>
        <v>46.2</v>
      </c>
      <c r="E54" s="4">
        <v>24</v>
      </c>
      <c r="F54" s="4">
        <v>9.9</v>
      </c>
      <c r="G54" s="4">
        <v>46.2</v>
      </c>
      <c r="H54" s="3" t="s">
        <v>8</v>
      </c>
      <c r="J54" s="3">
        <f>Kumar_2020!$B$31</f>
        <v>1923.15</v>
      </c>
      <c r="L54" s="3">
        <f>Hajidavalloo_2013!$B$2</f>
        <v>1873.15</v>
      </c>
      <c r="O54">
        <f t="shared" si="23"/>
        <v>0.84756779242388791</v>
      </c>
      <c r="Q54" s="4">
        <f t="shared" si="24"/>
        <v>24</v>
      </c>
      <c r="R54" s="3" t="s">
        <v>8</v>
      </c>
      <c r="S54" s="11">
        <f t="shared" si="25"/>
        <v>0.32916666666666666</v>
      </c>
      <c r="U54" s="69">
        <f>DOE_2015!C6</f>
        <v>13.63</v>
      </c>
      <c r="V54" s="70" t="s">
        <v>193</v>
      </c>
      <c r="W54" s="11">
        <f t="shared" ref="W54" si="26">BF_BOF_min/U54</f>
        <v>0.57960381511371972</v>
      </c>
      <c r="Y54" s="56">
        <f t="shared" si="20"/>
        <v>18.12592592592593</v>
      </c>
      <c r="Z54" s="57" t="s">
        <v>9</v>
      </c>
      <c r="AA54" s="11">
        <f t="shared" si="21"/>
        <v>0.43583980384143839</v>
      </c>
      <c r="AC54" s="56"/>
      <c r="AD54" s="57" t="s">
        <v>191</v>
      </c>
      <c r="AE54" s="151">
        <f t="shared" si="22"/>
        <v>0.33706666666666668</v>
      </c>
      <c r="AG54" s="56"/>
      <c r="AH54" s="57" t="s">
        <v>191</v>
      </c>
      <c r="AI54" s="151">
        <f t="shared" si="16"/>
        <v>0.58802597424039027</v>
      </c>
      <c r="AK54" s="56"/>
      <c r="AL54" s="57" t="s">
        <v>191</v>
      </c>
      <c r="AM54" s="151">
        <f t="shared" si="17"/>
        <v>0.46386678884558957</v>
      </c>
      <c r="AW54" s="56"/>
      <c r="AX54" s="57" t="s">
        <v>191</v>
      </c>
      <c r="AY54" s="151">
        <f t="shared" si="18"/>
        <v>0.51071308113547143</v>
      </c>
      <c r="BA54" s="56"/>
      <c r="BB54" s="57" t="s">
        <v>191</v>
      </c>
      <c r="BC54" s="151">
        <f t="shared" si="19"/>
        <v>0.4695553915293893</v>
      </c>
    </row>
    <row r="55" spans="1:55">
      <c r="A55" s="3">
        <v>2011</v>
      </c>
      <c r="B55" s="4">
        <f>WorldSteel!E22</f>
        <v>23.5</v>
      </c>
      <c r="C55" s="4">
        <f>WorldSteel!F22</f>
        <v>10.199999999999999</v>
      </c>
      <c r="D55" s="4">
        <f>WorldSteel!G22</f>
        <v>46.2</v>
      </c>
      <c r="E55" s="4">
        <v>23.5</v>
      </c>
      <c r="F55" s="4">
        <v>10.199999999999999</v>
      </c>
      <c r="G55" s="4">
        <v>46.2</v>
      </c>
      <c r="H55" s="3" t="s">
        <v>8</v>
      </c>
      <c r="J55" s="3">
        <f>Kumar_2020!$B$31</f>
        <v>1923.15</v>
      </c>
      <c r="L55" s="3">
        <f>Hajidavalloo_2013!$B$2</f>
        <v>1873.15</v>
      </c>
      <c r="O55">
        <f t="shared" si="23"/>
        <v>0.84756779242388791</v>
      </c>
      <c r="Q55" s="4">
        <f t="shared" si="24"/>
        <v>23.5</v>
      </c>
      <c r="R55" s="3" t="s">
        <v>8</v>
      </c>
      <c r="S55" s="11">
        <f t="shared" si="25"/>
        <v>0.33617021276595749</v>
      </c>
      <c r="U55" s="56"/>
      <c r="V55" s="57" t="s">
        <v>191</v>
      </c>
      <c r="W55" s="151">
        <f>S55*(W$54/S$54)</f>
        <v>0.59193581117996918</v>
      </c>
      <c r="Y55" s="56">
        <f t="shared" si="20"/>
        <v>17.262962962962966</v>
      </c>
      <c r="Z55" s="57" t="s">
        <v>9</v>
      </c>
      <c r="AA55" s="11">
        <f t="shared" si="21"/>
        <v>0.45762711864406774</v>
      </c>
      <c r="AC55" s="56"/>
      <c r="AD55" s="57" t="s">
        <v>191</v>
      </c>
      <c r="AE55" s="151">
        <f t="shared" si="22"/>
        <v>0.34423829787234045</v>
      </c>
      <c r="AG55" s="56"/>
      <c r="AH55" s="57" t="s">
        <v>191</v>
      </c>
      <c r="AI55" s="151">
        <f t="shared" si="16"/>
        <v>0.60053716518167533</v>
      </c>
      <c r="AK55" s="56"/>
      <c r="AL55" s="57" t="s">
        <v>191</v>
      </c>
      <c r="AM55" s="151">
        <f t="shared" si="17"/>
        <v>0.47373629499124048</v>
      </c>
      <c r="AW55" s="56"/>
      <c r="AX55" s="57" t="s">
        <v>191</v>
      </c>
      <c r="AY55" s="151">
        <f t="shared" si="18"/>
        <v>0.52157931690431125</v>
      </c>
      <c r="BA55" s="56"/>
      <c r="BB55" s="57" t="s">
        <v>191</v>
      </c>
      <c r="BC55" s="151">
        <f t="shared" si="19"/>
        <v>0.47954593177469551</v>
      </c>
    </row>
    <row r="56" spans="1:55">
      <c r="A56" s="3">
        <v>2012</v>
      </c>
      <c r="B56" s="4">
        <f>WorldSteel!E23</f>
        <v>23.1</v>
      </c>
      <c r="C56" s="4">
        <f>WorldSteel!F23</f>
        <v>10.4</v>
      </c>
      <c r="D56" s="4">
        <f>WorldSteel!G23</f>
        <v>46.2</v>
      </c>
      <c r="E56" s="4">
        <v>23.1</v>
      </c>
      <c r="F56" s="4">
        <v>10.4</v>
      </c>
      <c r="G56" s="4">
        <v>46.2</v>
      </c>
      <c r="H56" s="3" t="s">
        <v>8</v>
      </c>
      <c r="J56" s="3">
        <f>Kumar_2020!$B$31</f>
        <v>1923.15</v>
      </c>
      <c r="L56" s="3">
        <f>Hajidavalloo_2013!$B$2</f>
        <v>1873.15</v>
      </c>
      <c r="O56">
        <f t="shared" si="23"/>
        <v>0.84756779242388791</v>
      </c>
      <c r="Q56" s="4">
        <f t="shared" si="24"/>
        <v>23.1</v>
      </c>
      <c r="R56" s="3" t="s">
        <v>8</v>
      </c>
      <c r="S56" s="11">
        <f t="shared" si="25"/>
        <v>0.34199134199134201</v>
      </c>
      <c r="U56" s="56"/>
      <c r="V56" s="57" t="s">
        <v>191</v>
      </c>
      <c r="W56" s="151">
        <f t="shared" ref="W56:W64" si="27">S56*(W$54/S$54)</f>
        <v>0.60218578193633221</v>
      </c>
      <c r="Y56" s="3">
        <f>Krishnan_2013!D6</f>
        <v>16.399999999999999</v>
      </c>
      <c r="Z56" s="3" t="s">
        <v>187</v>
      </c>
      <c r="AA56" s="11">
        <f t="shared" ref="AA56" si="28">BF_BOF_min/Y56</f>
        <v>0.48170731707317077</v>
      </c>
      <c r="AC56" s="56"/>
      <c r="AD56" s="57" t="s">
        <v>191</v>
      </c>
      <c r="AE56" s="151">
        <f t="shared" si="22"/>
        <v>0.35019913419913423</v>
      </c>
      <c r="AG56" s="56"/>
      <c r="AH56" s="57" t="s">
        <v>191</v>
      </c>
      <c r="AI56" s="151">
        <f t="shared" si="16"/>
        <v>0.61093607713287312</v>
      </c>
      <c r="AK56" s="56"/>
      <c r="AL56" s="57" t="s">
        <v>191</v>
      </c>
      <c r="AM56" s="151">
        <f t="shared" si="17"/>
        <v>0.48193952087853464</v>
      </c>
      <c r="AW56" s="56"/>
      <c r="AX56" s="57" t="s">
        <v>191</v>
      </c>
      <c r="AY56" s="151">
        <f t="shared" si="18"/>
        <v>0.53061099338750284</v>
      </c>
      <c r="BA56" s="56"/>
      <c r="BB56" s="57" t="s">
        <v>191</v>
      </c>
      <c r="BC56" s="151">
        <f t="shared" si="19"/>
        <v>0.4878497574331318</v>
      </c>
    </row>
    <row r="57" spans="1:55">
      <c r="A57" s="3">
        <v>2013</v>
      </c>
      <c r="B57" s="4">
        <f>WorldSteel!E24</f>
        <v>23.5</v>
      </c>
      <c r="C57" s="4">
        <f>WorldSteel!F24</f>
        <v>10.199999999999999</v>
      </c>
      <c r="D57" s="4">
        <f>WorldSteel!G24</f>
        <v>46.2</v>
      </c>
      <c r="E57" s="4">
        <v>23.5</v>
      </c>
      <c r="F57" s="4">
        <v>10.199999999999999</v>
      </c>
      <c r="G57" s="4">
        <v>46.2</v>
      </c>
      <c r="H57" s="3" t="s">
        <v>8</v>
      </c>
      <c r="J57" s="3">
        <f>Kumar_2020!$B$31</f>
        <v>1923.15</v>
      </c>
      <c r="L57" s="3">
        <f>Hajidavalloo_2013!$B$2</f>
        <v>1873.15</v>
      </c>
      <c r="O57">
        <f t="shared" si="23"/>
        <v>0.84756779242388791</v>
      </c>
      <c r="Q57" s="4">
        <f t="shared" si="24"/>
        <v>23.5</v>
      </c>
      <c r="R57" s="3" t="s">
        <v>8</v>
      </c>
      <c r="S57" s="11">
        <f t="shared" si="25"/>
        <v>0.33617021276595749</v>
      </c>
      <c r="U57" s="56"/>
      <c r="V57" s="57" t="s">
        <v>191</v>
      </c>
      <c r="W57" s="151">
        <f t="shared" si="27"/>
        <v>0.59193581117996918</v>
      </c>
      <c r="Y57" s="56"/>
      <c r="Z57" s="57" t="s">
        <v>191</v>
      </c>
      <c r="AA57" s="151">
        <f>S57*(AA$56/S$56)</f>
        <v>0.47350804359107423</v>
      </c>
      <c r="AC57" s="56"/>
      <c r="AD57" s="57" t="s">
        <v>191</v>
      </c>
      <c r="AE57" s="151">
        <f t="shared" si="22"/>
        <v>0.34423829787234045</v>
      </c>
      <c r="AG57" s="56"/>
      <c r="AH57" s="57" t="s">
        <v>191</v>
      </c>
      <c r="AI57" s="151">
        <f t="shared" si="16"/>
        <v>0.60053716518167533</v>
      </c>
      <c r="AK57" s="56"/>
      <c r="AL57" s="57" t="s">
        <v>191</v>
      </c>
      <c r="AM57" s="151">
        <f t="shared" si="17"/>
        <v>0.47373629499124048</v>
      </c>
      <c r="AW57" s="56"/>
      <c r="AX57" s="57" t="s">
        <v>191</v>
      </c>
      <c r="AY57" s="151">
        <f t="shared" si="18"/>
        <v>0.52157931690431125</v>
      </c>
      <c r="BA57" s="56"/>
      <c r="BB57" s="57" t="s">
        <v>191</v>
      </c>
      <c r="BC57" s="151">
        <f t="shared" si="19"/>
        <v>0.47954593177469551</v>
      </c>
    </row>
    <row r="58" spans="1:55">
      <c r="A58" s="3">
        <v>2014</v>
      </c>
      <c r="B58" s="4">
        <f>WorldSteel!E25</f>
        <v>23.2</v>
      </c>
      <c r="C58" s="4">
        <f>WorldSteel!F25</f>
        <v>9.6</v>
      </c>
      <c r="D58" s="4">
        <f>WorldSteel!G25</f>
        <v>46.2</v>
      </c>
      <c r="E58" s="4">
        <v>23.2</v>
      </c>
      <c r="F58" s="4">
        <v>9.6</v>
      </c>
      <c r="G58" s="4">
        <v>46.2</v>
      </c>
      <c r="H58" s="3" t="s">
        <v>8</v>
      </c>
      <c r="J58" s="3">
        <f>Kumar_2020!$B$31</f>
        <v>1923.15</v>
      </c>
      <c r="L58" s="3">
        <f>Hajidavalloo_2013!$B$2</f>
        <v>1873.15</v>
      </c>
      <c r="O58">
        <f t="shared" si="23"/>
        <v>0.84756779242388791</v>
      </c>
      <c r="Q58" s="4">
        <f t="shared" si="24"/>
        <v>23.2</v>
      </c>
      <c r="R58" s="3" t="s">
        <v>8</v>
      </c>
      <c r="S58" s="11">
        <f t="shared" si="25"/>
        <v>0.34051724137931039</v>
      </c>
      <c r="U58" s="56"/>
      <c r="V58" s="57" t="s">
        <v>191</v>
      </c>
      <c r="W58" s="151">
        <f t="shared" si="27"/>
        <v>0.59959015356591705</v>
      </c>
      <c r="Y58" s="56"/>
      <c r="Z58" s="57" t="s">
        <v>191</v>
      </c>
      <c r="AA58" s="151">
        <f t="shared" ref="AA58:AA64" si="29">S58*(AA$56/S$56)</f>
        <v>0.47963099243061397</v>
      </c>
      <c r="AC58" s="56"/>
      <c r="AD58" s="57" t="s">
        <v>191</v>
      </c>
      <c r="AE58" s="151">
        <f t="shared" si="22"/>
        <v>0.34868965517241385</v>
      </c>
      <c r="AG58" s="56"/>
      <c r="AH58" s="57" t="s">
        <v>191</v>
      </c>
      <c r="AI58" s="151">
        <f t="shared" si="16"/>
        <v>0.60830273197281759</v>
      </c>
      <c r="AK58" s="56"/>
      <c r="AL58" s="57" t="s">
        <v>191</v>
      </c>
      <c r="AM58" s="151">
        <f t="shared" si="17"/>
        <v>0.47986219535750652</v>
      </c>
      <c r="AW58" s="56"/>
      <c r="AX58" s="57" t="s">
        <v>191</v>
      </c>
      <c r="AY58" s="151">
        <f t="shared" si="18"/>
        <v>0.52832387703669459</v>
      </c>
      <c r="BA58" s="56"/>
      <c r="BB58" s="57" t="s">
        <v>191</v>
      </c>
      <c r="BC58" s="151">
        <f t="shared" si="19"/>
        <v>0.48574695675454072</v>
      </c>
    </row>
    <row r="59" spans="1:55">
      <c r="A59" s="3">
        <v>2015</v>
      </c>
      <c r="B59" s="4">
        <f>WorldSteel!E26</f>
        <v>23.9</v>
      </c>
      <c r="C59" s="4">
        <f>WorldSteel!F26</f>
        <v>9.6</v>
      </c>
      <c r="D59" s="4">
        <f>WorldSteel!G26</f>
        <v>46.2</v>
      </c>
      <c r="E59" s="4">
        <v>23.9</v>
      </c>
      <c r="F59" s="4">
        <v>9.6</v>
      </c>
      <c r="G59" s="4">
        <v>46.2</v>
      </c>
      <c r="H59" s="3" t="s">
        <v>8</v>
      </c>
      <c r="J59" s="3">
        <f>Kumar_2020!$B$31</f>
        <v>1923.15</v>
      </c>
      <c r="L59" s="3">
        <f>Hajidavalloo_2013!$B$2</f>
        <v>1873.15</v>
      </c>
      <c r="O59">
        <f t="shared" si="23"/>
        <v>0.84756779242388791</v>
      </c>
      <c r="Q59" s="4">
        <f t="shared" si="24"/>
        <v>23.9</v>
      </c>
      <c r="R59" s="3" t="s">
        <v>8</v>
      </c>
      <c r="S59" s="11">
        <f t="shared" si="25"/>
        <v>0.33054393305439334</v>
      </c>
      <c r="U59" s="56"/>
      <c r="V59" s="57" t="s">
        <v>191</v>
      </c>
      <c r="W59" s="151">
        <f t="shared" si="27"/>
        <v>0.58202893567904923</v>
      </c>
      <c r="Y59" s="56"/>
      <c r="Z59" s="57" t="s">
        <v>191</v>
      </c>
      <c r="AA59" s="151">
        <f t="shared" si="29"/>
        <v>0.46558322277783448</v>
      </c>
      <c r="AC59" s="56"/>
      <c r="AD59" s="57" t="s">
        <v>191</v>
      </c>
      <c r="AE59" s="151">
        <f t="shared" si="22"/>
        <v>0.33847698744769877</v>
      </c>
      <c r="AG59" s="56"/>
      <c r="AH59" s="57" t="s">
        <v>191</v>
      </c>
      <c r="AI59" s="151">
        <f t="shared" si="16"/>
        <v>0.59048633396524552</v>
      </c>
      <c r="AK59" s="56"/>
      <c r="AL59" s="57" t="s">
        <v>191</v>
      </c>
      <c r="AM59" s="151">
        <f t="shared" si="17"/>
        <v>0.46580765407088498</v>
      </c>
      <c r="AW59" s="56"/>
      <c r="AX59" s="57" t="s">
        <v>191</v>
      </c>
      <c r="AY59" s="151">
        <f t="shared" si="18"/>
        <v>0.51284995595193783</v>
      </c>
      <c r="BA59" s="56"/>
      <c r="BB59" s="57" t="s">
        <v>191</v>
      </c>
      <c r="BC59" s="151">
        <f t="shared" si="19"/>
        <v>0.47152005843955419</v>
      </c>
    </row>
    <row r="60" spans="1:55">
      <c r="A60" s="3">
        <v>2016</v>
      </c>
      <c r="B60" s="4">
        <f>WorldSteel!E27</f>
        <v>23.9</v>
      </c>
      <c r="C60" s="4">
        <f>WorldSteel!F27</f>
        <v>9.6</v>
      </c>
      <c r="D60" s="4">
        <f>WorldSteel!G27</f>
        <v>46.2</v>
      </c>
      <c r="E60" s="4">
        <v>23.9</v>
      </c>
      <c r="F60" s="4">
        <v>9.6</v>
      </c>
      <c r="G60" s="4">
        <v>46.2</v>
      </c>
      <c r="H60" s="3" t="s">
        <v>8</v>
      </c>
      <c r="J60" s="3">
        <f>Kumar_2020!$B$31</f>
        <v>1923.15</v>
      </c>
      <c r="L60" s="3">
        <f>Hajidavalloo_2013!$B$2</f>
        <v>1873.15</v>
      </c>
      <c r="O60">
        <f t="shared" si="23"/>
        <v>0.84756779242388791</v>
      </c>
      <c r="Q60" s="4">
        <f t="shared" si="24"/>
        <v>23.9</v>
      </c>
      <c r="R60" s="3" t="s">
        <v>8</v>
      </c>
      <c r="S60" s="11">
        <f t="shared" si="25"/>
        <v>0.33054393305439334</v>
      </c>
      <c r="U60" s="56"/>
      <c r="V60" s="57" t="s">
        <v>191</v>
      </c>
      <c r="W60" s="151">
        <f t="shared" si="27"/>
        <v>0.58202893567904923</v>
      </c>
      <c r="Y60" s="56"/>
      <c r="Z60" s="57" t="s">
        <v>191</v>
      </c>
      <c r="AA60" s="151">
        <f t="shared" si="29"/>
        <v>0.46558322277783448</v>
      </c>
      <c r="AC60" s="56"/>
      <c r="AD60" s="57" t="s">
        <v>191</v>
      </c>
      <c r="AE60" s="151">
        <f t="shared" si="22"/>
        <v>0.33847698744769877</v>
      </c>
      <c r="AG60" s="56"/>
      <c r="AH60" s="57" t="s">
        <v>191</v>
      </c>
      <c r="AI60" s="151">
        <f t="shared" si="16"/>
        <v>0.59048633396524552</v>
      </c>
      <c r="AK60" s="56"/>
      <c r="AL60" s="57" t="s">
        <v>191</v>
      </c>
      <c r="AM60" s="151">
        <f t="shared" si="17"/>
        <v>0.46580765407088498</v>
      </c>
      <c r="AW60" s="56"/>
      <c r="AX60" s="57" t="s">
        <v>191</v>
      </c>
      <c r="AY60" s="151">
        <f t="shared" si="18"/>
        <v>0.51284995595193783</v>
      </c>
      <c r="BA60" s="56"/>
      <c r="BB60" s="57" t="s">
        <v>191</v>
      </c>
      <c r="BC60" s="151">
        <f t="shared" si="19"/>
        <v>0.47152005843955419</v>
      </c>
    </row>
    <row r="61" spans="1:55">
      <c r="A61" s="3">
        <v>2017</v>
      </c>
      <c r="B61" s="4">
        <f>WorldSteel!E28</f>
        <v>23.9</v>
      </c>
      <c r="C61" s="4">
        <f>WorldSteel!F28</f>
        <v>9.6</v>
      </c>
      <c r="D61" s="4">
        <f>WorldSteel!G28</f>
        <v>46.2</v>
      </c>
      <c r="E61" s="4">
        <v>23.9</v>
      </c>
      <c r="F61" s="4">
        <v>9.6</v>
      </c>
      <c r="G61" s="4">
        <v>46.2</v>
      </c>
      <c r="H61" s="3" t="s">
        <v>8</v>
      </c>
      <c r="J61" s="3">
        <f>Kumar_2020!$B$31</f>
        <v>1923.15</v>
      </c>
      <c r="L61" s="3">
        <f>Hajidavalloo_2013!$B$2</f>
        <v>1873.15</v>
      </c>
      <c r="O61">
        <f t="shared" si="23"/>
        <v>0.84756779242388791</v>
      </c>
      <c r="Q61" s="4">
        <f t="shared" si="24"/>
        <v>23.9</v>
      </c>
      <c r="R61" s="3" t="s">
        <v>8</v>
      </c>
      <c r="S61" s="11">
        <f t="shared" si="25"/>
        <v>0.33054393305439334</v>
      </c>
      <c r="U61" s="56"/>
      <c r="V61" s="57" t="s">
        <v>191</v>
      </c>
      <c r="W61" s="151">
        <f t="shared" si="27"/>
        <v>0.58202893567904923</v>
      </c>
      <c r="Y61" s="56"/>
      <c r="Z61" s="57" t="s">
        <v>191</v>
      </c>
      <c r="AA61" s="151">
        <f t="shared" si="29"/>
        <v>0.46558322277783448</v>
      </c>
      <c r="AC61" s="56"/>
      <c r="AD61" s="57" t="s">
        <v>191</v>
      </c>
      <c r="AE61" s="151">
        <f t="shared" si="22"/>
        <v>0.33847698744769877</v>
      </c>
      <c r="AG61" s="56"/>
      <c r="AH61" s="57" t="s">
        <v>191</v>
      </c>
      <c r="AI61" s="151">
        <f t="shared" si="16"/>
        <v>0.59048633396524552</v>
      </c>
      <c r="AK61" s="56"/>
      <c r="AL61" s="57" t="s">
        <v>191</v>
      </c>
      <c r="AM61" s="151">
        <f t="shared" si="17"/>
        <v>0.46580765407088498</v>
      </c>
      <c r="AW61" s="56"/>
      <c r="AX61" s="57" t="s">
        <v>191</v>
      </c>
      <c r="AY61" s="151">
        <f t="shared" si="18"/>
        <v>0.51284995595193783</v>
      </c>
      <c r="BA61" s="56"/>
      <c r="BB61" s="57" t="s">
        <v>191</v>
      </c>
      <c r="BC61" s="151">
        <f t="shared" si="19"/>
        <v>0.47152005843955419</v>
      </c>
    </row>
    <row r="62" spans="1:55">
      <c r="A62" s="3">
        <v>2018</v>
      </c>
      <c r="B62" s="4"/>
      <c r="C62" s="4"/>
      <c r="D62" s="4"/>
      <c r="E62" s="56">
        <f>_xlfn.FORECAST.LINEAR(A62,$E$52:$E$61,$A$52:$A$61)</f>
        <v>23.486666666666679</v>
      </c>
      <c r="F62" s="56">
        <f>_xlfn.FORECAST.LINEAR(A62,$F$52:$F$61,$A$52:$A$61)</f>
        <v>9.5266666666666424</v>
      </c>
      <c r="G62" s="56">
        <f>_xlfn.FORECAST.LINEAR(A62,$G$52:$G$61,$A$52:$A$61)</f>
        <v>47.479999999999905</v>
      </c>
      <c r="H62" s="57" t="s">
        <v>20</v>
      </c>
      <c r="J62" s="3">
        <f>Kumar_2020!$B$31</f>
        <v>1923.15</v>
      </c>
      <c r="L62" s="3">
        <f>Hajidavalloo_2013!$B$2</f>
        <v>1873.15</v>
      </c>
      <c r="O62">
        <f t="shared" si="23"/>
        <v>0.84756779242388791</v>
      </c>
      <c r="Q62" s="56">
        <f t="shared" si="24"/>
        <v>23.486666666666679</v>
      </c>
      <c r="R62" s="57" t="s">
        <v>20</v>
      </c>
      <c r="S62" s="11">
        <f t="shared" si="25"/>
        <v>0.33636105591825133</v>
      </c>
      <c r="U62" s="56"/>
      <c r="V62" s="57" t="s">
        <v>191</v>
      </c>
      <c r="W62" s="151">
        <f t="shared" si="27"/>
        <v>0.59227185194703102</v>
      </c>
      <c r="Y62" s="56"/>
      <c r="Z62" s="57" t="s">
        <v>191</v>
      </c>
      <c r="AA62" s="151">
        <f t="shared" si="29"/>
        <v>0.47377685315314666</v>
      </c>
      <c r="AC62" s="56"/>
      <c r="AD62" s="57" t="s">
        <v>191</v>
      </c>
      <c r="AE62" s="151">
        <f t="shared" si="22"/>
        <v>0.34443372126028937</v>
      </c>
      <c r="AG62" s="56"/>
      <c r="AH62" s="57" t="s">
        <v>191</v>
      </c>
      <c r="AI62" s="151">
        <f t="shared" si="16"/>
        <v>0.60087808892006922</v>
      </c>
      <c r="AK62" s="56"/>
      <c r="AL62" s="57" t="s">
        <v>191</v>
      </c>
      <c r="AM62" s="151">
        <f t="shared" si="17"/>
        <v>0.47400523413117279</v>
      </c>
      <c r="AW62" s="56"/>
      <c r="AX62" s="57" t="s">
        <v>191</v>
      </c>
      <c r="AY62" s="151">
        <f t="shared" si="18"/>
        <v>0.52187541643136426</v>
      </c>
      <c r="BA62" s="56"/>
      <c r="BB62" s="57" t="s">
        <v>191</v>
      </c>
      <c r="BC62" s="151">
        <f t="shared" si="19"/>
        <v>0.47981816903372149</v>
      </c>
    </row>
    <row r="63" spans="1:55">
      <c r="A63" s="3">
        <v>2019</v>
      </c>
      <c r="B63" s="4"/>
      <c r="C63" s="4"/>
      <c r="D63" s="4"/>
      <c r="E63" s="56">
        <f>_xlfn.FORECAST.LINEAR(A63,$E$52:$E$61,$A$52:$A$61)</f>
        <v>23.435151515151531</v>
      </c>
      <c r="F63" s="56">
        <f>_xlfn.FORECAST.LINEAR(A63,$F$52:$F$61,$A$52:$A$61)</f>
        <v>9.4496969696969302</v>
      </c>
      <c r="G63" s="56">
        <f>_xlfn.FORECAST.LINEAR(A63,$G$52:$G$61,$A$52:$A$61)</f>
        <v>47.829090909090837</v>
      </c>
      <c r="H63" s="57" t="s">
        <v>20</v>
      </c>
      <c r="J63" s="3">
        <f>Kumar_2020!$B$31</f>
        <v>1923.15</v>
      </c>
      <c r="L63" s="3">
        <f>Hajidavalloo_2013!$B$2</f>
        <v>1873.15</v>
      </c>
      <c r="O63">
        <f t="shared" si="23"/>
        <v>0.84756779242388791</v>
      </c>
      <c r="Q63" s="56">
        <f t="shared" si="24"/>
        <v>23.435151515151531</v>
      </c>
      <c r="R63" s="57" t="s">
        <v>20</v>
      </c>
      <c r="S63" s="11">
        <f t="shared" si="25"/>
        <v>0.33710044481224766</v>
      </c>
      <c r="U63" s="56"/>
      <c r="V63" s="57" t="s">
        <v>191</v>
      </c>
      <c r="W63" s="151">
        <f t="shared" si="27"/>
        <v>0.59357378396874128</v>
      </c>
      <c r="Y63" s="56"/>
      <c r="Z63" s="57" t="s">
        <v>191</v>
      </c>
      <c r="AA63" s="151">
        <f t="shared" si="29"/>
        <v>0.47481830946115366</v>
      </c>
      <c r="AC63" s="56"/>
      <c r="AD63" s="57" t="s">
        <v>191</v>
      </c>
      <c r="AE63" s="151">
        <f t="shared" si="22"/>
        <v>0.34519085548774159</v>
      </c>
      <c r="AG63" s="56"/>
      <c r="AH63" s="57" t="s">
        <v>191</v>
      </c>
      <c r="AI63" s="151">
        <f t="shared" si="16"/>
        <v>0.60219893917242795</v>
      </c>
      <c r="AK63" s="56"/>
      <c r="AL63" s="57" t="s">
        <v>191</v>
      </c>
      <c r="AM63" s="151">
        <f t="shared" si="17"/>
        <v>0.47504719246625987</v>
      </c>
      <c r="AW63" s="56"/>
      <c r="AX63" s="57" t="s">
        <v>191</v>
      </c>
      <c r="AY63" s="151">
        <f t="shared" si="18"/>
        <v>0.52302260300415471</v>
      </c>
      <c r="BA63" s="56"/>
      <c r="BB63" s="57" t="s">
        <v>191</v>
      </c>
      <c r="BC63" s="151">
        <f t="shared" si="19"/>
        <v>0.48087290536267213</v>
      </c>
    </row>
    <row r="64" spans="1:55">
      <c r="A64" s="3">
        <v>2020</v>
      </c>
      <c r="B64" s="4"/>
      <c r="C64" s="4"/>
      <c r="D64" s="4"/>
      <c r="E64" s="56">
        <f>_xlfn.FORECAST.LINEAR(A64,$E$52:$E$61,$A$52:$A$61)</f>
        <v>23.383636363636384</v>
      </c>
      <c r="F64" s="56">
        <f>_xlfn.FORECAST.LINEAR(A64,$F$52:$F$61,$A$52:$A$61)</f>
        <v>9.3727272727272464</v>
      </c>
      <c r="G64" s="56">
        <f>_xlfn.FORECAST.LINEAR(A64,$G$52:$G$61,$A$52:$A$61)</f>
        <v>48.17818181818177</v>
      </c>
      <c r="H64" s="57" t="s">
        <v>20</v>
      </c>
      <c r="J64" s="3">
        <f>Kumar_2020!$B$31</f>
        <v>1923.15</v>
      </c>
      <c r="L64" s="3">
        <f>Hajidavalloo_2013!$B$2</f>
        <v>1873.15</v>
      </c>
      <c r="O64">
        <f t="shared" si="23"/>
        <v>0.84756779242388791</v>
      </c>
      <c r="Q64" s="56">
        <f t="shared" si="24"/>
        <v>23.383636363636384</v>
      </c>
      <c r="R64" s="57" t="s">
        <v>20</v>
      </c>
      <c r="S64" s="11">
        <f t="shared" si="25"/>
        <v>0.33784309151698905</v>
      </c>
      <c r="U64" s="56"/>
      <c r="V64" s="57" t="s">
        <v>191</v>
      </c>
      <c r="W64" s="151">
        <f t="shared" si="27"/>
        <v>0.59488145241436075</v>
      </c>
      <c r="Y64" s="56"/>
      <c r="Z64" s="57" t="s">
        <v>191</v>
      </c>
      <c r="AA64" s="151">
        <f t="shared" si="29"/>
        <v>0.47586435451478332</v>
      </c>
      <c r="AC64" s="56"/>
      <c r="AD64" s="57" t="s">
        <v>191</v>
      </c>
      <c r="AE64" s="151">
        <f t="shared" si="22"/>
        <v>0.34595132571339682</v>
      </c>
      <c r="AG64" s="56"/>
      <c r="AH64" s="57" t="s">
        <v>191</v>
      </c>
      <c r="AI64" s="151">
        <f t="shared" si="16"/>
        <v>0.60352560920403897</v>
      </c>
      <c r="AK64" s="56"/>
      <c r="AL64" s="57" t="s">
        <v>191</v>
      </c>
      <c r="AM64" s="151">
        <f t="shared" si="17"/>
        <v>0.47609374175894387</v>
      </c>
      <c r="AW64" s="56"/>
      <c r="AX64" s="57" t="s">
        <v>191</v>
      </c>
      <c r="AY64" s="151">
        <f t="shared" si="18"/>
        <v>0.52417484417916305</v>
      </c>
      <c r="BA64" s="56"/>
      <c r="BB64" s="57" t="s">
        <v>191</v>
      </c>
      <c r="BC64" s="151">
        <f t="shared" si="19"/>
        <v>0.48193228895015422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G28"/>
  <sheetViews>
    <sheetView zoomScale="80" zoomScaleNormal="80" workbookViewId="0">
      <selection activeCell="B48" sqref="B48"/>
    </sheetView>
  </sheetViews>
  <sheetFormatPr defaultColWidth="8.88671875" defaultRowHeight="14.4"/>
  <cols>
    <col min="1" max="1" width="19.33203125" bestFit="1" customWidth="1"/>
    <col min="2" max="2" width="24.109375" customWidth="1"/>
    <col min="3" max="3" width="30.44140625" customWidth="1"/>
    <col min="5" max="6" width="15.44140625" style="22" customWidth="1"/>
    <col min="7" max="7" width="13" style="23" customWidth="1"/>
  </cols>
  <sheetData>
    <row r="1" spans="1:7">
      <c r="A1" t="s">
        <v>405</v>
      </c>
    </row>
    <row r="2" spans="1:7">
      <c r="A2" s="153" t="s">
        <v>403</v>
      </c>
      <c r="B2" s="2" t="s">
        <v>5</v>
      </c>
    </row>
    <row r="3" spans="1:7">
      <c r="A3" t="s">
        <v>404</v>
      </c>
      <c r="B3" s="2"/>
    </row>
    <row r="4" spans="1:7">
      <c r="B4" s="2"/>
    </row>
    <row r="5" spans="1:7">
      <c r="A5" s="5"/>
      <c r="B5" s="5" t="s">
        <v>0</v>
      </c>
      <c r="C5" s="5" t="s">
        <v>1</v>
      </c>
      <c r="E5" s="158" t="s">
        <v>10</v>
      </c>
      <c r="F5" s="159"/>
      <c r="G5" s="159"/>
    </row>
    <row r="6" spans="1:7" ht="27.6">
      <c r="A6" s="5" t="s">
        <v>2</v>
      </c>
      <c r="B6" s="5" t="s">
        <v>3</v>
      </c>
      <c r="C6" s="5" t="s">
        <v>4</v>
      </c>
      <c r="E6" s="16" t="s">
        <v>11</v>
      </c>
      <c r="F6" s="16" t="s">
        <v>12</v>
      </c>
      <c r="G6" s="16" t="s">
        <v>13</v>
      </c>
    </row>
    <row r="7" spans="1:7">
      <c r="A7" s="5"/>
      <c r="B7" s="5"/>
      <c r="C7" s="5"/>
      <c r="E7" s="16"/>
      <c r="F7" s="16"/>
      <c r="G7" s="17"/>
    </row>
    <row r="8" spans="1:7">
      <c r="A8" s="5">
        <v>1960</v>
      </c>
      <c r="B8" s="6">
        <v>100</v>
      </c>
      <c r="C8" s="5">
        <v>51.63</v>
      </c>
      <c r="E8" s="16">
        <v>42</v>
      </c>
      <c r="F8" s="18">
        <v>13.5</v>
      </c>
      <c r="G8" s="17">
        <v>66</v>
      </c>
    </row>
    <row r="9" spans="1:7">
      <c r="A9" s="5">
        <v>1965</v>
      </c>
      <c r="B9" s="1">
        <f>C9/C$8*100</f>
        <v>92.116986248305238</v>
      </c>
      <c r="C9" s="5">
        <v>47.56</v>
      </c>
      <c r="E9" s="16">
        <v>40</v>
      </c>
      <c r="F9" s="18">
        <v>13</v>
      </c>
      <c r="G9" s="17">
        <v>64</v>
      </c>
    </row>
    <row r="10" spans="1:7">
      <c r="A10" s="5">
        <v>1970</v>
      </c>
      <c r="B10" s="1">
        <f t="shared" ref="B10:B28" si="0">C10/C$8*100</f>
        <v>83.406898942374923</v>
      </c>
      <c r="C10" s="5">
        <v>43.062981923948172</v>
      </c>
      <c r="E10" s="19">
        <v>38</v>
      </c>
      <c r="F10" s="20">
        <v>13</v>
      </c>
      <c r="G10" s="17">
        <v>62</v>
      </c>
    </row>
    <row r="11" spans="1:7">
      <c r="A11" s="5">
        <v>1975</v>
      </c>
      <c r="B11" s="1">
        <f t="shared" si="0"/>
        <v>74.231780511398668</v>
      </c>
      <c r="C11" s="5">
        <v>38.325868278035138</v>
      </c>
      <c r="E11" s="19">
        <v>36</v>
      </c>
      <c r="F11" s="20">
        <v>12.5</v>
      </c>
      <c r="G11" s="17">
        <v>60</v>
      </c>
    </row>
    <row r="12" spans="1:7">
      <c r="A12" s="5">
        <v>1980</v>
      </c>
      <c r="B12" s="1">
        <f t="shared" si="0"/>
        <v>66.446476140911201</v>
      </c>
      <c r="C12" s="5">
        <v>34.306315631552458</v>
      </c>
      <c r="E12" s="19">
        <v>34</v>
      </c>
      <c r="F12" s="20">
        <v>12.5</v>
      </c>
      <c r="G12" s="17">
        <v>58</v>
      </c>
    </row>
    <row r="13" spans="1:7">
      <c r="A13" s="5">
        <v>1985</v>
      </c>
      <c r="B13" s="1">
        <f t="shared" si="0"/>
        <v>60.465313375993404</v>
      </c>
      <c r="C13" s="5">
        <v>31.218241296025397</v>
      </c>
      <c r="E13" s="19">
        <v>32</v>
      </c>
      <c r="F13" s="20">
        <v>12</v>
      </c>
      <c r="G13" s="17">
        <v>56</v>
      </c>
    </row>
    <row r="14" spans="1:7">
      <c r="A14" s="5">
        <v>1990</v>
      </c>
      <c r="B14" s="1">
        <f t="shared" si="0"/>
        <v>53.344224801175436</v>
      </c>
      <c r="C14" s="5">
        <v>27.541623264846876</v>
      </c>
      <c r="E14" s="19">
        <v>30</v>
      </c>
      <c r="F14" s="20">
        <v>12</v>
      </c>
      <c r="G14" s="17">
        <v>52</v>
      </c>
    </row>
    <row r="15" spans="1:7">
      <c r="A15" s="5">
        <v>1995</v>
      </c>
      <c r="B15" s="1">
        <f t="shared" si="0"/>
        <v>45.227253038583257</v>
      </c>
      <c r="C15" s="5">
        <v>23.350830743820538</v>
      </c>
      <c r="E15" s="19">
        <v>28</v>
      </c>
      <c r="F15" s="20">
        <v>11.5</v>
      </c>
      <c r="G15" s="17">
        <v>48</v>
      </c>
    </row>
    <row r="16" spans="1:7">
      <c r="A16" s="5">
        <v>2000</v>
      </c>
      <c r="B16" s="1">
        <f t="shared" si="0"/>
        <v>42.357628740207893</v>
      </c>
      <c r="C16" s="5">
        <v>21.869243718569336</v>
      </c>
      <c r="E16" s="19">
        <v>26</v>
      </c>
      <c r="F16" s="20">
        <v>11.5</v>
      </c>
      <c r="G16" s="17">
        <v>46.2</v>
      </c>
    </row>
    <row r="17" spans="1:7">
      <c r="A17" s="5">
        <v>2005</v>
      </c>
      <c r="B17" s="1">
        <f t="shared" si="0"/>
        <v>39.52806685691386</v>
      </c>
      <c r="C17" s="5">
        <v>20.408340918224624</v>
      </c>
      <c r="E17" s="19">
        <v>24</v>
      </c>
      <c r="F17" s="20">
        <v>11</v>
      </c>
      <c r="G17" s="17">
        <v>46.2</v>
      </c>
    </row>
    <row r="18" spans="1:7">
      <c r="A18" s="5">
        <v>2007</v>
      </c>
      <c r="B18" s="1">
        <f t="shared" si="0"/>
        <v>39.304667828781717</v>
      </c>
      <c r="C18" s="5">
        <v>20.292999999999999</v>
      </c>
      <c r="E18" s="21">
        <v>24.3</v>
      </c>
      <c r="F18" s="21">
        <v>10.8</v>
      </c>
      <c r="G18" s="17">
        <v>32.5</v>
      </c>
    </row>
    <row r="19" spans="1:7">
      <c r="A19" s="5">
        <v>2008</v>
      </c>
      <c r="B19" s="1">
        <f t="shared" si="0"/>
        <v>39.511136935889986</v>
      </c>
      <c r="C19" s="5">
        <v>20.3996</v>
      </c>
      <c r="E19" s="21">
        <v>24.5</v>
      </c>
      <c r="F19" s="21">
        <v>10</v>
      </c>
      <c r="G19" s="17">
        <v>39.799999999999997</v>
      </c>
    </row>
    <row r="20" spans="1:7">
      <c r="A20" s="5">
        <v>2009</v>
      </c>
      <c r="B20" s="1">
        <f t="shared" si="0"/>
        <v>39.915165601394534</v>
      </c>
      <c r="C20" s="5">
        <v>20.608199999999997</v>
      </c>
      <c r="E20" s="21">
        <v>24.2</v>
      </c>
      <c r="F20" s="21">
        <v>10.4</v>
      </c>
      <c r="G20" s="17">
        <v>46.2</v>
      </c>
    </row>
    <row r="21" spans="1:7">
      <c r="A21" s="5">
        <v>2010</v>
      </c>
      <c r="B21" s="1">
        <f t="shared" si="0"/>
        <v>39.224869262056934</v>
      </c>
      <c r="C21" s="5">
        <v>20.251799999999996</v>
      </c>
      <c r="E21" s="21">
        <v>24</v>
      </c>
      <c r="F21" s="21">
        <v>9.9</v>
      </c>
      <c r="G21" s="17">
        <v>46.2</v>
      </c>
    </row>
    <row r="22" spans="1:7">
      <c r="A22" s="5">
        <v>2011</v>
      </c>
      <c r="B22" s="1">
        <f t="shared" si="0"/>
        <v>38.476273484408289</v>
      </c>
      <c r="C22" s="5">
        <v>19.865300000000001</v>
      </c>
      <c r="E22" s="21">
        <v>23.5</v>
      </c>
      <c r="F22" s="21">
        <v>10.199999999999999</v>
      </c>
      <c r="G22" s="17">
        <v>46.2</v>
      </c>
    </row>
    <row r="23" spans="1:7">
      <c r="A23" s="5">
        <v>2012</v>
      </c>
      <c r="B23" s="1">
        <f t="shared" si="0"/>
        <v>38.026341274452832</v>
      </c>
      <c r="C23" s="5">
        <v>19.632999999999999</v>
      </c>
      <c r="E23" s="21">
        <v>23.1</v>
      </c>
      <c r="F23" s="21">
        <v>10.4</v>
      </c>
      <c r="G23" s="17">
        <v>46.2</v>
      </c>
    </row>
    <row r="24" spans="1:7">
      <c r="A24" s="5">
        <v>2013</v>
      </c>
      <c r="B24" s="1">
        <f t="shared" si="0"/>
        <v>38.515591710245985</v>
      </c>
      <c r="C24" s="5">
        <v>19.885600000000004</v>
      </c>
      <c r="E24" s="21">
        <v>23.5</v>
      </c>
      <c r="F24" s="21">
        <v>10.199999999999999</v>
      </c>
      <c r="G24" s="17">
        <v>46.2</v>
      </c>
    </row>
    <row r="25" spans="1:7">
      <c r="A25" s="5">
        <v>2014</v>
      </c>
      <c r="B25" s="1">
        <f t="shared" si="0"/>
        <v>38.414487700949067</v>
      </c>
      <c r="C25" s="5">
        <v>19.833400000000005</v>
      </c>
      <c r="E25" s="21">
        <v>23.2</v>
      </c>
      <c r="F25" s="21">
        <v>9.6</v>
      </c>
      <c r="G25" s="17">
        <v>46.2</v>
      </c>
    </row>
    <row r="26" spans="1:7">
      <c r="A26" s="5">
        <v>2015</v>
      </c>
      <c r="B26" s="1">
        <f t="shared" si="0"/>
        <v>39.465427077280644</v>
      </c>
      <c r="C26" s="5">
        <v>20.375999999999998</v>
      </c>
      <c r="E26" s="21">
        <v>23.9</v>
      </c>
      <c r="F26" s="21">
        <v>9.6</v>
      </c>
      <c r="G26" s="17">
        <v>46.2</v>
      </c>
    </row>
    <row r="27" spans="1:7">
      <c r="A27" s="5">
        <v>2016</v>
      </c>
      <c r="B27" s="1">
        <f t="shared" si="0"/>
        <v>39.413131900058097</v>
      </c>
      <c r="C27" s="5">
        <v>20.348999999999997</v>
      </c>
      <c r="E27" s="21">
        <v>23.9</v>
      </c>
      <c r="F27" s="21">
        <v>9.6</v>
      </c>
      <c r="G27" s="17">
        <v>46.2</v>
      </c>
    </row>
    <row r="28" spans="1:7">
      <c r="A28" s="5">
        <v>2017</v>
      </c>
      <c r="B28" s="1">
        <f t="shared" si="0"/>
        <v>38.662211892310665</v>
      </c>
      <c r="C28" s="5">
        <v>19.961299999999998</v>
      </c>
      <c r="E28" s="21">
        <v>23.9</v>
      </c>
      <c r="F28" s="21">
        <v>9.6</v>
      </c>
      <c r="G28" s="17">
        <v>46.2</v>
      </c>
    </row>
  </sheetData>
  <mergeCells count="1">
    <mergeCell ref="E5:G5"/>
  </mergeCells>
  <hyperlinks>
    <hyperlink ref="B2" r:id="rId1" xr:uid="{00000000-0004-0000-0D00-000000000000}"/>
  </hyperlink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G80"/>
  <sheetViews>
    <sheetView workbookViewId="0"/>
  </sheetViews>
  <sheetFormatPr defaultColWidth="8.88671875" defaultRowHeight="14.4"/>
  <cols>
    <col min="2" max="2" width="11.44140625" bestFit="1" customWidth="1"/>
    <col min="3" max="4" width="10.109375" customWidth="1"/>
  </cols>
  <sheetData>
    <row r="1" spans="1:4">
      <c r="A1" t="s">
        <v>127</v>
      </c>
    </row>
    <row r="2" spans="1:4">
      <c r="A2" s="2" t="s">
        <v>128</v>
      </c>
    </row>
    <row r="5" spans="1:4" ht="43.2">
      <c r="A5" s="66" t="s">
        <v>2</v>
      </c>
      <c r="B5" s="66" t="s">
        <v>25</v>
      </c>
      <c r="C5" s="68" t="s">
        <v>129</v>
      </c>
      <c r="D5" s="68" t="s">
        <v>115</v>
      </c>
    </row>
    <row r="6" spans="1:4">
      <c r="A6" s="67">
        <v>1980</v>
      </c>
      <c r="B6" s="67" t="s">
        <v>130</v>
      </c>
      <c r="C6" s="67">
        <v>4.5</v>
      </c>
      <c r="D6" s="67">
        <f>C6*4.184</f>
        <v>18.827999999999999</v>
      </c>
    </row>
    <row r="7" spans="1:4">
      <c r="A7" s="67">
        <v>1980</v>
      </c>
      <c r="B7" s="67" t="s">
        <v>131</v>
      </c>
      <c r="C7" s="67">
        <v>6.2</v>
      </c>
      <c r="D7" s="67">
        <f t="shared" ref="D7:D21" si="0">C7*4.184</f>
        <v>25.940800000000003</v>
      </c>
    </row>
    <row r="8" spans="1:4">
      <c r="A8" s="67">
        <v>1980</v>
      </c>
      <c r="B8" s="67" t="s">
        <v>132</v>
      </c>
      <c r="C8" s="67">
        <v>5.2</v>
      </c>
      <c r="D8" s="67">
        <f t="shared" si="0"/>
        <v>21.756800000000002</v>
      </c>
    </row>
    <row r="9" spans="1:4">
      <c r="A9" s="67">
        <v>1980</v>
      </c>
      <c r="B9" s="67" t="s">
        <v>133</v>
      </c>
      <c r="C9" s="67">
        <v>4.2</v>
      </c>
      <c r="D9" s="67">
        <f t="shared" si="0"/>
        <v>17.572800000000001</v>
      </c>
    </row>
    <row r="10" spans="1:4">
      <c r="A10" s="67">
        <v>1980</v>
      </c>
      <c r="B10" s="67" t="s">
        <v>134</v>
      </c>
      <c r="C10" s="67">
        <v>5.7</v>
      </c>
      <c r="D10" s="67">
        <f t="shared" si="0"/>
        <v>23.848800000000001</v>
      </c>
    </row>
    <row r="11" spans="1:4">
      <c r="A11" s="67">
        <v>1980</v>
      </c>
      <c r="B11" s="67" t="s">
        <v>135</v>
      </c>
      <c r="C11" s="67">
        <v>4.4000000000000004</v>
      </c>
      <c r="D11" s="67">
        <f t="shared" si="0"/>
        <v>18.409600000000001</v>
      </c>
    </row>
    <row r="12" spans="1:4">
      <c r="A12" s="67">
        <v>1980</v>
      </c>
      <c r="B12" s="67" t="s">
        <v>136</v>
      </c>
      <c r="C12" s="67">
        <v>5.6</v>
      </c>
      <c r="D12" s="67">
        <f t="shared" si="0"/>
        <v>23.430399999999999</v>
      </c>
    </row>
    <row r="13" spans="1:4">
      <c r="A13" s="67">
        <v>1980</v>
      </c>
      <c r="B13" s="67" t="s">
        <v>137</v>
      </c>
      <c r="C13" s="67">
        <v>9.1</v>
      </c>
      <c r="D13" s="67">
        <f t="shared" si="0"/>
        <v>38.074399999999997</v>
      </c>
    </row>
    <row r="14" spans="1:4">
      <c r="A14" s="67">
        <v>1980</v>
      </c>
      <c r="B14" s="67" t="s">
        <v>138</v>
      </c>
      <c r="C14" s="67">
        <v>5.7</v>
      </c>
      <c r="D14" s="67">
        <f t="shared" si="0"/>
        <v>23.848800000000001</v>
      </c>
    </row>
    <row r="15" spans="1:4">
      <c r="A15" s="67">
        <v>1980</v>
      </c>
      <c r="B15" s="67" t="s">
        <v>139</v>
      </c>
      <c r="C15" s="67" t="s">
        <v>146</v>
      </c>
      <c r="D15" s="67" t="s">
        <v>146</v>
      </c>
    </row>
    <row r="16" spans="1:4">
      <c r="A16" s="67">
        <v>1980</v>
      </c>
      <c r="B16" s="67" t="s">
        <v>140</v>
      </c>
      <c r="C16" s="67">
        <v>9.8000000000000007</v>
      </c>
      <c r="D16" s="67">
        <f t="shared" si="0"/>
        <v>41.003200000000007</v>
      </c>
    </row>
    <row r="17" spans="1:4">
      <c r="A17" s="67">
        <v>1980</v>
      </c>
      <c r="B17" s="67" t="s">
        <v>141</v>
      </c>
      <c r="C17" s="67" t="s">
        <v>146</v>
      </c>
      <c r="D17" s="67" t="s">
        <v>146</v>
      </c>
    </row>
    <row r="18" spans="1:4">
      <c r="A18" s="67">
        <v>1980</v>
      </c>
      <c r="B18" s="67" t="s">
        <v>142</v>
      </c>
      <c r="C18" s="67">
        <v>7.5</v>
      </c>
      <c r="D18" s="67">
        <f t="shared" si="0"/>
        <v>31.380000000000003</v>
      </c>
    </row>
    <row r="19" spans="1:4">
      <c r="A19" s="67">
        <v>1980</v>
      </c>
      <c r="B19" s="67" t="s">
        <v>143</v>
      </c>
      <c r="C19" s="67" t="s">
        <v>146</v>
      </c>
      <c r="D19" s="67" t="s">
        <v>146</v>
      </c>
    </row>
    <row r="20" spans="1:4">
      <c r="A20" s="67">
        <v>1980</v>
      </c>
      <c r="B20" s="67" t="s">
        <v>144</v>
      </c>
      <c r="C20" s="67">
        <v>7.5</v>
      </c>
      <c r="D20" s="67">
        <f t="shared" si="0"/>
        <v>31.380000000000003</v>
      </c>
    </row>
    <row r="21" spans="1:4">
      <c r="A21" s="67">
        <v>1980</v>
      </c>
      <c r="B21" s="67" t="s">
        <v>145</v>
      </c>
      <c r="C21" s="67">
        <v>9.4</v>
      </c>
      <c r="D21" s="67">
        <f t="shared" si="0"/>
        <v>39.329600000000006</v>
      </c>
    </row>
    <row r="36" spans="1:7">
      <c r="A36" s="66"/>
      <c r="B36" s="66" t="s">
        <v>171</v>
      </c>
      <c r="C36" s="66" t="s">
        <v>136</v>
      </c>
      <c r="D36" s="66" t="s">
        <v>131</v>
      </c>
      <c r="E36" s="66" t="s">
        <v>132</v>
      </c>
      <c r="F36" s="66" t="s">
        <v>134</v>
      </c>
      <c r="G36" s="66" t="s">
        <v>130</v>
      </c>
    </row>
    <row r="37" spans="1:7">
      <c r="A37" s="67">
        <v>1960</v>
      </c>
      <c r="B37" t="s">
        <v>188</v>
      </c>
      <c r="C37" s="65">
        <v>8121.7560000000003</v>
      </c>
      <c r="D37" s="67">
        <v>7363.2730000000001</v>
      </c>
      <c r="E37" s="67">
        <v>6584.83</v>
      </c>
      <c r="F37" s="67">
        <v>6395.21</v>
      </c>
      <c r="G37" s="67">
        <v>5067.8639999999996</v>
      </c>
    </row>
    <row r="38" spans="1:7">
      <c r="A38" s="67">
        <v>1961</v>
      </c>
      <c r="B38" t="s">
        <v>188</v>
      </c>
      <c r="C38" s="65">
        <v>7972.0559999999996</v>
      </c>
      <c r="D38" s="67">
        <v>7123.7520000000004</v>
      </c>
      <c r="E38" s="67">
        <v>6435.13</v>
      </c>
      <c r="F38" s="67">
        <v>6185.6289999999999</v>
      </c>
      <c r="G38" s="67">
        <v>4978.0439999999999</v>
      </c>
    </row>
    <row r="39" spans="1:7">
      <c r="A39" s="67">
        <v>1962</v>
      </c>
      <c r="B39" t="s">
        <v>188</v>
      </c>
      <c r="C39" s="65">
        <v>7822.3549999999996</v>
      </c>
      <c r="D39" s="67">
        <v>6924.152</v>
      </c>
      <c r="E39" s="67">
        <v>6315.3689999999997</v>
      </c>
      <c r="F39" s="67">
        <v>5996.0079999999998</v>
      </c>
      <c r="G39" s="67">
        <v>4908.1840000000002</v>
      </c>
    </row>
    <row r="40" spans="1:7">
      <c r="A40" s="67">
        <v>1963</v>
      </c>
      <c r="B40" t="s">
        <v>188</v>
      </c>
      <c r="C40" s="65">
        <v>7682.6350000000002</v>
      </c>
      <c r="D40" s="67">
        <v>6724.5510000000004</v>
      </c>
      <c r="E40" s="67">
        <v>6205.5889999999999</v>
      </c>
      <c r="F40" s="67">
        <v>5806.3869999999997</v>
      </c>
      <c r="G40" s="67">
        <v>4828.3429999999998</v>
      </c>
    </row>
    <row r="41" spans="1:7">
      <c r="A41" s="67">
        <v>1964</v>
      </c>
      <c r="B41" t="s">
        <v>188</v>
      </c>
      <c r="C41" s="65">
        <v>7562.8739999999998</v>
      </c>
      <c r="D41" s="67">
        <v>6514.97</v>
      </c>
      <c r="E41" s="67">
        <v>6055.8879999999999</v>
      </c>
      <c r="F41" s="67">
        <v>5576.8459999999995</v>
      </c>
      <c r="G41" s="67">
        <v>4768.4629999999997</v>
      </c>
    </row>
    <row r="42" spans="1:7">
      <c r="A42" s="67">
        <v>1965</v>
      </c>
      <c r="B42" t="s">
        <v>188</v>
      </c>
      <c r="C42" s="65">
        <v>7403.1940000000004</v>
      </c>
      <c r="D42" s="67">
        <v>6295.4089999999997</v>
      </c>
      <c r="E42" s="67">
        <v>5936.1279999999997</v>
      </c>
      <c r="F42" s="67">
        <v>5387.2259999999997</v>
      </c>
      <c r="G42" s="67">
        <v>4708.5829999999996</v>
      </c>
    </row>
    <row r="43" spans="1:7">
      <c r="A43" s="67">
        <v>1966</v>
      </c>
      <c r="B43" t="s">
        <v>188</v>
      </c>
      <c r="C43" s="65">
        <v>7293.4129999999996</v>
      </c>
      <c r="D43" s="67">
        <v>6325.3490000000002</v>
      </c>
      <c r="E43" s="67">
        <v>5886.2280000000001</v>
      </c>
      <c r="F43" s="67">
        <v>5327.3450000000003</v>
      </c>
      <c r="G43" s="67">
        <v>4678.643</v>
      </c>
    </row>
    <row r="44" spans="1:7">
      <c r="A44" s="67">
        <v>1967</v>
      </c>
      <c r="B44" t="s">
        <v>188</v>
      </c>
      <c r="C44" s="65">
        <v>7183.6329999999998</v>
      </c>
      <c r="D44" s="67">
        <v>6385.23</v>
      </c>
      <c r="E44" s="67">
        <v>5826.3469999999998</v>
      </c>
      <c r="F44" s="67">
        <v>5267.4650000000001</v>
      </c>
      <c r="G44" s="67">
        <v>4678.643</v>
      </c>
    </row>
    <row r="45" spans="1:7">
      <c r="A45" s="67">
        <v>1968</v>
      </c>
      <c r="B45" t="s">
        <v>188</v>
      </c>
      <c r="C45" s="65">
        <v>7083.8320000000003</v>
      </c>
      <c r="D45" s="67">
        <v>6405.19</v>
      </c>
      <c r="E45" s="67">
        <v>5746.5069999999996</v>
      </c>
      <c r="F45" s="67">
        <v>5167.665</v>
      </c>
      <c r="G45" s="67">
        <v>4668.6629999999996</v>
      </c>
    </row>
    <row r="46" spans="1:7">
      <c r="A46" s="67">
        <v>1969</v>
      </c>
      <c r="B46" t="s">
        <v>188</v>
      </c>
      <c r="C46" s="65">
        <v>6974.0519999999997</v>
      </c>
      <c r="D46" s="67">
        <v>6475.05</v>
      </c>
      <c r="E46" s="67">
        <v>5726.5469999999996</v>
      </c>
      <c r="F46" s="67">
        <v>5117.7640000000001</v>
      </c>
      <c r="G46" s="67">
        <v>4658.683</v>
      </c>
    </row>
    <row r="47" spans="1:7">
      <c r="A47" s="67">
        <v>1970</v>
      </c>
      <c r="B47" t="s">
        <v>188</v>
      </c>
      <c r="C47" s="65">
        <v>6834.3310000000001</v>
      </c>
      <c r="D47" s="67">
        <v>6485.03</v>
      </c>
      <c r="E47" s="67">
        <v>5636.7269999999999</v>
      </c>
      <c r="F47" s="67">
        <v>5047.9040000000005</v>
      </c>
      <c r="G47" s="67">
        <v>4648.7030000000004</v>
      </c>
    </row>
    <row r="48" spans="1:7">
      <c r="A48" s="67">
        <v>1971</v>
      </c>
      <c r="B48" t="s">
        <v>188</v>
      </c>
      <c r="C48" s="65">
        <v>6654.6909999999998</v>
      </c>
      <c r="D48" s="67">
        <v>6365.2690000000002</v>
      </c>
      <c r="E48" s="67">
        <v>5546.9059999999999</v>
      </c>
      <c r="F48" s="67">
        <v>5327.3450000000003</v>
      </c>
      <c r="G48" s="67">
        <v>4728.5429999999997</v>
      </c>
    </row>
    <row r="49" spans="1:7">
      <c r="A49" s="67">
        <v>1972</v>
      </c>
      <c r="B49" t="s">
        <v>188</v>
      </c>
      <c r="C49" s="65">
        <v>6455.09</v>
      </c>
      <c r="D49" s="67">
        <v>6265.4690000000001</v>
      </c>
      <c r="E49" s="67">
        <v>5407.1859999999997</v>
      </c>
      <c r="F49" s="67">
        <v>5566.866</v>
      </c>
      <c r="G49" s="67">
        <v>4798.4030000000002</v>
      </c>
    </row>
    <row r="50" spans="1:7">
      <c r="A50" s="67">
        <v>1973</v>
      </c>
      <c r="B50" t="s">
        <v>188</v>
      </c>
      <c r="C50" s="65">
        <v>6255.4889999999996</v>
      </c>
      <c r="D50" s="67">
        <v>6175.6490000000003</v>
      </c>
      <c r="E50" s="67">
        <v>5347.3050000000003</v>
      </c>
      <c r="F50" s="67">
        <v>5786.4269999999997</v>
      </c>
      <c r="G50" s="67">
        <v>4858.2830000000004</v>
      </c>
    </row>
    <row r="51" spans="1:7">
      <c r="A51" s="67">
        <v>1974</v>
      </c>
      <c r="B51" t="s">
        <v>188</v>
      </c>
      <c r="C51" s="65">
        <v>6255.4889999999996</v>
      </c>
      <c r="D51" s="67">
        <v>6235.5290000000005</v>
      </c>
      <c r="E51" s="67">
        <v>5447.1059999999998</v>
      </c>
      <c r="F51" s="67">
        <v>5846.3069999999998</v>
      </c>
      <c r="G51" s="67">
        <v>4958.0839999999998</v>
      </c>
    </row>
    <row r="52" spans="1:7">
      <c r="A52" s="67">
        <v>1975</v>
      </c>
      <c r="B52" t="s">
        <v>188</v>
      </c>
      <c r="C52" s="65">
        <v>6265.4690000000001</v>
      </c>
      <c r="D52" s="67">
        <v>6305.3890000000001</v>
      </c>
      <c r="E52" s="67">
        <v>5516.9660000000003</v>
      </c>
      <c r="F52" s="67">
        <v>5896.2079999999996</v>
      </c>
      <c r="G52" s="67">
        <v>5027.9440000000004</v>
      </c>
    </row>
    <row r="53" spans="1:7">
      <c r="A53" s="67">
        <v>1976</v>
      </c>
      <c r="B53" t="s">
        <v>188</v>
      </c>
      <c r="C53" s="65">
        <v>6325.3490000000002</v>
      </c>
      <c r="D53" s="67">
        <v>6295.4089999999997</v>
      </c>
      <c r="E53" s="67">
        <v>5576.8459999999995</v>
      </c>
      <c r="F53" s="67">
        <v>5976.0479999999998</v>
      </c>
      <c r="G53" s="67">
        <v>5077.8440000000001</v>
      </c>
    </row>
    <row r="54" spans="1:7">
      <c r="A54" s="67">
        <v>1977</v>
      </c>
      <c r="B54" t="s">
        <v>188</v>
      </c>
      <c r="C54" s="65">
        <v>6115.768</v>
      </c>
      <c r="D54" s="67">
        <v>6145.7089999999998</v>
      </c>
      <c r="E54" s="67">
        <v>5447.1059999999998</v>
      </c>
      <c r="F54" s="67">
        <v>5866.2669999999998</v>
      </c>
      <c r="G54" s="67">
        <v>4958.0839999999998</v>
      </c>
    </row>
    <row r="55" spans="1:7">
      <c r="A55" s="67">
        <v>1978</v>
      </c>
      <c r="B55" t="s">
        <v>188</v>
      </c>
      <c r="C55" s="65">
        <v>5926.1480000000001</v>
      </c>
      <c r="D55" s="67">
        <v>5956.0879999999997</v>
      </c>
      <c r="E55" s="67">
        <v>5427.1459999999997</v>
      </c>
      <c r="F55" s="67">
        <v>5826.3469999999998</v>
      </c>
      <c r="G55" s="67">
        <v>4798.4030000000002</v>
      </c>
    </row>
    <row r="56" spans="1:7">
      <c r="A56" s="67">
        <v>1979</v>
      </c>
      <c r="B56" t="s">
        <v>188</v>
      </c>
      <c r="C56" s="67">
        <v>5926.1480000000001</v>
      </c>
      <c r="D56" s="67">
        <v>5806.3869999999997</v>
      </c>
      <c r="E56" s="67">
        <v>5307.3850000000002</v>
      </c>
      <c r="F56" s="67">
        <v>5756.4870000000001</v>
      </c>
      <c r="G56" s="67">
        <v>4668.6629999999996</v>
      </c>
    </row>
    <row r="57" spans="1:7">
      <c r="A57" s="67">
        <v>1980</v>
      </c>
      <c r="B57" t="s">
        <v>188</v>
      </c>
      <c r="C57" s="67">
        <v>5766.4669999999996</v>
      </c>
      <c r="D57" s="67">
        <v>5566.866</v>
      </c>
      <c r="E57" s="67">
        <v>5237.5249999999996</v>
      </c>
      <c r="F57" s="67">
        <v>5696.607</v>
      </c>
      <c r="G57" s="67">
        <v>4548.902</v>
      </c>
    </row>
    <row r="59" spans="1:7">
      <c r="A59" s="66"/>
      <c r="B59" s="66" t="s">
        <v>171</v>
      </c>
      <c r="C59" s="66" t="s">
        <v>136</v>
      </c>
      <c r="D59" s="66" t="s">
        <v>131</v>
      </c>
      <c r="E59" s="66" t="s">
        <v>132</v>
      </c>
      <c r="F59" s="66" t="s">
        <v>134</v>
      </c>
      <c r="G59" s="66" t="s">
        <v>130</v>
      </c>
    </row>
    <row r="60" spans="1:7">
      <c r="A60" s="67">
        <v>1960</v>
      </c>
      <c r="B60" s="3" t="s">
        <v>190</v>
      </c>
      <c r="C60" s="65">
        <f t="shared" ref="C60:G69" si="1">C37*mcal_to_GJ</f>
        <v>33.981427104000005</v>
      </c>
      <c r="D60" s="65">
        <f t="shared" si="1"/>
        <v>30.807934232000001</v>
      </c>
      <c r="E60" s="65">
        <f t="shared" si="1"/>
        <v>27.550928720000002</v>
      </c>
      <c r="F60" s="65">
        <f t="shared" si="1"/>
        <v>26.757558640000003</v>
      </c>
      <c r="G60" s="65">
        <f t="shared" si="1"/>
        <v>21.203942976</v>
      </c>
    </row>
    <row r="61" spans="1:7">
      <c r="A61" s="67">
        <v>1961</v>
      </c>
      <c r="B61" s="3" t="s">
        <v>190</v>
      </c>
      <c r="C61" s="65">
        <f t="shared" si="1"/>
        <v>33.355082304</v>
      </c>
      <c r="D61" s="65">
        <f t="shared" si="1"/>
        <v>29.805778368000002</v>
      </c>
      <c r="E61" s="65">
        <f t="shared" si="1"/>
        <v>26.924583920000003</v>
      </c>
      <c r="F61" s="65">
        <f t="shared" si="1"/>
        <v>25.880671736</v>
      </c>
      <c r="G61" s="65">
        <f t="shared" si="1"/>
        <v>20.828136096000001</v>
      </c>
    </row>
    <row r="62" spans="1:7">
      <c r="A62" s="67">
        <v>1962</v>
      </c>
      <c r="B62" s="3" t="s">
        <v>190</v>
      </c>
      <c r="C62" s="65">
        <f t="shared" si="1"/>
        <v>32.728733319999996</v>
      </c>
      <c r="D62" s="65">
        <f t="shared" si="1"/>
        <v>28.970651968000002</v>
      </c>
      <c r="E62" s="65">
        <f t="shared" si="1"/>
        <v>26.423503896</v>
      </c>
      <c r="F62" s="65">
        <f t="shared" si="1"/>
        <v>25.087297471999999</v>
      </c>
      <c r="G62" s="65">
        <f t="shared" si="1"/>
        <v>20.535841856000001</v>
      </c>
    </row>
    <row r="63" spans="1:7">
      <c r="A63" s="67">
        <v>1963</v>
      </c>
      <c r="B63" s="3" t="s">
        <v>190</v>
      </c>
      <c r="C63" s="65">
        <f t="shared" si="1"/>
        <v>32.144144840000003</v>
      </c>
      <c r="D63" s="65">
        <f t="shared" si="1"/>
        <v>28.135521384000004</v>
      </c>
      <c r="E63" s="65">
        <f t="shared" si="1"/>
        <v>25.964184376000002</v>
      </c>
      <c r="F63" s="65">
        <f t="shared" si="1"/>
        <v>24.293923207999999</v>
      </c>
      <c r="G63" s="65">
        <f t="shared" si="1"/>
        <v>20.201787112000002</v>
      </c>
    </row>
    <row r="64" spans="1:7">
      <c r="A64" s="67">
        <v>1964</v>
      </c>
      <c r="B64" s="3" t="s">
        <v>190</v>
      </c>
      <c r="C64" s="65">
        <f t="shared" si="1"/>
        <v>31.643064816000003</v>
      </c>
      <c r="D64" s="65">
        <f t="shared" si="1"/>
        <v>27.258634480000001</v>
      </c>
      <c r="E64" s="65">
        <f t="shared" si="1"/>
        <v>25.337835392000002</v>
      </c>
      <c r="F64" s="65">
        <f t="shared" si="1"/>
        <v>23.333523663999998</v>
      </c>
      <c r="G64" s="65">
        <f t="shared" si="1"/>
        <v>19.951249191999999</v>
      </c>
    </row>
    <row r="65" spans="1:7">
      <c r="A65" s="67">
        <v>1965</v>
      </c>
      <c r="B65" s="3" t="s">
        <v>190</v>
      </c>
      <c r="C65" s="65">
        <f t="shared" si="1"/>
        <v>30.974963696000003</v>
      </c>
      <c r="D65" s="65">
        <f t="shared" si="1"/>
        <v>26.339991256000001</v>
      </c>
      <c r="E65" s="65">
        <f t="shared" si="1"/>
        <v>24.836759552</v>
      </c>
      <c r="F65" s="65">
        <f t="shared" si="1"/>
        <v>22.540153583999999</v>
      </c>
      <c r="G65" s="65">
        <f t="shared" si="1"/>
        <v>19.700711271999999</v>
      </c>
    </row>
    <row r="66" spans="1:7">
      <c r="A66" s="67">
        <v>1966</v>
      </c>
      <c r="B66" s="3" t="s">
        <v>190</v>
      </c>
      <c r="C66" s="65">
        <f t="shared" si="1"/>
        <v>30.515639992000001</v>
      </c>
      <c r="D66" s="65">
        <f t="shared" si="1"/>
        <v>26.465260216000001</v>
      </c>
      <c r="E66" s="65">
        <f t="shared" si="1"/>
        <v>24.627977952000002</v>
      </c>
      <c r="F66" s="65">
        <f t="shared" si="1"/>
        <v>22.289611480000001</v>
      </c>
      <c r="G66" s="65">
        <f t="shared" si="1"/>
        <v>19.575442312</v>
      </c>
    </row>
    <row r="67" spans="1:7">
      <c r="A67" s="67">
        <v>1967</v>
      </c>
      <c r="B67" s="3" t="s">
        <v>190</v>
      </c>
      <c r="C67" s="65">
        <f t="shared" si="1"/>
        <v>30.056320471999999</v>
      </c>
      <c r="D67" s="65">
        <f t="shared" si="1"/>
        <v>26.715802319999998</v>
      </c>
      <c r="E67" s="65">
        <f t="shared" si="1"/>
        <v>24.377435848000001</v>
      </c>
      <c r="F67" s="65">
        <f t="shared" si="1"/>
        <v>22.039073560000002</v>
      </c>
      <c r="G67" s="65">
        <f t="shared" si="1"/>
        <v>19.575442312</v>
      </c>
    </row>
    <row r="68" spans="1:7">
      <c r="A68" s="67">
        <v>1968</v>
      </c>
      <c r="B68" s="3" t="s">
        <v>190</v>
      </c>
      <c r="C68" s="65">
        <f t="shared" si="1"/>
        <v>29.638753088000001</v>
      </c>
      <c r="D68" s="65">
        <f t="shared" si="1"/>
        <v>26.79931496</v>
      </c>
      <c r="E68" s="65">
        <f t="shared" si="1"/>
        <v>24.043385288</v>
      </c>
      <c r="F68" s="65">
        <f t="shared" si="1"/>
        <v>21.621510360000002</v>
      </c>
      <c r="G68" s="65">
        <f t="shared" si="1"/>
        <v>19.533685991999999</v>
      </c>
    </row>
    <row r="69" spans="1:7">
      <c r="A69" s="67">
        <v>1969</v>
      </c>
      <c r="B69" s="3" t="s">
        <v>190</v>
      </c>
      <c r="C69" s="65">
        <f t="shared" si="1"/>
        <v>29.179433568</v>
      </c>
      <c r="D69" s="65">
        <f t="shared" si="1"/>
        <v>27.091609200000001</v>
      </c>
      <c r="E69" s="65">
        <f t="shared" si="1"/>
        <v>23.959872648000001</v>
      </c>
      <c r="F69" s="65">
        <f t="shared" si="1"/>
        <v>21.412724576000002</v>
      </c>
      <c r="G69" s="65">
        <f t="shared" si="1"/>
        <v>19.491929672000001</v>
      </c>
    </row>
    <row r="70" spans="1:7">
      <c r="A70" s="67">
        <v>1970</v>
      </c>
      <c r="B70" s="3" t="s">
        <v>190</v>
      </c>
      <c r="C70" s="65">
        <f t="shared" ref="C70:G79" si="2">C47*mcal_to_GJ</f>
        <v>28.594840904000002</v>
      </c>
      <c r="D70" s="65">
        <f t="shared" si="2"/>
        <v>27.133365520000002</v>
      </c>
      <c r="E70" s="65">
        <f t="shared" si="2"/>
        <v>23.584065768000002</v>
      </c>
      <c r="F70" s="65">
        <f t="shared" si="2"/>
        <v>21.120430336000002</v>
      </c>
      <c r="G70" s="65">
        <f t="shared" si="2"/>
        <v>19.450173352000004</v>
      </c>
    </row>
    <row r="71" spans="1:7">
      <c r="A71" s="67">
        <v>1971</v>
      </c>
      <c r="B71" s="3" t="s">
        <v>190</v>
      </c>
      <c r="C71" s="65">
        <f t="shared" si="2"/>
        <v>27.843227144</v>
      </c>
      <c r="D71" s="65">
        <f t="shared" si="2"/>
        <v>26.632285496000002</v>
      </c>
      <c r="E71" s="65">
        <f t="shared" si="2"/>
        <v>23.208254704000002</v>
      </c>
      <c r="F71" s="65">
        <f t="shared" si="2"/>
        <v>22.289611480000001</v>
      </c>
      <c r="G71" s="65">
        <f t="shared" si="2"/>
        <v>19.784223911999998</v>
      </c>
    </row>
    <row r="72" spans="1:7">
      <c r="A72" s="67">
        <v>1972</v>
      </c>
      <c r="B72" s="3" t="s">
        <v>190</v>
      </c>
      <c r="C72" s="65">
        <f t="shared" si="2"/>
        <v>27.008096560000002</v>
      </c>
      <c r="D72" s="65">
        <f t="shared" si="2"/>
        <v>26.214722296000001</v>
      </c>
      <c r="E72" s="65">
        <f t="shared" si="2"/>
        <v>22.623666224000001</v>
      </c>
      <c r="F72" s="65">
        <f t="shared" si="2"/>
        <v>23.291767344</v>
      </c>
      <c r="G72" s="65">
        <f t="shared" si="2"/>
        <v>20.076518152000002</v>
      </c>
    </row>
    <row r="73" spans="1:7">
      <c r="A73" s="67">
        <v>1973</v>
      </c>
      <c r="B73" s="3" t="s">
        <v>190</v>
      </c>
      <c r="C73" s="65">
        <f t="shared" si="2"/>
        <v>26.172965976</v>
      </c>
      <c r="D73" s="65">
        <f t="shared" si="2"/>
        <v>25.838915416000003</v>
      </c>
      <c r="E73" s="65">
        <f t="shared" si="2"/>
        <v>22.373124120000004</v>
      </c>
      <c r="F73" s="65">
        <f t="shared" si="2"/>
        <v>24.210410568</v>
      </c>
      <c r="G73" s="65">
        <f t="shared" si="2"/>
        <v>20.327056072000001</v>
      </c>
    </row>
    <row r="74" spans="1:7">
      <c r="A74" s="67">
        <v>1974</v>
      </c>
      <c r="B74" s="3" t="s">
        <v>190</v>
      </c>
      <c r="C74" s="65">
        <f t="shared" si="2"/>
        <v>26.172965976</v>
      </c>
      <c r="D74" s="65">
        <f t="shared" si="2"/>
        <v>26.089453336000002</v>
      </c>
      <c r="E74" s="65">
        <f t="shared" si="2"/>
        <v>22.790691504000002</v>
      </c>
      <c r="F74" s="65">
        <f t="shared" si="2"/>
        <v>24.460948488</v>
      </c>
      <c r="G74" s="65">
        <f t="shared" si="2"/>
        <v>20.744623455999999</v>
      </c>
    </row>
    <row r="75" spans="1:7">
      <c r="A75" s="67">
        <v>1975</v>
      </c>
      <c r="B75" s="3" t="s">
        <v>190</v>
      </c>
      <c r="C75" s="65">
        <f t="shared" si="2"/>
        <v>26.214722296000001</v>
      </c>
      <c r="D75" s="65">
        <f t="shared" si="2"/>
        <v>26.381747576000002</v>
      </c>
      <c r="E75" s="65">
        <f t="shared" si="2"/>
        <v>23.082985744000002</v>
      </c>
      <c r="F75" s="65">
        <f t="shared" si="2"/>
        <v>24.669734271999999</v>
      </c>
      <c r="G75" s="65">
        <f t="shared" si="2"/>
        <v>21.036917696000003</v>
      </c>
    </row>
    <row r="76" spans="1:7">
      <c r="A76" s="67">
        <v>1976</v>
      </c>
      <c r="B76" s="3" t="s">
        <v>190</v>
      </c>
      <c r="C76" s="65">
        <f t="shared" si="2"/>
        <v>26.465260216000001</v>
      </c>
      <c r="D76" s="65">
        <f t="shared" si="2"/>
        <v>26.339991256000001</v>
      </c>
      <c r="E76" s="65">
        <f t="shared" si="2"/>
        <v>23.333523663999998</v>
      </c>
      <c r="F76" s="65">
        <f t="shared" si="2"/>
        <v>25.003784832000001</v>
      </c>
      <c r="G76" s="65">
        <f t="shared" si="2"/>
        <v>21.245699296000002</v>
      </c>
    </row>
    <row r="77" spans="1:7">
      <c r="A77" s="67">
        <v>1977</v>
      </c>
      <c r="B77" s="3" t="s">
        <v>190</v>
      </c>
      <c r="C77" s="65">
        <f t="shared" si="2"/>
        <v>25.588373312000002</v>
      </c>
      <c r="D77" s="65">
        <f t="shared" si="2"/>
        <v>25.713646455999999</v>
      </c>
      <c r="E77" s="65">
        <f t="shared" si="2"/>
        <v>22.790691504000002</v>
      </c>
      <c r="F77" s="65">
        <f t="shared" si="2"/>
        <v>24.544461128000002</v>
      </c>
      <c r="G77" s="65">
        <f t="shared" si="2"/>
        <v>20.744623455999999</v>
      </c>
    </row>
    <row r="78" spans="1:7">
      <c r="A78" s="67">
        <v>1978</v>
      </c>
      <c r="B78" s="3" t="s">
        <v>190</v>
      </c>
      <c r="C78" s="65">
        <f t="shared" si="2"/>
        <v>24.795003232000003</v>
      </c>
      <c r="D78" s="65">
        <f t="shared" si="2"/>
        <v>24.920272191999999</v>
      </c>
      <c r="E78" s="65">
        <f t="shared" si="2"/>
        <v>22.707178863999999</v>
      </c>
      <c r="F78" s="65">
        <f t="shared" si="2"/>
        <v>24.377435848000001</v>
      </c>
      <c r="G78" s="65">
        <f t="shared" si="2"/>
        <v>20.076518152000002</v>
      </c>
    </row>
    <row r="79" spans="1:7">
      <c r="A79" s="67">
        <v>1979</v>
      </c>
      <c r="B79" s="3" t="s">
        <v>190</v>
      </c>
      <c r="C79" s="65">
        <f t="shared" si="2"/>
        <v>24.795003232000003</v>
      </c>
      <c r="D79" s="65">
        <f t="shared" si="2"/>
        <v>24.293923207999999</v>
      </c>
      <c r="E79" s="65">
        <f t="shared" si="2"/>
        <v>22.206098840000003</v>
      </c>
      <c r="F79" s="65">
        <f t="shared" si="2"/>
        <v>24.085141608000001</v>
      </c>
      <c r="G79" s="65">
        <f t="shared" si="2"/>
        <v>19.533685991999999</v>
      </c>
    </row>
    <row r="80" spans="1:7">
      <c r="A80" s="67">
        <v>1980</v>
      </c>
      <c r="B80" s="3" t="s">
        <v>190</v>
      </c>
      <c r="C80" s="65">
        <f t="shared" ref="C80:G80" si="3">C57*mcal_to_GJ</f>
        <v>24.126897927999998</v>
      </c>
      <c r="D80" s="65">
        <f t="shared" si="3"/>
        <v>23.291767344</v>
      </c>
      <c r="E80" s="65">
        <f t="shared" si="3"/>
        <v>21.913804599999999</v>
      </c>
      <c r="F80" s="65">
        <f t="shared" si="3"/>
        <v>23.834603688000001</v>
      </c>
      <c r="G80" s="65">
        <f t="shared" si="3"/>
        <v>19.032605968000002</v>
      </c>
    </row>
  </sheetData>
  <hyperlinks>
    <hyperlink ref="A2" r:id="rId1" xr:uid="{00000000-0004-0000-0500-000000000000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D11"/>
  <sheetViews>
    <sheetView zoomScale="80" zoomScaleNormal="80" workbookViewId="0"/>
  </sheetViews>
  <sheetFormatPr defaultColWidth="8.88671875" defaultRowHeight="14.4"/>
  <cols>
    <col min="2" max="2" width="8.88671875" customWidth="1"/>
    <col min="3" max="3" width="11.33203125" customWidth="1"/>
    <col min="4" max="4" width="29.44140625" bestFit="1" customWidth="1"/>
  </cols>
  <sheetData>
    <row r="1" spans="1:4">
      <c r="A1" t="s">
        <v>183</v>
      </c>
    </row>
    <row r="2" spans="1:4">
      <c r="A2" s="2" t="s">
        <v>182</v>
      </c>
    </row>
    <row r="4" spans="1:4">
      <c r="A4" s="55" t="s">
        <v>185</v>
      </c>
    </row>
    <row r="5" spans="1:4">
      <c r="A5" s="9" t="s">
        <v>25</v>
      </c>
      <c r="B5" s="9" t="s">
        <v>2</v>
      </c>
      <c r="C5" s="9" t="s">
        <v>69</v>
      </c>
      <c r="D5" s="9" t="s">
        <v>184</v>
      </c>
    </row>
    <row r="6" spans="1:4">
      <c r="A6" s="3" t="s">
        <v>140</v>
      </c>
      <c r="B6" s="3">
        <v>2013</v>
      </c>
      <c r="C6" s="3" t="s">
        <v>186</v>
      </c>
      <c r="D6" s="3">
        <v>16.399999999999999</v>
      </c>
    </row>
    <row r="7" spans="1:4">
      <c r="A7" s="3" t="s">
        <v>140</v>
      </c>
      <c r="B7" s="3">
        <v>2013</v>
      </c>
      <c r="C7" s="3" t="s">
        <v>22</v>
      </c>
      <c r="D7" s="57">
        <v>5.7</v>
      </c>
    </row>
    <row r="8" spans="1:4">
      <c r="A8" s="3"/>
      <c r="B8" s="3"/>
      <c r="C8" s="3"/>
      <c r="D8" s="3"/>
    </row>
    <row r="9" spans="1:4">
      <c r="A9" s="3"/>
      <c r="B9" s="3"/>
      <c r="C9" s="3"/>
      <c r="D9" s="3"/>
    </row>
    <row r="10" spans="1:4">
      <c r="A10" s="3"/>
      <c r="B10" s="3"/>
      <c r="C10" s="3"/>
      <c r="D10" s="3"/>
    </row>
    <row r="11" spans="1:4">
      <c r="A11" s="3"/>
      <c r="B11" s="3"/>
      <c r="C11" s="3"/>
      <c r="D11" s="3"/>
    </row>
  </sheetData>
  <hyperlinks>
    <hyperlink ref="A2" r:id="rId1" xr:uid="{00000000-0004-0000-0A00-000000000000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C6"/>
  <sheetViews>
    <sheetView zoomScale="80" zoomScaleNormal="80" workbookViewId="0">
      <selection activeCell="A6" sqref="A6"/>
    </sheetView>
  </sheetViews>
  <sheetFormatPr defaultColWidth="8.88671875" defaultRowHeight="14.4"/>
  <cols>
    <col min="3" max="3" width="29.6640625" customWidth="1"/>
  </cols>
  <sheetData>
    <row r="1" spans="1:3">
      <c r="A1" t="s">
        <v>109</v>
      </c>
    </row>
    <row r="2" spans="1:3">
      <c r="A2" s="2" t="s">
        <v>110</v>
      </c>
    </row>
    <row r="5" spans="1:3">
      <c r="A5" s="9" t="s">
        <v>25</v>
      </c>
      <c r="B5" s="9" t="s">
        <v>2</v>
      </c>
      <c r="C5" s="9" t="s">
        <v>192</v>
      </c>
    </row>
    <row r="6" spans="1:3">
      <c r="A6" s="3" t="s">
        <v>131</v>
      </c>
      <c r="B6" s="3">
        <v>2010</v>
      </c>
      <c r="C6" s="3">
        <v>13.63</v>
      </c>
    </row>
  </sheetData>
  <hyperlinks>
    <hyperlink ref="A2" r:id="rId1" xr:uid="{00000000-0004-0000-09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K37"/>
  <sheetViews>
    <sheetView workbookViewId="0">
      <selection activeCell="E27" sqref="E27"/>
    </sheetView>
  </sheetViews>
  <sheetFormatPr defaultColWidth="8.88671875" defaultRowHeight="14.4"/>
  <cols>
    <col min="1" max="1" width="20.33203125" bestFit="1" customWidth="1"/>
    <col min="2" max="2" width="20.33203125" customWidth="1"/>
    <col min="3" max="5" width="9.109375" style="3"/>
  </cols>
  <sheetData>
    <row r="1" spans="1:5" s="10" customFormat="1">
      <c r="A1" s="9" t="s">
        <v>161</v>
      </c>
      <c r="B1" s="9" t="s">
        <v>171</v>
      </c>
      <c r="C1" s="9" t="s">
        <v>21</v>
      </c>
      <c r="D1" s="9" t="s">
        <v>22</v>
      </c>
      <c r="E1" s="9" t="s">
        <v>23</v>
      </c>
    </row>
    <row r="2" spans="1:5">
      <c r="A2" s="3" t="s">
        <v>194</v>
      </c>
      <c r="B2" s="3" t="s">
        <v>173</v>
      </c>
      <c r="C2" s="3">
        <v>7.9</v>
      </c>
      <c r="D2" s="3">
        <v>1.3</v>
      </c>
      <c r="E2" s="3">
        <v>7.9</v>
      </c>
    </row>
    <row r="37" spans="11:11">
      <c r="K37" s="2" t="s">
        <v>24</v>
      </c>
    </row>
  </sheetData>
  <hyperlinks>
    <hyperlink ref="K37" r:id="rId1" xr:uid="{00000000-0004-0000-0C00-000000000000}"/>
  </hyperlinks>
  <pageMargins left="0.7" right="0.7" top="0.75" bottom="0.75" header="0.3" footer="0.3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1:E10"/>
  <sheetViews>
    <sheetView workbookViewId="0">
      <selection activeCell="A2" sqref="A2"/>
    </sheetView>
  </sheetViews>
  <sheetFormatPr defaultColWidth="8.88671875" defaultRowHeight="14.4"/>
  <cols>
    <col min="1" max="1" width="16" customWidth="1"/>
    <col min="2" max="2" width="14.44140625" customWidth="1"/>
    <col min="3" max="3" width="12.33203125" customWidth="1"/>
    <col min="4" max="4" width="14.44140625" bestFit="1" customWidth="1"/>
    <col min="5" max="5" width="14.44140625" customWidth="1"/>
  </cols>
  <sheetData>
    <row r="1" spans="1:5">
      <c r="A1" t="s">
        <v>394</v>
      </c>
    </row>
    <row r="2" spans="1:5">
      <c r="A2" s="2" t="s">
        <v>118</v>
      </c>
    </row>
    <row r="3" spans="1:5">
      <c r="A3" s="2"/>
    </row>
    <row r="4" spans="1:5">
      <c r="B4" s="10"/>
      <c r="C4" s="55" t="s">
        <v>115</v>
      </c>
      <c r="D4" s="55"/>
      <c r="E4" s="10"/>
    </row>
    <row r="5" spans="1:5">
      <c r="A5" s="9" t="s">
        <v>2</v>
      </c>
      <c r="B5" s="9" t="s">
        <v>25</v>
      </c>
      <c r="C5" s="9" t="s">
        <v>119</v>
      </c>
      <c r="D5" s="9" t="s">
        <v>120</v>
      </c>
      <c r="E5" s="9" t="s">
        <v>121</v>
      </c>
    </row>
    <row r="6" spans="1:5">
      <c r="A6" s="3">
        <v>1985</v>
      </c>
      <c r="B6" s="3" t="s">
        <v>122</v>
      </c>
      <c r="C6" s="3">
        <v>39.700000000000003</v>
      </c>
      <c r="D6" s="3">
        <v>8.4</v>
      </c>
      <c r="E6" s="3">
        <v>46.6</v>
      </c>
    </row>
    <row r="7" spans="1:5">
      <c r="A7" s="3">
        <v>1985</v>
      </c>
      <c r="B7" s="3" t="s">
        <v>123</v>
      </c>
      <c r="C7" s="3">
        <f>(27.5+35)/2</f>
        <v>31.25</v>
      </c>
      <c r="D7" s="3">
        <v>5.9</v>
      </c>
      <c r="E7" s="3"/>
    </row>
    <row r="8" spans="1:5">
      <c r="A8" s="3">
        <v>1985</v>
      </c>
      <c r="B8" s="3" t="s">
        <v>124</v>
      </c>
      <c r="C8" s="3">
        <v>25.4</v>
      </c>
      <c r="D8" s="3">
        <v>4</v>
      </c>
      <c r="E8" s="3">
        <v>40.6</v>
      </c>
    </row>
    <row r="9" spans="1:5">
      <c r="A9" s="3">
        <v>1985</v>
      </c>
      <c r="B9" s="3" t="s">
        <v>125</v>
      </c>
      <c r="C9" s="3">
        <v>21</v>
      </c>
      <c r="D9" s="3">
        <v>5.9</v>
      </c>
      <c r="E9" s="3">
        <v>31.6</v>
      </c>
    </row>
    <row r="10" spans="1:5">
      <c r="A10" s="3">
        <v>1985</v>
      </c>
      <c r="B10" s="3" t="s">
        <v>126</v>
      </c>
      <c r="C10" s="3">
        <v>17.5</v>
      </c>
      <c r="D10" s="3">
        <v>5</v>
      </c>
      <c r="E10" s="3"/>
    </row>
  </sheetData>
  <hyperlinks>
    <hyperlink ref="A2" r:id="rId1" xr:uid="{00000000-0004-0000-1100-000000000000}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7"/>
  <sheetViews>
    <sheetView workbookViewId="0">
      <selection activeCell="D15" sqref="D15"/>
    </sheetView>
  </sheetViews>
  <sheetFormatPr defaultColWidth="8.88671875" defaultRowHeight="14.4"/>
  <cols>
    <col min="4" max="4" width="23.44140625" bestFit="1" customWidth="1"/>
  </cols>
  <sheetData>
    <row r="1" spans="1:5">
      <c r="A1" t="s">
        <v>156</v>
      </c>
    </row>
    <row r="2" spans="1:5">
      <c r="A2" s="2" t="s">
        <v>157</v>
      </c>
    </row>
    <row r="4" spans="1:5">
      <c r="A4" s="9" t="s">
        <v>2</v>
      </c>
      <c r="B4" s="9" t="s">
        <v>25</v>
      </c>
      <c r="C4" s="9" t="s">
        <v>26</v>
      </c>
      <c r="D4" s="9" t="s">
        <v>115</v>
      </c>
      <c r="E4" s="9"/>
    </row>
    <row r="5" spans="1:5">
      <c r="A5" s="3">
        <v>1984</v>
      </c>
      <c r="B5" s="3" t="s">
        <v>130</v>
      </c>
      <c r="C5" s="3"/>
      <c r="D5" s="3">
        <f>(20.8+22.6)/2</f>
        <v>21.700000000000003</v>
      </c>
    </row>
    <row r="6" spans="1:5">
      <c r="A6" s="3">
        <v>1984</v>
      </c>
      <c r="B6" s="3" t="s">
        <v>134</v>
      </c>
      <c r="C6" s="3"/>
      <c r="D6" s="3">
        <v>22.6</v>
      </c>
    </row>
    <row r="7" spans="1:5">
      <c r="A7" s="3">
        <v>1984</v>
      </c>
      <c r="B7" s="3" t="s">
        <v>158</v>
      </c>
      <c r="C7" s="3"/>
      <c r="D7" s="3">
        <v>23.3</v>
      </c>
    </row>
    <row r="8" spans="1:5">
      <c r="A8" s="3">
        <v>1984</v>
      </c>
      <c r="B8" s="3" t="s">
        <v>131</v>
      </c>
      <c r="C8" s="3"/>
      <c r="D8" s="3">
        <v>23.7</v>
      </c>
    </row>
    <row r="9" spans="1:5">
      <c r="A9" s="3">
        <v>1984</v>
      </c>
      <c r="B9" s="3" t="s">
        <v>136</v>
      </c>
      <c r="C9" s="3"/>
      <c r="D9" s="3">
        <f>(23.7+25.9)/2</f>
        <v>24.799999999999997</v>
      </c>
    </row>
    <row r="10" spans="1:5">
      <c r="A10" s="3">
        <v>1984</v>
      </c>
      <c r="B10" s="3" t="s">
        <v>138</v>
      </c>
      <c r="C10" s="3"/>
      <c r="D10" s="3">
        <v>27.2</v>
      </c>
    </row>
    <row r="11" spans="1:5">
      <c r="A11" s="3">
        <v>1984</v>
      </c>
      <c r="B11" s="3" t="s">
        <v>140</v>
      </c>
      <c r="C11" s="3"/>
      <c r="D11" s="3">
        <v>30.5</v>
      </c>
    </row>
    <row r="12" spans="1:5">
      <c r="A12" s="3">
        <v>1984</v>
      </c>
      <c r="B12" s="3" t="s">
        <v>159</v>
      </c>
      <c r="C12" s="3"/>
      <c r="D12" s="3">
        <v>33</v>
      </c>
    </row>
    <row r="13" spans="1:5">
      <c r="A13" s="3">
        <v>1984</v>
      </c>
      <c r="B13" s="3" t="s">
        <v>141</v>
      </c>
      <c r="C13" s="3"/>
      <c r="D13" s="3">
        <v>35.6</v>
      </c>
    </row>
    <row r="14" spans="1:5">
      <c r="A14" s="3"/>
      <c r="B14" s="3"/>
      <c r="C14" s="3"/>
      <c r="D14" s="3"/>
    </row>
    <row r="15" spans="1:5">
      <c r="A15" s="3"/>
      <c r="B15" s="3"/>
      <c r="C15" s="3"/>
      <c r="D15" s="3"/>
    </row>
    <row r="16" spans="1:5">
      <c r="A16" s="3"/>
      <c r="B16" s="3"/>
      <c r="C16" s="3"/>
      <c r="D16" s="3"/>
    </row>
    <row r="17" spans="1:4">
      <c r="A17" s="3"/>
      <c r="B17" s="3"/>
      <c r="C17" s="3"/>
      <c r="D17" s="3"/>
    </row>
  </sheetData>
  <hyperlinks>
    <hyperlink ref="A2" r:id="rId1" xr:uid="{00000000-0004-0000-0400-000000000000}"/>
  </hyperlinks>
  <pageMargins left="0.7" right="0.7" top="0.75" bottom="0.75" header="0.3" footer="0.3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46"/>
  <sheetViews>
    <sheetView topLeftCell="E101" zoomScale="90" zoomScaleNormal="90" workbookViewId="0">
      <selection activeCell="Q114" sqref="Q114"/>
    </sheetView>
  </sheetViews>
  <sheetFormatPr defaultColWidth="9.109375" defaultRowHeight="13.2"/>
  <cols>
    <col min="1" max="1" width="37" style="75" customWidth="1"/>
    <col min="2" max="2" width="16.44140625" style="75" customWidth="1"/>
    <col min="3" max="3" width="48.44140625" style="75" customWidth="1"/>
    <col min="4" max="4" width="12.44140625" style="75" bestFit="1" customWidth="1"/>
    <col min="5" max="5" width="13.44140625" style="75" customWidth="1"/>
    <col min="6" max="7" width="11.109375" style="75" bestFit="1" customWidth="1"/>
    <col min="8" max="8" width="11.88671875" style="75" customWidth="1"/>
    <col min="9" max="9" width="11.109375" style="75" bestFit="1" customWidth="1"/>
    <col min="10" max="10" width="11.44140625" style="75" bestFit="1" customWidth="1"/>
    <col min="11" max="15" width="11.109375" style="75" bestFit="1" customWidth="1"/>
    <col min="16" max="16" width="12.44140625" style="75" bestFit="1" customWidth="1"/>
    <col min="17" max="45" width="11.109375" style="75" bestFit="1" customWidth="1"/>
    <col min="46" max="53" width="10.109375" style="75" bestFit="1" customWidth="1"/>
    <col min="54" max="54" width="10.109375" style="75" customWidth="1"/>
    <col min="55" max="55" width="10.109375" style="75" bestFit="1" customWidth="1"/>
    <col min="56" max="16384" width="9.109375" style="75"/>
  </cols>
  <sheetData>
    <row r="1" spans="1:15" ht="14.4">
      <c r="A1" s="72"/>
      <c r="B1" s="72"/>
      <c r="C1" s="73"/>
      <c r="D1" s="74"/>
    </row>
    <row r="7" spans="1:15" s="99" customFormat="1"/>
    <row r="9" spans="1:15">
      <c r="A9" s="145" t="s">
        <v>352</v>
      </c>
    </row>
    <row r="10" spans="1:15">
      <c r="J10" s="81" t="s">
        <v>2</v>
      </c>
      <c r="K10" s="81" t="s">
        <v>353</v>
      </c>
      <c r="L10" s="81" t="s">
        <v>354</v>
      </c>
      <c r="M10" s="81" t="s">
        <v>286</v>
      </c>
      <c r="N10" s="146" t="s">
        <v>355</v>
      </c>
      <c r="O10" s="81" t="s">
        <v>356</v>
      </c>
    </row>
    <row r="11" spans="1:15" ht="14.4">
      <c r="J11" s="75">
        <v>1970</v>
      </c>
      <c r="K11" s="115">
        <v>0.2</v>
      </c>
      <c r="L11" s="147">
        <f>1-K11</f>
        <v>0.8</v>
      </c>
      <c r="M11" s="105">
        <f t="shared" ref="M11:M51" si="0">K11*O11</f>
        <v>4</v>
      </c>
      <c r="N11" s="148">
        <f t="shared" ref="N11:N51" si="1">L11*O11</f>
        <v>16</v>
      </c>
      <c r="O11" s="75">
        <v>20</v>
      </c>
    </row>
    <row r="12" spans="1:15" ht="14.4">
      <c r="A12" s="149" t="s">
        <v>357</v>
      </c>
      <c r="J12" s="75">
        <v>1971</v>
      </c>
      <c r="K12" s="115">
        <v>0.2</v>
      </c>
      <c r="L12" s="147">
        <f t="shared" ref="L12:L51" si="2">1-K12</f>
        <v>0.8</v>
      </c>
      <c r="M12" s="105">
        <f t="shared" si="0"/>
        <v>4.4000000000000004</v>
      </c>
      <c r="N12" s="148">
        <f t="shared" si="1"/>
        <v>17.600000000000001</v>
      </c>
      <c r="O12" s="75">
        <v>22</v>
      </c>
    </row>
    <row r="13" spans="1:15" ht="14.4">
      <c r="J13" s="75">
        <v>1972</v>
      </c>
      <c r="K13" s="115">
        <v>0.2</v>
      </c>
      <c r="L13" s="147">
        <f t="shared" si="2"/>
        <v>0.8</v>
      </c>
      <c r="M13" s="105">
        <f t="shared" si="0"/>
        <v>4.8000000000000007</v>
      </c>
      <c r="N13" s="148">
        <f t="shared" si="1"/>
        <v>19.200000000000003</v>
      </c>
      <c r="O13" s="75">
        <v>24</v>
      </c>
    </row>
    <row r="14" spans="1:15" ht="14.4">
      <c r="J14" s="75">
        <v>1973</v>
      </c>
      <c r="K14" s="115">
        <v>0.2</v>
      </c>
      <c r="L14" s="147">
        <f t="shared" si="2"/>
        <v>0.8</v>
      </c>
      <c r="M14" s="105">
        <f t="shared" si="0"/>
        <v>5.4</v>
      </c>
      <c r="N14" s="148">
        <f t="shared" si="1"/>
        <v>21.6</v>
      </c>
      <c r="O14" s="75">
        <v>27</v>
      </c>
    </row>
    <row r="15" spans="1:15" ht="14.4">
      <c r="J15" s="75">
        <v>1974</v>
      </c>
      <c r="K15" s="115">
        <v>0.2</v>
      </c>
      <c r="L15" s="147">
        <f t="shared" si="2"/>
        <v>0.8</v>
      </c>
      <c r="M15" s="105">
        <f t="shared" si="0"/>
        <v>4.4000000000000004</v>
      </c>
      <c r="N15" s="148">
        <f t="shared" si="1"/>
        <v>17.600000000000001</v>
      </c>
      <c r="O15" s="75">
        <v>22</v>
      </c>
    </row>
    <row r="16" spans="1:15" ht="14.4">
      <c r="J16" s="75">
        <v>1975</v>
      </c>
      <c r="K16" s="115">
        <v>0.2</v>
      </c>
      <c r="L16" s="147">
        <f t="shared" si="2"/>
        <v>0.8</v>
      </c>
      <c r="M16" s="105">
        <f t="shared" si="0"/>
        <v>5</v>
      </c>
      <c r="N16" s="148">
        <f t="shared" si="1"/>
        <v>20</v>
      </c>
      <c r="O16" s="75">
        <v>25</v>
      </c>
    </row>
    <row r="17" spans="10:15" ht="14.4">
      <c r="J17" s="75">
        <v>1976</v>
      </c>
      <c r="K17" s="115">
        <v>0.2</v>
      </c>
      <c r="L17" s="147">
        <f t="shared" si="2"/>
        <v>0.8</v>
      </c>
      <c r="M17" s="105">
        <f t="shared" si="0"/>
        <v>4.4000000000000004</v>
      </c>
      <c r="N17" s="148">
        <f t="shared" si="1"/>
        <v>17.600000000000001</v>
      </c>
      <c r="O17" s="75">
        <v>22</v>
      </c>
    </row>
    <row r="18" spans="10:15" ht="14.4">
      <c r="J18" s="75">
        <v>1977</v>
      </c>
      <c r="K18" s="115">
        <v>0.2</v>
      </c>
      <c r="L18" s="147">
        <f t="shared" si="2"/>
        <v>0.8</v>
      </c>
      <c r="M18" s="105">
        <f t="shared" si="0"/>
        <v>5</v>
      </c>
      <c r="N18" s="148">
        <f t="shared" si="1"/>
        <v>20</v>
      </c>
      <c r="O18" s="75">
        <v>25</v>
      </c>
    </row>
    <row r="19" spans="10:15" ht="14.4">
      <c r="J19" s="75">
        <v>1978</v>
      </c>
      <c r="K19" s="115">
        <v>0.2</v>
      </c>
      <c r="L19" s="147">
        <f t="shared" si="2"/>
        <v>0.8</v>
      </c>
      <c r="M19" s="105">
        <f t="shared" si="0"/>
        <v>6.4</v>
      </c>
      <c r="N19" s="148">
        <f t="shared" si="1"/>
        <v>25.6</v>
      </c>
      <c r="O19" s="75">
        <v>32</v>
      </c>
    </row>
    <row r="20" spans="10:15" ht="14.4">
      <c r="J20" s="75">
        <v>1979</v>
      </c>
      <c r="K20" s="115">
        <v>0.2</v>
      </c>
      <c r="L20" s="147">
        <f t="shared" si="2"/>
        <v>0.8</v>
      </c>
      <c r="M20" s="105">
        <f t="shared" si="0"/>
        <v>7</v>
      </c>
      <c r="N20" s="148">
        <f t="shared" si="1"/>
        <v>28</v>
      </c>
      <c r="O20" s="75">
        <v>35</v>
      </c>
    </row>
    <row r="21" spans="10:15" ht="14.4">
      <c r="J21" s="75">
        <v>1980</v>
      </c>
      <c r="K21" s="115">
        <v>0.2</v>
      </c>
      <c r="L21" s="147">
        <f t="shared" si="2"/>
        <v>0.8</v>
      </c>
      <c r="M21" s="105">
        <f t="shared" si="0"/>
        <v>7.8000000000000007</v>
      </c>
      <c r="N21" s="148">
        <f t="shared" si="1"/>
        <v>31.200000000000003</v>
      </c>
      <c r="O21" s="75">
        <v>39</v>
      </c>
    </row>
    <row r="22" spans="10:15" ht="14.4">
      <c r="J22" s="75">
        <v>1981</v>
      </c>
      <c r="K22" s="115">
        <v>0.2</v>
      </c>
      <c r="L22" s="147">
        <f t="shared" si="2"/>
        <v>0.8</v>
      </c>
      <c r="M22" s="105">
        <f t="shared" si="0"/>
        <v>7.4</v>
      </c>
      <c r="N22" s="148">
        <f t="shared" si="1"/>
        <v>29.6</v>
      </c>
      <c r="O22" s="75">
        <v>37</v>
      </c>
    </row>
    <row r="23" spans="10:15" ht="14.4">
      <c r="J23" s="75">
        <v>1982</v>
      </c>
      <c r="K23" s="115">
        <v>0.2</v>
      </c>
      <c r="L23" s="147">
        <f t="shared" si="2"/>
        <v>0.8</v>
      </c>
      <c r="M23" s="105">
        <f t="shared" si="0"/>
        <v>7.6000000000000005</v>
      </c>
      <c r="N23" s="148">
        <f t="shared" si="1"/>
        <v>30.400000000000002</v>
      </c>
      <c r="O23" s="75">
        <v>38</v>
      </c>
    </row>
    <row r="24" spans="10:15" ht="14.4">
      <c r="J24" s="75">
        <v>1983</v>
      </c>
      <c r="K24" s="115">
        <v>0.2</v>
      </c>
      <c r="L24" s="147">
        <f t="shared" si="2"/>
        <v>0.8</v>
      </c>
      <c r="M24" s="105">
        <f t="shared" si="0"/>
        <v>8</v>
      </c>
      <c r="N24" s="148">
        <f t="shared" si="1"/>
        <v>32</v>
      </c>
      <c r="O24" s="75">
        <v>40</v>
      </c>
    </row>
    <row r="25" spans="10:15" ht="14.4">
      <c r="J25" s="75">
        <v>1984</v>
      </c>
      <c r="K25" s="115">
        <v>0.2</v>
      </c>
      <c r="L25" s="147">
        <f t="shared" si="2"/>
        <v>0.8</v>
      </c>
      <c r="M25" s="105">
        <f t="shared" si="0"/>
        <v>8.8000000000000007</v>
      </c>
      <c r="N25" s="148">
        <f t="shared" si="1"/>
        <v>35.200000000000003</v>
      </c>
      <c r="O25" s="75">
        <v>44</v>
      </c>
    </row>
    <row r="26" spans="10:15" ht="14.4">
      <c r="J26" s="75">
        <v>1985</v>
      </c>
      <c r="K26" s="115">
        <v>0.2</v>
      </c>
      <c r="L26" s="147">
        <f t="shared" si="2"/>
        <v>0.8</v>
      </c>
      <c r="M26" s="105">
        <f t="shared" si="0"/>
        <v>9.6000000000000014</v>
      </c>
      <c r="N26" s="148">
        <f t="shared" si="1"/>
        <v>38.400000000000006</v>
      </c>
      <c r="O26" s="75">
        <v>48</v>
      </c>
    </row>
    <row r="27" spans="10:15" ht="14.4">
      <c r="J27" s="75">
        <v>1986</v>
      </c>
      <c r="K27" s="115">
        <v>0.2</v>
      </c>
      <c r="L27" s="147">
        <f t="shared" si="2"/>
        <v>0.8</v>
      </c>
      <c r="M27" s="105">
        <f t="shared" si="0"/>
        <v>10.4</v>
      </c>
      <c r="N27" s="148">
        <f t="shared" si="1"/>
        <v>41.6</v>
      </c>
      <c r="O27" s="75">
        <v>52</v>
      </c>
    </row>
    <row r="28" spans="10:15" ht="14.4">
      <c r="J28" s="75">
        <v>1987</v>
      </c>
      <c r="K28" s="115">
        <v>0.2</v>
      </c>
      <c r="L28" s="147">
        <f t="shared" si="2"/>
        <v>0.8</v>
      </c>
      <c r="M28" s="105">
        <f t="shared" si="0"/>
        <v>11.200000000000001</v>
      </c>
      <c r="N28" s="148">
        <f t="shared" si="1"/>
        <v>44.800000000000004</v>
      </c>
      <c r="O28" s="75">
        <v>56</v>
      </c>
    </row>
    <row r="29" spans="10:15" ht="14.4">
      <c r="J29" s="75">
        <v>1988</v>
      </c>
      <c r="K29" s="115">
        <v>0.2</v>
      </c>
      <c r="L29" s="147">
        <f t="shared" si="2"/>
        <v>0.8</v>
      </c>
      <c r="M29" s="105">
        <f t="shared" si="0"/>
        <v>12</v>
      </c>
      <c r="N29" s="148">
        <f t="shared" si="1"/>
        <v>48</v>
      </c>
      <c r="O29" s="75">
        <v>60</v>
      </c>
    </row>
    <row r="30" spans="10:15" ht="14.4">
      <c r="J30" s="75">
        <v>1989</v>
      </c>
      <c r="K30" s="115">
        <v>0.2</v>
      </c>
      <c r="L30" s="147">
        <f t="shared" si="2"/>
        <v>0.8</v>
      </c>
      <c r="M30" s="105">
        <f t="shared" si="0"/>
        <v>12.600000000000001</v>
      </c>
      <c r="N30" s="148">
        <f t="shared" si="1"/>
        <v>50.400000000000006</v>
      </c>
      <c r="O30" s="75">
        <v>63</v>
      </c>
    </row>
    <row r="31" spans="10:15" ht="14.4">
      <c r="J31" s="75">
        <v>1990</v>
      </c>
      <c r="K31" s="115">
        <v>0.2</v>
      </c>
      <c r="L31" s="147">
        <f t="shared" si="2"/>
        <v>0.8</v>
      </c>
      <c r="M31" s="105">
        <f t="shared" si="0"/>
        <v>13</v>
      </c>
      <c r="N31" s="148">
        <f t="shared" si="1"/>
        <v>52</v>
      </c>
      <c r="O31" s="75">
        <v>65</v>
      </c>
    </row>
    <row r="32" spans="10:15" ht="14.4">
      <c r="J32" s="75">
        <v>1991</v>
      </c>
      <c r="K32" s="115">
        <v>0.19500000000000001</v>
      </c>
      <c r="L32" s="147">
        <f t="shared" si="2"/>
        <v>0.80499999999999994</v>
      </c>
      <c r="M32" s="105">
        <f t="shared" si="0"/>
        <v>13.65</v>
      </c>
      <c r="N32" s="148">
        <f t="shared" si="1"/>
        <v>56.349999999999994</v>
      </c>
      <c r="O32" s="75">
        <v>70</v>
      </c>
    </row>
    <row r="33" spans="10:15" ht="14.4">
      <c r="J33" s="75">
        <v>1992</v>
      </c>
      <c r="K33" s="115">
        <v>0.19</v>
      </c>
      <c r="L33" s="147">
        <f t="shared" si="2"/>
        <v>0.81</v>
      </c>
      <c r="M33" s="105">
        <f t="shared" si="0"/>
        <v>15.2</v>
      </c>
      <c r="N33" s="148">
        <f t="shared" si="1"/>
        <v>64.800000000000011</v>
      </c>
      <c r="O33" s="75">
        <v>80</v>
      </c>
    </row>
    <row r="34" spans="10:15" ht="14.4">
      <c r="J34" s="75">
        <v>1993</v>
      </c>
      <c r="K34" s="115">
        <v>0.185</v>
      </c>
      <c r="L34" s="147">
        <f t="shared" si="2"/>
        <v>0.81499999999999995</v>
      </c>
      <c r="M34" s="105">
        <f t="shared" si="0"/>
        <v>16.649999999999999</v>
      </c>
      <c r="N34" s="148">
        <f t="shared" si="1"/>
        <v>73.349999999999994</v>
      </c>
      <c r="O34" s="75">
        <v>90</v>
      </c>
    </row>
    <row r="35" spans="10:15" ht="14.4">
      <c r="J35" s="75">
        <v>1994</v>
      </c>
      <c r="K35" s="115">
        <v>0.18</v>
      </c>
      <c r="L35" s="147">
        <f t="shared" si="2"/>
        <v>0.82000000000000006</v>
      </c>
      <c r="M35" s="105">
        <f t="shared" si="0"/>
        <v>16.739999999999998</v>
      </c>
      <c r="N35" s="148">
        <f t="shared" si="1"/>
        <v>76.260000000000005</v>
      </c>
      <c r="O35" s="75">
        <v>93</v>
      </c>
    </row>
    <row r="36" spans="10:15" ht="14.4">
      <c r="J36" s="75">
        <v>1995</v>
      </c>
      <c r="K36" s="115">
        <v>0.17499999999999999</v>
      </c>
      <c r="L36" s="147">
        <f t="shared" si="2"/>
        <v>0.82499999999999996</v>
      </c>
      <c r="M36" s="105">
        <f t="shared" si="0"/>
        <v>16.799999999999997</v>
      </c>
      <c r="N36" s="148">
        <f t="shared" si="1"/>
        <v>79.199999999999989</v>
      </c>
      <c r="O36" s="75">
        <v>96</v>
      </c>
    </row>
    <row r="37" spans="10:15" ht="14.4">
      <c r="J37" s="75">
        <v>1996</v>
      </c>
      <c r="K37" s="115">
        <v>0.17</v>
      </c>
      <c r="L37" s="147">
        <f t="shared" si="2"/>
        <v>0.83</v>
      </c>
      <c r="M37" s="105">
        <f t="shared" si="0"/>
        <v>17.170000000000002</v>
      </c>
      <c r="N37" s="148">
        <f t="shared" si="1"/>
        <v>83.83</v>
      </c>
      <c r="O37" s="75">
        <v>101</v>
      </c>
    </row>
    <row r="38" spans="10:15" ht="14.4">
      <c r="J38" s="75">
        <v>1997</v>
      </c>
      <c r="K38" s="115">
        <v>0.16500000000000001</v>
      </c>
      <c r="L38" s="147">
        <f t="shared" si="2"/>
        <v>0.83499999999999996</v>
      </c>
      <c r="M38" s="105">
        <f t="shared" si="0"/>
        <v>18.150000000000002</v>
      </c>
      <c r="N38" s="148">
        <f t="shared" si="1"/>
        <v>91.85</v>
      </c>
      <c r="O38" s="75">
        <v>110</v>
      </c>
    </row>
    <row r="39" spans="10:15" ht="14.4">
      <c r="J39" s="75">
        <v>1998</v>
      </c>
      <c r="K39" s="115">
        <v>0.16</v>
      </c>
      <c r="L39" s="147">
        <f t="shared" si="2"/>
        <v>0.84</v>
      </c>
      <c r="M39" s="105">
        <f t="shared" si="0"/>
        <v>18.88</v>
      </c>
      <c r="N39" s="148">
        <f t="shared" si="1"/>
        <v>99.11999999999999</v>
      </c>
      <c r="O39" s="75">
        <v>118</v>
      </c>
    </row>
    <row r="40" spans="10:15" ht="14.4">
      <c r="J40" s="75">
        <v>1999</v>
      </c>
      <c r="K40" s="115">
        <v>0.15</v>
      </c>
      <c r="L40" s="147">
        <f t="shared" si="2"/>
        <v>0.85</v>
      </c>
      <c r="M40" s="105">
        <f t="shared" si="0"/>
        <v>18.75</v>
      </c>
      <c r="N40" s="148">
        <f t="shared" si="1"/>
        <v>106.25</v>
      </c>
      <c r="O40" s="75">
        <v>125</v>
      </c>
    </row>
    <row r="41" spans="10:15" ht="14.4">
      <c r="J41" s="75">
        <v>2000</v>
      </c>
      <c r="K41" s="115">
        <v>0.121</v>
      </c>
      <c r="L41" s="147">
        <f t="shared" si="2"/>
        <v>0.879</v>
      </c>
      <c r="M41" s="105">
        <f t="shared" si="0"/>
        <v>15.609</v>
      </c>
      <c r="N41" s="148">
        <f t="shared" si="1"/>
        <v>113.39100000000001</v>
      </c>
      <c r="O41" s="75">
        <v>129</v>
      </c>
    </row>
    <row r="42" spans="10:15" ht="14.4">
      <c r="J42" s="75">
        <v>2001</v>
      </c>
      <c r="K42" s="115">
        <v>0.14300000000000002</v>
      </c>
      <c r="L42" s="147">
        <f t="shared" si="2"/>
        <v>0.85699999999999998</v>
      </c>
      <c r="M42" s="105">
        <f t="shared" si="0"/>
        <v>20.735000000000003</v>
      </c>
      <c r="N42" s="148">
        <f t="shared" si="1"/>
        <v>124.265</v>
      </c>
      <c r="O42" s="75">
        <v>145</v>
      </c>
    </row>
    <row r="43" spans="10:15" ht="14.4">
      <c r="J43" s="75">
        <v>2002</v>
      </c>
      <c r="K43" s="115">
        <v>0.15</v>
      </c>
      <c r="L43" s="147">
        <f t="shared" si="2"/>
        <v>0.85</v>
      </c>
      <c r="M43" s="105">
        <f t="shared" si="0"/>
        <v>27.3</v>
      </c>
      <c r="N43" s="148">
        <f t="shared" si="1"/>
        <v>154.69999999999999</v>
      </c>
      <c r="O43" s="75">
        <v>182</v>
      </c>
    </row>
    <row r="44" spans="10:15" ht="14.4">
      <c r="J44" s="75">
        <v>2003</v>
      </c>
      <c r="K44" s="115">
        <v>0.17499999999999999</v>
      </c>
      <c r="L44" s="147">
        <f t="shared" si="2"/>
        <v>0.82499999999999996</v>
      </c>
      <c r="M44" s="105">
        <f t="shared" si="0"/>
        <v>38.5</v>
      </c>
      <c r="N44" s="148">
        <f t="shared" si="1"/>
        <v>181.5</v>
      </c>
      <c r="O44" s="75">
        <v>220</v>
      </c>
    </row>
    <row r="45" spans="10:15" ht="14.4">
      <c r="J45" s="75">
        <v>2004</v>
      </c>
      <c r="K45" s="115">
        <v>0.14300000000000002</v>
      </c>
      <c r="L45" s="147">
        <f t="shared" si="2"/>
        <v>0.85699999999999998</v>
      </c>
      <c r="M45" s="105">
        <f t="shared" si="0"/>
        <v>40.469000000000001</v>
      </c>
      <c r="N45" s="148">
        <f t="shared" si="1"/>
        <v>242.53100000000001</v>
      </c>
      <c r="O45" s="75">
        <v>283</v>
      </c>
    </row>
    <row r="46" spans="10:15" ht="14.4">
      <c r="J46" s="75">
        <v>2005</v>
      </c>
      <c r="K46" s="115">
        <v>0.11699999999999999</v>
      </c>
      <c r="L46" s="147">
        <f t="shared" si="2"/>
        <v>0.88300000000000001</v>
      </c>
      <c r="M46" s="105">
        <f t="shared" si="0"/>
        <v>40.364999999999995</v>
      </c>
      <c r="N46" s="148">
        <f t="shared" si="1"/>
        <v>304.63499999999999</v>
      </c>
      <c r="O46" s="75">
        <v>345</v>
      </c>
    </row>
    <row r="47" spans="10:15" ht="14.4">
      <c r="J47" s="75">
        <v>2006</v>
      </c>
      <c r="K47" s="115">
        <v>9.6999999999999989E-2</v>
      </c>
      <c r="L47" s="147">
        <f t="shared" si="2"/>
        <v>0.90300000000000002</v>
      </c>
      <c r="M47" s="105">
        <f t="shared" si="0"/>
        <v>40.836999999999996</v>
      </c>
      <c r="N47" s="148">
        <f t="shared" si="1"/>
        <v>380.16300000000001</v>
      </c>
      <c r="O47" s="75">
        <v>421</v>
      </c>
    </row>
    <row r="48" spans="10:15" ht="14.4">
      <c r="J48" s="75">
        <v>2007</v>
      </c>
      <c r="K48" s="115">
        <v>9.6000000000000002E-2</v>
      </c>
      <c r="L48" s="147">
        <f t="shared" si="2"/>
        <v>0.90400000000000003</v>
      </c>
      <c r="M48" s="105">
        <f t="shared" si="0"/>
        <v>46.08</v>
      </c>
      <c r="N48" s="148">
        <f t="shared" si="1"/>
        <v>433.92</v>
      </c>
      <c r="O48" s="75">
        <v>480</v>
      </c>
    </row>
    <row r="49" spans="1:15" ht="14.4">
      <c r="J49" s="75">
        <v>2008</v>
      </c>
      <c r="K49" s="115">
        <v>8.8000000000000009E-2</v>
      </c>
      <c r="L49" s="147">
        <f t="shared" si="2"/>
        <v>0.91200000000000003</v>
      </c>
      <c r="M49" s="105">
        <f t="shared" si="0"/>
        <v>45.056000000000004</v>
      </c>
      <c r="N49" s="148">
        <f t="shared" si="1"/>
        <v>466.94400000000002</v>
      </c>
      <c r="O49" s="75">
        <v>512</v>
      </c>
    </row>
    <row r="50" spans="1:15" ht="14.4">
      <c r="J50" s="75">
        <v>2009</v>
      </c>
      <c r="K50" s="115">
        <v>7.0999999999999994E-2</v>
      </c>
      <c r="L50" s="147">
        <f t="shared" si="2"/>
        <v>0.92900000000000005</v>
      </c>
      <c r="M50" s="105">
        <f t="shared" si="0"/>
        <v>40.327999999999996</v>
      </c>
      <c r="N50" s="148">
        <f t="shared" si="1"/>
        <v>527.67200000000003</v>
      </c>
      <c r="O50" s="75">
        <v>568</v>
      </c>
    </row>
    <row r="51" spans="1:15" ht="14.4">
      <c r="J51" s="75">
        <v>2010</v>
      </c>
      <c r="K51" s="115">
        <v>7.2000000000000008E-2</v>
      </c>
      <c r="L51" s="147">
        <f t="shared" si="2"/>
        <v>0.92799999999999994</v>
      </c>
      <c r="M51" s="105">
        <f t="shared" si="0"/>
        <v>45.144000000000005</v>
      </c>
      <c r="N51" s="148">
        <f t="shared" si="1"/>
        <v>581.85599999999999</v>
      </c>
      <c r="O51" s="75">
        <v>627</v>
      </c>
    </row>
    <row r="55" spans="1:15">
      <c r="A55" s="75" t="s">
        <v>358</v>
      </c>
    </row>
    <row r="59" spans="1:15" ht="14.4">
      <c r="J59" s="75">
        <v>12.1</v>
      </c>
      <c r="K59" s="94">
        <f>J59/100</f>
        <v>0.121</v>
      </c>
    </row>
    <row r="60" spans="1:15" ht="14.4">
      <c r="J60" s="75">
        <v>14.3</v>
      </c>
      <c r="K60" s="94">
        <f t="shared" ref="K60:K69" si="3">J60/100</f>
        <v>0.14300000000000002</v>
      </c>
    </row>
    <row r="61" spans="1:15" ht="14.4">
      <c r="J61" s="75">
        <v>15</v>
      </c>
      <c r="K61" s="94">
        <f t="shared" si="3"/>
        <v>0.15</v>
      </c>
    </row>
    <row r="62" spans="1:15" ht="14.4">
      <c r="E62" s="81" t="s">
        <v>359</v>
      </c>
      <c r="J62" s="75">
        <v>17.5</v>
      </c>
      <c r="K62" s="94">
        <f t="shared" si="3"/>
        <v>0.17499999999999999</v>
      </c>
    </row>
    <row r="63" spans="1:15" ht="14.4">
      <c r="J63" s="75">
        <v>14.3</v>
      </c>
      <c r="K63" s="94">
        <f t="shared" si="3"/>
        <v>0.14300000000000002</v>
      </c>
    </row>
    <row r="64" spans="1:15" ht="14.4">
      <c r="J64" s="75">
        <v>11.7</v>
      </c>
      <c r="K64" s="94">
        <f t="shared" si="3"/>
        <v>0.11699999999999999</v>
      </c>
    </row>
    <row r="65" spans="5:11" ht="14.4">
      <c r="E65" s="75">
        <v>1990</v>
      </c>
      <c r="F65" s="75">
        <v>65</v>
      </c>
      <c r="J65" s="75">
        <v>9.6999999999999993</v>
      </c>
      <c r="K65" s="94">
        <f t="shared" si="3"/>
        <v>9.6999999999999989E-2</v>
      </c>
    </row>
    <row r="66" spans="5:11" ht="14.4">
      <c r="E66" s="75">
        <v>1991</v>
      </c>
      <c r="F66" s="75">
        <v>70</v>
      </c>
      <c r="J66" s="75">
        <v>9.6</v>
      </c>
      <c r="K66" s="94">
        <f t="shared" si="3"/>
        <v>9.6000000000000002E-2</v>
      </c>
    </row>
    <row r="67" spans="5:11" ht="14.4">
      <c r="E67" s="75">
        <v>1992</v>
      </c>
      <c r="F67" s="75">
        <v>80</v>
      </c>
      <c r="J67" s="75">
        <v>8.8000000000000007</v>
      </c>
      <c r="K67" s="94">
        <f t="shared" si="3"/>
        <v>8.8000000000000009E-2</v>
      </c>
    </row>
    <row r="68" spans="5:11" ht="14.4">
      <c r="E68" s="75">
        <v>1993</v>
      </c>
      <c r="F68" s="75">
        <v>90</v>
      </c>
      <c r="J68" s="75">
        <v>7.1</v>
      </c>
      <c r="K68" s="94">
        <f t="shared" si="3"/>
        <v>7.0999999999999994E-2</v>
      </c>
    </row>
    <row r="69" spans="5:11" ht="14.4">
      <c r="E69" s="75">
        <v>1994</v>
      </c>
      <c r="F69" s="75">
        <v>93</v>
      </c>
      <c r="J69" s="75">
        <v>7.2</v>
      </c>
      <c r="K69" s="94">
        <f t="shared" si="3"/>
        <v>7.2000000000000008E-2</v>
      </c>
    </row>
    <row r="70" spans="5:11">
      <c r="E70" s="75">
        <v>1995</v>
      </c>
      <c r="F70" s="75">
        <v>96</v>
      </c>
    </row>
    <row r="71" spans="5:11">
      <c r="E71" s="75">
        <v>1996</v>
      </c>
      <c r="F71" s="75">
        <v>101</v>
      </c>
    </row>
    <row r="72" spans="5:11">
      <c r="E72" s="75">
        <v>1997</v>
      </c>
      <c r="F72" s="75">
        <v>110</v>
      </c>
    </row>
    <row r="73" spans="5:11">
      <c r="E73" s="75">
        <v>1998</v>
      </c>
      <c r="F73" s="75">
        <v>118</v>
      </c>
    </row>
    <row r="74" spans="5:11">
      <c r="E74" s="75">
        <v>1999</v>
      </c>
      <c r="F74" s="75">
        <v>125</v>
      </c>
    </row>
    <row r="75" spans="5:11">
      <c r="E75" s="75">
        <v>2000</v>
      </c>
      <c r="F75" s="75">
        <v>129</v>
      </c>
    </row>
    <row r="76" spans="5:11">
      <c r="E76" s="75">
        <v>2001</v>
      </c>
      <c r="F76" s="75">
        <v>145</v>
      </c>
    </row>
    <row r="77" spans="5:11">
      <c r="E77" s="75">
        <v>2002</v>
      </c>
      <c r="F77" s="75">
        <v>182</v>
      </c>
    </row>
    <row r="78" spans="5:11">
      <c r="E78" s="75">
        <v>2003</v>
      </c>
      <c r="F78" s="75">
        <v>220</v>
      </c>
    </row>
    <row r="79" spans="5:11">
      <c r="E79" s="75">
        <v>2004</v>
      </c>
      <c r="F79" s="75">
        <v>283</v>
      </c>
    </row>
    <row r="80" spans="5:11">
      <c r="E80" s="75">
        <v>2005</v>
      </c>
      <c r="F80" s="75">
        <v>345</v>
      </c>
    </row>
    <row r="81" spans="1:6">
      <c r="E81" s="75">
        <v>2006</v>
      </c>
      <c r="F81" s="75">
        <v>421</v>
      </c>
    </row>
    <row r="82" spans="1:6">
      <c r="E82" s="75">
        <v>2007</v>
      </c>
      <c r="F82" s="75">
        <v>480</v>
      </c>
    </row>
    <row r="83" spans="1:6">
      <c r="E83" s="75">
        <v>2008</v>
      </c>
      <c r="F83" s="75">
        <v>512</v>
      </c>
    </row>
    <row r="84" spans="1:6">
      <c r="E84" s="75">
        <v>2009</v>
      </c>
      <c r="F84" s="75">
        <v>568</v>
      </c>
    </row>
    <row r="85" spans="1:6">
      <c r="E85" s="75">
        <v>2010</v>
      </c>
      <c r="F85" s="75">
        <v>627</v>
      </c>
    </row>
    <row r="88" spans="1:6">
      <c r="A88" s="75" t="s">
        <v>360</v>
      </c>
    </row>
    <row r="96" spans="1:6">
      <c r="D96" s="75">
        <v>12.1</v>
      </c>
    </row>
    <row r="97" spans="1:18">
      <c r="D97" s="75">
        <v>14.3</v>
      </c>
    </row>
    <row r="98" spans="1:18">
      <c r="D98" s="75">
        <v>15</v>
      </c>
    </row>
    <row r="99" spans="1:18">
      <c r="D99" s="75">
        <v>17.5</v>
      </c>
    </row>
    <row r="100" spans="1:18">
      <c r="D100" s="75">
        <v>14.3</v>
      </c>
    </row>
    <row r="101" spans="1:18">
      <c r="D101" s="75">
        <v>11.7</v>
      </c>
    </row>
    <row r="102" spans="1:18">
      <c r="D102" s="75">
        <v>9.6999999999999993</v>
      </c>
    </row>
    <row r="103" spans="1:18">
      <c r="D103" s="75">
        <v>9.6</v>
      </c>
    </row>
    <row r="104" spans="1:18">
      <c r="D104" s="75">
        <v>8.8000000000000007</v>
      </c>
    </row>
    <row r="105" spans="1:18">
      <c r="D105" s="75">
        <v>7.1</v>
      </c>
    </row>
    <row r="106" spans="1:18">
      <c r="D106" s="75">
        <v>7.2</v>
      </c>
    </row>
    <row r="107" spans="1:18" s="99" customFormat="1"/>
    <row r="108" spans="1:18">
      <c r="A108" s="80" t="s">
        <v>361</v>
      </c>
      <c r="B108" s="80"/>
    </row>
    <row r="109" spans="1:18">
      <c r="A109" s="149" t="s">
        <v>357</v>
      </c>
    </row>
    <row r="110" spans="1:18">
      <c r="K110" s="81" t="s">
        <v>349</v>
      </c>
      <c r="L110" s="81" t="s">
        <v>349</v>
      </c>
      <c r="M110" s="81" t="s">
        <v>362</v>
      </c>
      <c r="N110" s="81" t="s">
        <v>362</v>
      </c>
      <c r="O110" s="81"/>
      <c r="P110" s="81" t="s">
        <v>363</v>
      </c>
      <c r="Q110" s="81" t="s">
        <v>364</v>
      </c>
      <c r="R110" s="81"/>
    </row>
    <row r="111" spans="1:18">
      <c r="K111" s="81" t="s">
        <v>365</v>
      </c>
      <c r="L111" s="81" t="s">
        <v>366</v>
      </c>
      <c r="M111" s="81" t="s">
        <v>367</v>
      </c>
      <c r="N111" s="81" t="s">
        <v>367</v>
      </c>
      <c r="O111" s="81"/>
      <c r="P111" s="81" t="s">
        <v>368</v>
      </c>
      <c r="Q111" s="81" t="s">
        <v>369</v>
      </c>
      <c r="R111" s="81"/>
    </row>
    <row r="112" spans="1:18">
      <c r="K112" s="81" t="s">
        <v>370</v>
      </c>
      <c r="L112" s="81" t="s">
        <v>370</v>
      </c>
      <c r="M112" s="81" t="s">
        <v>371</v>
      </c>
      <c r="N112" s="81" t="s">
        <v>369</v>
      </c>
      <c r="O112" s="81"/>
      <c r="P112" s="81" t="s">
        <v>372</v>
      </c>
      <c r="Q112" s="81" t="s">
        <v>373</v>
      </c>
      <c r="R112" s="81"/>
    </row>
    <row r="113" spans="10:18">
      <c r="K113" s="81" t="s">
        <v>374</v>
      </c>
      <c r="L113" s="81" t="s">
        <v>375</v>
      </c>
      <c r="Q113" s="81" t="s">
        <v>314</v>
      </c>
    </row>
    <row r="114" spans="10:18" ht="14.4">
      <c r="J114" s="75">
        <v>1980</v>
      </c>
      <c r="K114" s="75">
        <v>200</v>
      </c>
      <c r="L114" s="75">
        <v>1700</v>
      </c>
      <c r="M114" s="150">
        <f>L114-K114</f>
        <v>1500</v>
      </c>
      <c r="N114" s="150">
        <f>M114</f>
        <v>1500</v>
      </c>
      <c r="O114" s="104"/>
      <c r="P114" s="105">
        <f>N21</f>
        <v>31.200000000000003</v>
      </c>
      <c r="Q114" s="148">
        <f>N114/P114</f>
        <v>48.076923076923073</v>
      </c>
      <c r="R114" s="105"/>
    </row>
    <row r="115" spans="10:18" ht="14.4">
      <c r="J115" s="75">
        <v>1981</v>
      </c>
      <c r="K115" s="75">
        <v>220</v>
      </c>
      <c r="L115" s="75">
        <v>1550</v>
      </c>
      <c r="M115" s="150">
        <f t="shared" ref="M115:M130" si="4">L115-K115</f>
        <v>1330</v>
      </c>
      <c r="N115" s="150">
        <f t="shared" ref="N115:N130" si="5">M115</f>
        <v>1330</v>
      </c>
      <c r="O115" s="104"/>
      <c r="P115" s="105">
        <f t="shared" ref="P115:P130" si="6">N22</f>
        <v>29.6</v>
      </c>
      <c r="Q115" s="148">
        <f t="shared" ref="Q115:Q130" si="7">N115/P115</f>
        <v>44.932432432432428</v>
      </c>
      <c r="R115" s="105"/>
    </row>
    <row r="116" spans="10:18" ht="14.4">
      <c r="J116" s="75">
        <v>1982</v>
      </c>
      <c r="K116" s="75">
        <v>240</v>
      </c>
      <c r="L116" s="75">
        <v>1550</v>
      </c>
      <c r="M116" s="150">
        <f t="shared" si="4"/>
        <v>1310</v>
      </c>
      <c r="N116" s="150">
        <f t="shared" si="5"/>
        <v>1310</v>
      </c>
      <c r="O116" s="104"/>
      <c r="P116" s="105">
        <f t="shared" si="6"/>
        <v>30.400000000000002</v>
      </c>
      <c r="Q116" s="148">
        <f t="shared" si="7"/>
        <v>43.09210526315789</v>
      </c>
      <c r="R116" s="105"/>
    </row>
    <row r="117" spans="10:18" ht="14.4">
      <c r="J117" s="75">
        <v>1983</v>
      </c>
      <c r="K117" s="75">
        <v>260</v>
      </c>
      <c r="L117" s="75">
        <v>1600</v>
      </c>
      <c r="M117" s="150">
        <f t="shared" si="4"/>
        <v>1340</v>
      </c>
      <c r="N117" s="150">
        <f t="shared" si="5"/>
        <v>1340</v>
      </c>
      <c r="O117" s="104"/>
      <c r="P117" s="105">
        <f t="shared" si="6"/>
        <v>32</v>
      </c>
      <c r="Q117" s="148">
        <f t="shared" si="7"/>
        <v>41.875</v>
      </c>
      <c r="R117" s="105"/>
    </row>
    <row r="118" spans="10:18" ht="14.4">
      <c r="J118" s="75">
        <v>1984</v>
      </c>
      <c r="K118" s="75">
        <v>280</v>
      </c>
      <c r="L118" s="75">
        <v>1750</v>
      </c>
      <c r="M118" s="150">
        <f t="shared" si="4"/>
        <v>1470</v>
      </c>
      <c r="N118" s="150">
        <f t="shared" si="5"/>
        <v>1470</v>
      </c>
      <c r="O118" s="104"/>
      <c r="P118" s="105">
        <f t="shared" si="6"/>
        <v>35.200000000000003</v>
      </c>
      <c r="Q118" s="148">
        <f t="shared" si="7"/>
        <v>41.761363636363633</v>
      </c>
      <c r="R118" s="105"/>
    </row>
    <row r="119" spans="10:18" ht="14.4">
      <c r="J119" s="75">
        <v>1985</v>
      </c>
      <c r="K119" s="75">
        <v>300</v>
      </c>
      <c r="L119" s="75">
        <v>1875</v>
      </c>
      <c r="M119" s="150">
        <f t="shared" si="4"/>
        <v>1575</v>
      </c>
      <c r="N119" s="150">
        <f t="shared" si="5"/>
        <v>1575</v>
      </c>
      <c r="O119" s="104"/>
      <c r="P119" s="105">
        <f t="shared" si="6"/>
        <v>38.400000000000006</v>
      </c>
      <c r="Q119" s="148">
        <f t="shared" si="7"/>
        <v>41.015624999999993</v>
      </c>
      <c r="R119" s="105"/>
    </row>
    <row r="120" spans="10:18" ht="14.4">
      <c r="J120" s="75">
        <v>1986</v>
      </c>
      <c r="K120" s="75">
        <v>320</v>
      </c>
      <c r="L120" s="75">
        <v>2000</v>
      </c>
      <c r="M120" s="150">
        <f t="shared" si="4"/>
        <v>1680</v>
      </c>
      <c r="N120" s="150">
        <f t="shared" si="5"/>
        <v>1680</v>
      </c>
      <c r="O120" s="104"/>
      <c r="P120" s="105">
        <f t="shared" si="6"/>
        <v>41.6</v>
      </c>
      <c r="Q120" s="148">
        <f t="shared" si="7"/>
        <v>40.38461538461538</v>
      </c>
      <c r="R120" s="105"/>
    </row>
    <row r="121" spans="10:18" ht="14.4">
      <c r="J121" s="75">
        <v>1987</v>
      </c>
      <c r="K121" s="75">
        <v>350</v>
      </c>
      <c r="L121" s="75">
        <v>2075</v>
      </c>
      <c r="M121" s="150">
        <f t="shared" si="4"/>
        <v>1725</v>
      </c>
      <c r="N121" s="150">
        <f t="shared" si="5"/>
        <v>1725</v>
      </c>
      <c r="O121" s="104"/>
      <c r="P121" s="105">
        <f t="shared" si="6"/>
        <v>44.800000000000004</v>
      </c>
      <c r="Q121" s="148">
        <f t="shared" si="7"/>
        <v>38.504464285714285</v>
      </c>
      <c r="R121" s="105"/>
    </row>
    <row r="122" spans="10:18" ht="14.4">
      <c r="J122" s="75">
        <v>1988</v>
      </c>
      <c r="K122" s="75">
        <v>380</v>
      </c>
      <c r="L122" s="75">
        <v>2200</v>
      </c>
      <c r="M122" s="150">
        <f t="shared" si="4"/>
        <v>1820</v>
      </c>
      <c r="N122" s="150">
        <f t="shared" si="5"/>
        <v>1820</v>
      </c>
      <c r="O122" s="104"/>
      <c r="P122" s="105">
        <f t="shared" si="6"/>
        <v>48</v>
      </c>
      <c r="Q122" s="148">
        <f t="shared" si="7"/>
        <v>37.916666666666664</v>
      </c>
      <c r="R122" s="105"/>
    </row>
    <row r="123" spans="10:18" ht="14.4">
      <c r="J123" s="75">
        <v>1989</v>
      </c>
      <c r="K123" s="75">
        <v>415</v>
      </c>
      <c r="L123" s="75">
        <v>2300</v>
      </c>
      <c r="M123" s="150">
        <f t="shared" si="4"/>
        <v>1885</v>
      </c>
      <c r="N123" s="150">
        <f t="shared" si="5"/>
        <v>1885</v>
      </c>
      <c r="O123" s="104"/>
      <c r="P123" s="105">
        <f t="shared" si="6"/>
        <v>50.400000000000006</v>
      </c>
      <c r="Q123" s="148">
        <f t="shared" si="7"/>
        <v>37.400793650793645</v>
      </c>
      <c r="R123" s="105"/>
    </row>
    <row r="124" spans="10:18" ht="14.4">
      <c r="J124" s="75">
        <v>1990</v>
      </c>
      <c r="K124" s="75">
        <v>450</v>
      </c>
      <c r="L124" s="75">
        <v>2400</v>
      </c>
      <c r="M124" s="150">
        <f t="shared" si="4"/>
        <v>1950</v>
      </c>
      <c r="N124" s="150">
        <f t="shared" si="5"/>
        <v>1950</v>
      </c>
      <c r="O124" s="104"/>
      <c r="P124" s="105">
        <f t="shared" si="6"/>
        <v>52</v>
      </c>
      <c r="Q124" s="148">
        <f t="shared" si="7"/>
        <v>37.5</v>
      </c>
      <c r="R124" s="105"/>
    </row>
    <row r="125" spans="10:18" ht="14.4">
      <c r="J125" s="75">
        <v>1991</v>
      </c>
      <c r="K125" s="75">
        <v>510</v>
      </c>
      <c r="L125" s="75">
        <v>2575</v>
      </c>
      <c r="M125" s="150">
        <f t="shared" si="4"/>
        <v>2065</v>
      </c>
      <c r="N125" s="150">
        <f t="shared" si="5"/>
        <v>2065</v>
      </c>
      <c r="O125" s="104"/>
      <c r="P125" s="105">
        <f t="shared" si="6"/>
        <v>56.349999999999994</v>
      </c>
      <c r="Q125" s="148">
        <f t="shared" si="7"/>
        <v>36.645962732919259</v>
      </c>
      <c r="R125" s="105"/>
    </row>
    <row r="126" spans="10:18" ht="14.4">
      <c r="J126" s="75">
        <v>1992</v>
      </c>
      <c r="K126" s="75">
        <v>575</v>
      </c>
      <c r="L126" s="75">
        <v>2700</v>
      </c>
      <c r="M126" s="150">
        <f t="shared" si="4"/>
        <v>2125</v>
      </c>
      <c r="N126" s="150">
        <f t="shared" si="5"/>
        <v>2125</v>
      </c>
      <c r="O126" s="104"/>
      <c r="P126" s="105">
        <f t="shared" si="6"/>
        <v>64.800000000000011</v>
      </c>
      <c r="Q126" s="148">
        <f t="shared" si="7"/>
        <v>32.793209876543202</v>
      </c>
      <c r="R126" s="105"/>
    </row>
    <row r="127" spans="10:18" ht="14.4">
      <c r="J127" s="75">
        <v>1993</v>
      </c>
      <c r="K127" s="75">
        <v>650</v>
      </c>
      <c r="L127" s="75">
        <v>3100</v>
      </c>
      <c r="M127" s="150">
        <f t="shared" si="4"/>
        <v>2450</v>
      </c>
      <c r="N127" s="150">
        <f t="shared" si="5"/>
        <v>2450</v>
      </c>
      <c r="O127" s="104"/>
      <c r="P127" s="105">
        <f t="shared" si="6"/>
        <v>73.349999999999994</v>
      </c>
      <c r="Q127" s="148">
        <f t="shared" si="7"/>
        <v>33.401499659168373</v>
      </c>
      <c r="R127" s="105"/>
    </row>
    <row r="128" spans="10:18" ht="14.4">
      <c r="J128" s="75">
        <v>1994</v>
      </c>
      <c r="K128" s="75">
        <v>725</v>
      </c>
      <c r="L128" s="75">
        <v>3400</v>
      </c>
      <c r="M128" s="150">
        <f t="shared" si="4"/>
        <v>2675</v>
      </c>
      <c r="N128" s="150">
        <f t="shared" si="5"/>
        <v>2675</v>
      </c>
      <c r="O128" s="104"/>
      <c r="P128" s="105">
        <f t="shared" si="6"/>
        <v>76.260000000000005</v>
      </c>
      <c r="Q128" s="148">
        <f t="shared" si="7"/>
        <v>35.077366902701286</v>
      </c>
      <c r="R128" s="105"/>
    </row>
    <row r="129" spans="10:18" ht="14.4">
      <c r="J129" s="75">
        <v>1995</v>
      </c>
      <c r="K129" s="75">
        <v>800</v>
      </c>
      <c r="L129" s="75">
        <v>3500</v>
      </c>
      <c r="M129" s="150">
        <f t="shared" si="4"/>
        <v>2700</v>
      </c>
      <c r="N129" s="150">
        <f t="shared" si="5"/>
        <v>2700</v>
      </c>
      <c r="O129" s="104"/>
      <c r="P129" s="105">
        <f t="shared" si="6"/>
        <v>79.199999999999989</v>
      </c>
      <c r="Q129" s="148">
        <f t="shared" si="7"/>
        <v>34.090909090909093</v>
      </c>
      <c r="R129" s="105"/>
    </row>
    <row r="130" spans="10:18" ht="14.4">
      <c r="J130" s="75">
        <v>1996</v>
      </c>
      <c r="K130" s="75">
        <v>850</v>
      </c>
      <c r="L130" s="75">
        <v>3500</v>
      </c>
      <c r="M130" s="150">
        <f t="shared" si="4"/>
        <v>2650</v>
      </c>
      <c r="N130" s="150">
        <f t="shared" si="5"/>
        <v>2650</v>
      </c>
      <c r="O130" s="104"/>
      <c r="P130" s="105">
        <f t="shared" si="6"/>
        <v>83.83</v>
      </c>
      <c r="Q130" s="148">
        <f t="shared" si="7"/>
        <v>31.611594894429203</v>
      </c>
      <c r="R130" s="105"/>
    </row>
    <row r="131" spans="10:18" ht="14.4">
      <c r="J131" s="75">
        <v>1997</v>
      </c>
      <c r="N131" s="150"/>
    </row>
    <row r="132" spans="10:18" ht="14.4">
      <c r="J132" s="75">
        <v>1998</v>
      </c>
      <c r="N132" s="150"/>
    </row>
    <row r="133" spans="10:18" ht="14.4">
      <c r="J133" s="75">
        <v>1999</v>
      </c>
      <c r="N133" s="150"/>
    </row>
    <row r="134" spans="10:18" ht="14.4">
      <c r="J134" s="75">
        <v>2000</v>
      </c>
      <c r="N134" s="150"/>
    </row>
    <row r="135" spans="10:18" ht="14.4">
      <c r="J135" s="75">
        <v>2001</v>
      </c>
      <c r="N135" s="150"/>
    </row>
    <row r="136" spans="10:18" ht="14.4">
      <c r="J136" s="75">
        <v>2002</v>
      </c>
      <c r="N136" s="150"/>
    </row>
    <row r="137" spans="10:18" ht="14.4">
      <c r="J137" s="75">
        <v>2003</v>
      </c>
      <c r="N137" s="150"/>
    </row>
    <row r="138" spans="10:18" ht="14.4">
      <c r="J138" s="75">
        <v>2004</v>
      </c>
      <c r="N138" s="150"/>
    </row>
    <row r="139" spans="10:18" ht="14.4">
      <c r="J139" s="75">
        <v>2005</v>
      </c>
      <c r="N139" s="150"/>
    </row>
    <row r="140" spans="10:18" ht="14.4">
      <c r="J140" s="75">
        <v>2006</v>
      </c>
      <c r="N140" s="150"/>
    </row>
    <row r="146" s="99" customFormat="1"/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K387"/>
  <sheetViews>
    <sheetView topLeftCell="A125" zoomScale="80" zoomScaleNormal="80" workbookViewId="0">
      <selection activeCell="O286" sqref="O286:S287"/>
    </sheetView>
  </sheetViews>
  <sheetFormatPr defaultColWidth="9.109375" defaultRowHeight="13.2"/>
  <cols>
    <col min="1" max="1" width="37" style="75" customWidth="1"/>
    <col min="2" max="2" width="16.44140625" style="75" customWidth="1"/>
    <col min="3" max="3" width="46.44140625" style="75" customWidth="1"/>
    <col min="4" max="4" width="12.44140625" style="75" bestFit="1" customWidth="1"/>
    <col min="5" max="5" width="13.44140625" style="75" customWidth="1"/>
    <col min="6" max="7" width="11.109375" style="75" bestFit="1" customWidth="1"/>
    <col min="8" max="8" width="11.88671875" style="75" customWidth="1"/>
    <col min="9" max="9" width="11.109375" style="75" bestFit="1" customWidth="1"/>
    <col min="10" max="10" width="11.44140625" style="75" bestFit="1" customWidth="1"/>
    <col min="11" max="45" width="11.109375" style="75" bestFit="1" customWidth="1"/>
    <col min="46" max="53" width="10.109375" style="75" bestFit="1" customWidth="1"/>
    <col min="54" max="54" width="10.109375" style="75" customWidth="1"/>
    <col min="55" max="55" width="10.109375" style="75" bestFit="1" customWidth="1"/>
    <col min="56" max="60" width="10.6640625" style="75" customWidth="1"/>
    <col min="61" max="16384" width="9.109375" style="75"/>
  </cols>
  <sheetData>
    <row r="1" spans="1:4" ht="14.4">
      <c r="A1" s="72" t="s">
        <v>6</v>
      </c>
      <c r="B1" s="72"/>
      <c r="C1" s="73"/>
      <c r="D1" s="74"/>
    </row>
    <row r="2" spans="1:4" ht="14.4">
      <c r="A2" s="76" t="s">
        <v>196</v>
      </c>
      <c r="B2" s="76"/>
      <c r="C2" s="73"/>
      <c r="D2" s="74"/>
    </row>
    <row r="3" spans="1:4" ht="14.4">
      <c r="A3" s="76" t="s">
        <v>197</v>
      </c>
      <c r="B3" s="76"/>
      <c r="C3" s="73"/>
      <c r="D3" s="74"/>
    </row>
    <row r="4" spans="1:4" ht="14.4">
      <c r="A4" s="76"/>
      <c r="B4" s="76"/>
      <c r="C4" s="73"/>
      <c r="D4" s="74"/>
    </row>
    <row r="5" spans="1:4" ht="14.4">
      <c r="A5" s="72" t="s">
        <v>198</v>
      </c>
      <c r="B5" s="72"/>
      <c r="C5" s="73"/>
      <c r="D5" s="74"/>
    </row>
    <row r="6" spans="1:4" ht="14.4">
      <c r="A6" s="77">
        <v>1</v>
      </c>
      <c r="B6" s="77"/>
      <c r="C6" s="77" t="s">
        <v>199</v>
      </c>
      <c r="D6" s="74"/>
    </row>
    <row r="7" spans="1:4" ht="14.4">
      <c r="A7" s="75">
        <v>2</v>
      </c>
      <c r="C7" s="77" t="s">
        <v>200</v>
      </c>
      <c r="D7" s="74"/>
    </row>
    <row r="8" spans="1:4" ht="14.4">
      <c r="A8" s="77">
        <v>3</v>
      </c>
      <c r="B8" s="77"/>
      <c r="C8" s="76" t="s">
        <v>201</v>
      </c>
      <c r="D8" s="74"/>
    </row>
    <row r="9" spans="1:4" ht="14.4">
      <c r="A9" s="75">
        <v>4</v>
      </c>
      <c r="C9" s="76" t="s">
        <v>202</v>
      </c>
      <c r="D9" s="74"/>
    </row>
    <row r="10" spans="1:4" ht="14.4">
      <c r="A10" s="77">
        <v>5</v>
      </c>
      <c r="B10" s="77"/>
      <c r="C10" s="76" t="s">
        <v>203</v>
      </c>
      <c r="D10" s="74"/>
    </row>
    <row r="11" spans="1:4" ht="14.4">
      <c r="A11" s="75">
        <v>6</v>
      </c>
      <c r="C11" s="76" t="s">
        <v>204</v>
      </c>
      <c r="D11" s="74"/>
    </row>
    <row r="12" spans="1:4" ht="14.4">
      <c r="A12" s="77">
        <v>7</v>
      </c>
      <c r="B12" s="77"/>
      <c r="C12" s="76" t="s">
        <v>205</v>
      </c>
      <c r="D12" s="74"/>
    </row>
    <row r="13" spans="1:4" ht="14.4">
      <c r="A13" s="75">
        <v>8</v>
      </c>
      <c r="C13" s="76" t="s">
        <v>206</v>
      </c>
      <c r="D13" s="74"/>
    </row>
    <row r="14" spans="1:4" ht="14.4">
      <c r="A14" s="72" t="s">
        <v>207</v>
      </c>
      <c r="B14" s="72"/>
      <c r="C14" s="73"/>
      <c r="D14" s="74"/>
    </row>
    <row r="15" spans="1:4" ht="14.4">
      <c r="A15" s="73"/>
      <c r="B15" s="73"/>
      <c r="C15" s="78" t="s">
        <v>208</v>
      </c>
      <c r="D15" s="74"/>
    </row>
    <row r="16" spans="1:4" ht="14.4">
      <c r="A16" s="74"/>
      <c r="B16" s="74"/>
      <c r="C16" s="79"/>
      <c r="D16" s="74"/>
    </row>
    <row r="17" spans="1:60" ht="14.4">
      <c r="C17" s="79"/>
      <c r="D17" s="74"/>
    </row>
    <row r="18" spans="1:60">
      <c r="A18" s="80" t="s">
        <v>209</v>
      </c>
      <c r="B18" s="80"/>
    </row>
    <row r="19" spans="1:60" ht="14.4">
      <c r="A19" s="75" t="s">
        <v>210</v>
      </c>
      <c r="C19" s="79" t="s">
        <v>211</v>
      </c>
    </row>
    <row r="20" spans="1:60" ht="14.4">
      <c r="A20" s="81" t="s">
        <v>212</v>
      </c>
      <c r="B20" s="81"/>
      <c r="C20" s="79" t="s">
        <v>213</v>
      </c>
    </row>
    <row r="21" spans="1:60" ht="14.4">
      <c r="A21" s="81" t="s">
        <v>214</v>
      </c>
      <c r="B21" s="81"/>
      <c r="C21" s="79" t="s">
        <v>215</v>
      </c>
    </row>
    <row r="22" spans="1:60" ht="14.4">
      <c r="A22" s="81" t="s">
        <v>216</v>
      </c>
      <c r="B22" s="81"/>
      <c r="C22" s="79" t="s">
        <v>217</v>
      </c>
      <c r="I22" s="75" t="s">
        <v>218</v>
      </c>
    </row>
    <row r="23" spans="1:60" ht="14.4">
      <c r="A23" s="81" t="s">
        <v>219</v>
      </c>
      <c r="B23" s="81"/>
      <c r="C23" s="79" t="s">
        <v>220</v>
      </c>
      <c r="I23" s="82" t="s">
        <v>218</v>
      </c>
      <c r="L23" s="81" t="s">
        <v>221</v>
      </c>
    </row>
    <row r="24" spans="1:60" ht="14.4">
      <c r="A24" s="81" t="s">
        <v>222</v>
      </c>
      <c r="B24" s="81"/>
      <c r="C24" s="79" t="s">
        <v>223</v>
      </c>
    </row>
    <row r="25" spans="1:60" ht="14.4">
      <c r="A25" s="81" t="s">
        <v>214</v>
      </c>
      <c r="B25" s="81"/>
      <c r="C25" s="79" t="s">
        <v>224</v>
      </c>
    </row>
    <row r="26" spans="1:60" ht="14.4">
      <c r="A26" s="81" t="s">
        <v>225</v>
      </c>
      <c r="B26" s="81"/>
      <c r="C26" s="79" t="s">
        <v>226</v>
      </c>
    </row>
    <row r="27" spans="1:60" ht="14.4">
      <c r="A27" s="81" t="s">
        <v>227</v>
      </c>
      <c r="B27" s="81"/>
      <c r="C27" s="83" t="s">
        <v>228</v>
      </c>
      <c r="I27" s="75" t="s">
        <v>229</v>
      </c>
      <c r="J27" s="81"/>
      <c r="L27" s="82"/>
    </row>
    <row r="28" spans="1:60">
      <c r="C28" s="81" t="s">
        <v>230</v>
      </c>
      <c r="E28" s="75" t="s">
        <v>231</v>
      </c>
      <c r="I28" s="75" t="s">
        <v>232</v>
      </c>
    </row>
    <row r="29" spans="1:60">
      <c r="C29" s="75" t="s">
        <v>233</v>
      </c>
    </row>
    <row r="31" spans="1:60">
      <c r="A31" s="80" t="s">
        <v>234</v>
      </c>
      <c r="B31" s="80"/>
    </row>
    <row r="32" spans="1:60">
      <c r="A32" s="84" t="s">
        <v>235</v>
      </c>
      <c r="B32" s="84"/>
      <c r="C32" s="85"/>
      <c r="D32" s="86">
        <v>1960</v>
      </c>
      <c r="E32" s="86">
        <v>1961</v>
      </c>
      <c r="F32" s="86">
        <v>1962</v>
      </c>
      <c r="G32" s="86">
        <v>1963</v>
      </c>
      <c r="H32" s="86">
        <v>1964</v>
      </c>
      <c r="I32" s="86">
        <v>1965</v>
      </c>
      <c r="J32" s="86">
        <v>1966</v>
      </c>
      <c r="K32" s="86">
        <v>1967</v>
      </c>
      <c r="L32" s="86">
        <v>1968</v>
      </c>
      <c r="M32" s="86">
        <v>1969</v>
      </c>
      <c r="N32" s="86">
        <v>1970</v>
      </c>
      <c r="O32" s="86">
        <v>1971</v>
      </c>
      <c r="P32" s="86">
        <v>1972</v>
      </c>
      <c r="Q32" s="86">
        <v>1973</v>
      </c>
      <c r="R32" s="86">
        <v>1974</v>
      </c>
      <c r="S32" s="86">
        <v>1975</v>
      </c>
      <c r="T32" s="86">
        <v>1976</v>
      </c>
      <c r="U32" s="86">
        <v>1977</v>
      </c>
      <c r="V32" s="86">
        <v>1978</v>
      </c>
      <c r="W32" s="86">
        <v>1979</v>
      </c>
      <c r="X32" s="86">
        <v>1980</v>
      </c>
      <c r="Y32" s="86">
        <v>1981</v>
      </c>
      <c r="Z32" s="86">
        <v>1982</v>
      </c>
      <c r="AA32" s="86">
        <v>1983</v>
      </c>
      <c r="AB32" s="86">
        <v>1984</v>
      </c>
      <c r="AC32" s="86">
        <v>1985</v>
      </c>
      <c r="AD32" s="86">
        <v>1986</v>
      </c>
      <c r="AE32" s="86">
        <v>1987</v>
      </c>
      <c r="AF32" s="86">
        <v>1988</v>
      </c>
      <c r="AG32" s="86">
        <v>1989</v>
      </c>
      <c r="AH32" s="86">
        <v>1990</v>
      </c>
      <c r="AI32" s="86">
        <v>1991</v>
      </c>
      <c r="AJ32" s="86">
        <v>1992</v>
      </c>
      <c r="AK32" s="86">
        <v>1993</v>
      </c>
      <c r="AL32" s="86">
        <v>1994</v>
      </c>
      <c r="AM32" s="86">
        <v>1995</v>
      </c>
      <c r="AN32" s="86">
        <v>1996</v>
      </c>
      <c r="AO32" s="86">
        <v>1997</v>
      </c>
      <c r="AP32" s="86">
        <v>1998</v>
      </c>
      <c r="AQ32" s="86">
        <v>1999</v>
      </c>
      <c r="AR32" s="86">
        <v>2000</v>
      </c>
      <c r="AS32" s="86">
        <v>2001</v>
      </c>
      <c r="AT32" s="86">
        <v>2002</v>
      </c>
      <c r="AU32" s="86">
        <v>2003</v>
      </c>
      <c r="AV32" s="86">
        <v>2004</v>
      </c>
      <c r="AW32" s="86">
        <v>2005</v>
      </c>
      <c r="AX32" s="86">
        <v>2006</v>
      </c>
      <c r="AY32" s="86">
        <v>2007</v>
      </c>
      <c r="AZ32" s="86">
        <v>2008</v>
      </c>
      <c r="BA32" s="86">
        <v>2009</v>
      </c>
      <c r="BB32" s="86">
        <v>2010</v>
      </c>
      <c r="BC32" s="86">
        <v>2011</v>
      </c>
      <c r="BD32" s="86">
        <v>2012</v>
      </c>
      <c r="BE32" s="86">
        <v>2013</v>
      </c>
      <c r="BF32" s="86">
        <v>2014</v>
      </c>
      <c r="BG32" s="86">
        <v>2015</v>
      </c>
      <c r="BH32" s="86">
        <v>2016</v>
      </c>
    </row>
    <row r="33" spans="1:60" ht="14.4">
      <c r="A33" s="84" t="s">
        <v>236</v>
      </c>
      <c r="B33" s="84"/>
      <c r="C33" s="87" t="s">
        <v>237</v>
      </c>
      <c r="D33" s="88">
        <f>D118</f>
        <v>0.19409293235047742</v>
      </c>
      <c r="E33" s="88">
        <f t="shared" ref="E33:BH33" si="0">E118</f>
        <v>0.20627143218667282</v>
      </c>
      <c r="F33" s="88">
        <f t="shared" si="0"/>
        <v>0.2054957367560129</v>
      </c>
      <c r="G33" s="88">
        <f t="shared" si="0"/>
        <v>0.21481746514198144</v>
      </c>
      <c r="H33" s="88">
        <f t="shared" si="0"/>
        <v>0.22320354830840505</v>
      </c>
      <c r="I33" s="88">
        <f t="shared" si="0"/>
        <v>0.22734833714194524</v>
      </c>
      <c r="J33" s="88">
        <f t="shared" si="0"/>
        <v>0.22611190762902386</v>
      </c>
      <c r="K33" s="88">
        <f t="shared" si="0"/>
        <v>0.22859671419927494</v>
      </c>
      <c r="L33" s="88">
        <f t="shared" si="0"/>
        <v>0.22974335176670307</v>
      </c>
      <c r="M33" s="88">
        <f t="shared" si="0"/>
        <v>0.22518514575722418</v>
      </c>
      <c r="N33" s="88">
        <f t="shared" si="0"/>
        <v>0.2262996186872831</v>
      </c>
      <c r="O33" s="88">
        <f t="shared" si="0"/>
        <v>0.22833829627944799</v>
      </c>
      <c r="P33" s="88">
        <f t="shared" si="0"/>
        <v>0.25120815022645188</v>
      </c>
      <c r="Q33" s="88">
        <f t="shared" si="0"/>
        <v>0.20233839026290562</v>
      </c>
      <c r="R33" s="88">
        <f t="shared" si="0"/>
        <v>0.19560178863354352</v>
      </c>
      <c r="S33" s="88">
        <f t="shared" si="0"/>
        <v>0.17742520139703846</v>
      </c>
      <c r="T33" s="88">
        <f t="shared" si="0"/>
        <v>0.16904907925122825</v>
      </c>
      <c r="U33" s="88">
        <f t="shared" si="0"/>
        <v>0.17766811749362474</v>
      </c>
      <c r="V33" s="88">
        <f t="shared" si="0"/>
        <v>0.17627592787866364</v>
      </c>
      <c r="W33" s="88">
        <f t="shared" si="0"/>
        <v>0.17387515354153441</v>
      </c>
      <c r="X33" s="88">
        <f t="shared" si="0"/>
        <v>0.16591206358025659</v>
      </c>
      <c r="Y33" s="88">
        <f t="shared" si="0"/>
        <v>0.2001795760808926</v>
      </c>
      <c r="Z33" s="88">
        <f t="shared" si="0"/>
        <v>0.20252688969653582</v>
      </c>
      <c r="AA33" s="88">
        <f t="shared" si="0"/>
        <v>0.22116167538748951</v>
      </c>
      <c r="AB33" s="88">
        <f t="shared" si="0"/>
        <v>0.226209111305226</v>
      </c>
      <c r="AC33" s="88">
        <f t="shared" si="0"/>
        <v>0.23390124019120187</v>
      </c>
      <c r="AD33" s="88">
        <f t="shared" si="0"/>
        <v>0.24811099543109114</v>
      </c>
      <c r="AE33" s="88">
        <f t="shared" si="0"/>
        <v>0.25845816665258203</v>
      </c>
      <c r="AF33" s="88">
        <f t="shared" si="0"/>
        <v>0.27110864612627583</v>
      </c>
      <c r="AG33" s="88">
        <f t="shared" si="0"/>
        <v>0.25598018516328852</v>
      </c>
      <c r="AH33" s="88">
        <f t="shared" si="0"/>
        <v>0.26931722277063719</v>
      </c>
      <c r="AI33" s="88">
        <f t="shared" si="0"/>
        <v>0.26995660063131971</v>
      </c>
      <c r="AJ33" s="88">
        <f t="shared" si="0"/>
        <v>0.27656000847733203</v>
      </c>
      <c r="AK33" s="88">
        <f t="shared" si="0"/>
        <v>0.28273844686926797</v>
      </c>
      <c r="AL33" s="88">
        <f t="shared" si="0"/>
        <v>0.28838196571187541</v>
      </c>
      <c r="AM33" s="88">
        <f t="shared" si="0"/>
        <v>0.291747650763655</v>
      </c>
      <c r="AN33" s="88">
        <f t="shared" si="0"/>
        <v>0.30343447353990255</v>
      </c>
      <c r="AO33" s="88">
        <f t="shared" si="0"/>
        <v>0.30524641663656271</v>
      </c>
      <c r="AP33" s="88">
        <f t="shared" si="0"/>
        <v>0.30158170589275884</v>
      </c>
      <c r="AQ33" s="88">
        <f t="shared" si="0"/>
        <v>0.29779132351330495</v>
      </c>
      <c r="AR33" s="88">
        <f t="shared" si="0"/>
        <v>0.3120354208172787</v>
      </c>
      <c r="AS33" s="88">
        <f t="shared" si="0"/>
        <v>0.30932881223052189</v>
      </c>
      <c r="AT33" s="88">
        <f t="shared" si="0"/>
        <v>0.32483406234127843</v>
      </c>
      <c r="AU33" s="88">
        <f t="shared" si="0"/>
        <v>0.31545302586485829</v>
      </c>
      <c r="AV33" s="88">
        <f t="shared" si="0"/>
        <v>0.32584261125600761</v>
      </c>
      <c r="AW33" s="88">
        <f t="shared" si="0"/>
        <v>0.32614762263406477</v>
      </c>
      <c r="AX33" s="88">
        <f t="shared" si="0"/>
        <v>0.33132984699192047</v>
      </c>
      <c r="AY33" s="88">
        <f t="shared" si="0"/>
        <v>0.34752400791572269</v>
      </c>
      <c r="AZ33" s="88">
        <f t="shared" si="0"/>
        <v>0.34236810123107686</v>
      </c>
      <c r="BA33" s="88">
        <f t="shared" si="0"/>
        <v>0.3376730110598864</v>
      </c>
      <c r="BB33" s="88">
        <f t="shared" si="0"/>
        <v>0.32026106271130189</v>
      </c>
      <c r="BC33" s="89">
        <f t="shared" si="0"/>
        <v>0.31772681225806987</v>
      </c>
      <c r="BD33" s="89">
        <f t="shared" si="0"/>
        <v>0.32847833504557256</v>
      </c>
      <c r="BE33" s="89">
        <f t="shared" si="0"/>
        <v>0.36085253812138418</v>
      </c>
      <c r="BF33" s="89">
        <f t="shared" si="0"/>
        <v>0.3704246131916904</v>
      </c>
      <c r="BG33" s="90">
        <f t="shared" si="0"/>
        <v>0.3762850769296473</v>
      </c>
      <c r="BH33" s="90">
        <f t="shared" si="0"/>
        <v>0.37129242755495995</v>
      </c>
    </row>
    <row r="34" spans="1:60" ht="14.4">
      <c r="A34" s="84" t="s">
        <v>236</v>
      </c>
      <c r="B34" s="84"/>
      <c r="C34" s="87" t="s">
        <v>238</v>
      </c>
      <c r="D34" s="88" t="e">
        <f>#REF!</f>
        <v>#REF!</v>
      </c>
      <c r="E34" s="88" t="e">
        <f>#REF!</f>
        <v>#REF!</v>
      </c>
      <c r="F34" s="88" t="e">
        <f>#REF!</f>
        <v>#REF!</v>
      </c>
      <c r="G34" s="88" t="e">
        <f>#REF!</f>
        <v>#REF!</v>
      </c>
      <c r="H34" s="88" t="e">
        <f>#REF!</f>
        <v>#REF!</v>
      </c>
      <c r="I34" s="88" t="e">
        <f>#REF!</f>
        <v>#REF!</v>
      </c>
      <c r="J34" s="88" t="e">
        <f>#REF!</f>
        <v>#REF!</v>
      </c>
      <c r="K34" s="88" t="e">
        <f>#REF!</f>
        <v>#REF!</v>
      </c>
      <c r="L34" s="88" t="e">
        <f>#REF!</f>
        <v>#REF!</v>
      </c>
      <c r="M34" s="88" t="e">
        <f>#REF!</f>
        <v>#REF!</v>
      </c>
      <c r="N34" s="88" t="e">
        <f>#REF!</f>
        <v>#REF!</v>
      </c>
      <c r="O34" s="88" t="e">
        <f>#REF!</f>
        <v>#REF!</v>
      </c>
      <c r="P34" s="88" t="e">
        <f>#REF!</f>
        <v>#REF!</v>
      </c>
      <c r="Q34" s="88" t="e">
        <f>#REF!</f>
        <v>#REF!</v>
      </c>
      <c r="R34" s="88" t="e">
        <f>#REF!</f>
        <v>#REF!</v>
      </c>
      <c r="S34" s="88" t="e">
        <f>#REF!</f>
        <v>#REF!</v>
      </c>
      <c r="T34" s="88" t="e">
        <f>#REF!</f>
        <v>#REF!</v>
      </c>
      <c r="U34" s="88" t="e">
        <f>#REF!</f>
        <v>#REF!</v>
      </c>
      <c r="V34" s="88" t="e">
        <f>#REF!</f>
        <v>#REF!</v>
      </c>
      <c r="W34" s="88" t="e">
        <f>#REF!</f>
        <v>#REF!</v>
      </c>
      <c r="X34" s="88" t="e">
        <f>#REF!</f>
        <v>#REF!</v>
      </c>
      <c r="Y34" s="88" t="e">
        <f>#REF!</f>
        <v>#REF!</v>
      </c>
      <c r="Z34" s="88" t="e">
        <f>#REF!</f>
        <v>#REF!</v>
      </c>
      <c r="AA34" s="88" t="e">
        <f>#REF!</f>
        <v>#REF!</v>
      </c>
      <c r="AB34" s="88" t="e">
        <f>#REF!</f>
        <v>#REF!</v>
      </c>
      <c r="AC34" s="88" t="e">
        <f>#REF!</f>
        <v>#REF!</v>
      </c>
      <c r="AD34" s="88" t="e">
        <f>#REF!</f>
        <v>#REF!</v>
      </c>
      <c r="AE34" s="88" t="e">
        <f>#REF!</f>
        <v>#REF!</v>
      </c>
      <c r="AF34" s="88" t="e">
        <f>#REF!</f>
        <v>#REF!</v>
      </c>
      <c r="AG34" s="88" t="e">
        <f>#REF!</f>
        <v>#REF!</v>
      </c>
      <c r="AH34" s="88" t="e">
        <f>#REF!</f>
        <v>#REF!</v>
      </c>
      <c r="AI34" s="88" t="e">
        <f>#REF!</f>
        <v>#REF!</v>
      </c>
      <c r="AJ34" s="88" t="e">
        <f>#REF!</f>
        <v>#REF!</v>
      </c>
      <c r="AK34" s="88" t="e">
        <f>#REF!</f>
        <v>#REF!</v>
      </c>
      <c r="AL34" s="88" t="e">
        <f>#REF!</f>
        <v>#REF!</v>
      </c>
      <c r="AM34" s="88" t="e">
        <f>#REF!</f>
        <v>#REF!</v>
      </c>
      <c r="AN34" s="88" t="e">
        <f>#REF!</f>
        <v>#REF!</v>
      </c>
      <c r="AO34" s="88" t="e">
        <f>#REF!</f>
        <v>#REF!</v>
      </c>
      <c r="AP34" s="88" t="e">
        <f>#REF!</f>
        <v>#REF!</v>
      </c>
      <c r="AQ34" s="88" t="e">
        <f>#REF!</f>
        <v>#REF!</v>
      </c>
      <c r="AR34" s="88" t="e">
        <f>#REF!</f>
        <v>#REF!</v>
      </c>
      <c r="AS34" s="88" t="e">
        <f>#REF!</f>
        <v>#REF!</v>
      </c>
      <c r="AT34" s="88" t="e">
        <f>#REF!</f>
        <v>#REF!</v>
      </c>
      <c r="AU34" s="88" t="e">
        <f>#REF!</f>
        <v>#REF!</v>
      </c>
      <c r="AV34" s="88" t="e">
        <f>#REF!</f>
        <v>#REF!</v>
      </c>
      <c r="AW34" s="88" t="e">
        <f>#REF!</f>
        <v>#REF!</v>
      </c>
      <c r="AX34" s="88" t="e">
        <f>#REF!</f>
        <v>#REF!</v>
      </c>
      <c r="AY34" s="88" t="e">
        <f>#REF!</f>
        <v>#REF!</v>
      </c>
      <c r="AZ34" s="88" t="e">
        <f>#REF!</f>
        <v>#REF!</v>
      </c>
      <c r="BA34" s="88" t="e">
        <f>#REF!</f>
        <v>#REF!</v>
      </c>
      <c r="BB34" s="88" t="e">
        <f>#REF!</f>
        <v>#REF!</v>
      </c>
      <c r="BC34" s="89" t="e">
        <f>#REF!</f>
        <v>#REF!</v>
      </c>
      <c r="BD34" s="89" t="e">
        <f>#REF!</f>
        <v>#REF!</v>
      </c>
      <c r="BE34" s="89" t="e">
        <f>#REF!</f>
        <v>#REF!</v>
      </c>
      <c r="BF34" s="89" t="e">
        <f>#REF!</f>
        <v>#REF!</v>
      </c>
      <c r="BG34" s="90" t="e">
        <f>#REF!</f>
        <v>#REF!</v>
      </c>
      <c r="BH34" s="90" t="e">
        <f>#REF!</f>
        <v>#REF!</v>
      </c>
    </row>
    <row r="35" spans="1:60" ht="14.4">
      <c r="A35" s="84" t="s">
        <v>236</v>
      </c>
      <c r="B35" s="84"/>
      <c r="C35" s="87" t="s">
        <v>239</v>
      </c>
      <c r="D35" s="88" t="e">
        <f>(D33+D34)/2</f>
        <v>#REF!</v>
      </c>
      <c r="E35" s="88" t="e">
        <f t="shared" ref="E35:BH35" si="1">(E33+E34)/2</f>
        <v>#REF!</v>
      </c>
      <c r="F35" s="88" t="e">
        <f t="shared" si="1"/>
        <v>#REF!</v>
      </c>
      <c r="G35" s="88" t="e">
        <f t="shared" si="1"/>
        <v>#REF!</v>
      </c>
      <c r="H35" s="88" t="e">
        <f t="shared" si="1"/>
        <v>#REF!</v>
      </c>
      <c r="I35" s="88" t="e">
        <f t="shared" si="1"/>
        <v>#REF!</v>
      </c>
      <c r="J35" s="88" t="e">
        <f t="shared" si="1"/>
        <v>#REF!</v>
      </c>
      <c r="K35" s="88" t="e">
        <f t="shared" si="1"/>
        <v>#REF!</v>
      </c>
      <c r="L35" s="88" t="e">
        <f t="shared" si="1"/>
        <v>#REF!</v>
      </c>
      <c r="M35" s="88" t="e">
        <f t="shared" si="1"/>
        <v>#REF!</v>
      </c>
      <c r="N35" s="88" t="e">
        <f t="shared" si="1"/>
        <v>#REF!</v>
      </c>
      <c r="O35" s="88" t="e">
        <f t="shared" si="1"/>
        <v>#REF!</v>
      </c>
      <c r="P35" s="88" t="e">
        <f t="shared" si="1"/>
        <v>#REF!</v>
      </c>
      <c r="Q35" s="88" t="e">
        <f t="shared" si="1"/>
        <v>#REF!</v>
      </c>
      <c r="R35" s="88" t="e">
        <f t="shared" si="1"/>
        <v>#REF!</v>
      </c>
      <c r="S35" s="88" t="e">
        <f t="shared" si="1"/>
        <v>#REF!</v>
      </c>
      <c r="T35" s="88" t="e">
        <f t="shared" si="1"/>
        <v>#REF!</v>
      </c>
      <c r="U35" s="88" t="e">
        <f t="shared" si="1"/>
        <v>#REF!</v>
      </c>
      <c r="V35" s="88" t="e">
        <f t="shared" si="1"/>
        <v>#REF!</v>
      </c>
      <c r="W35" s="88" t="e">
        <f t="shared" si="1"/>
        <v>#REF!</v>
      </c>
      <c r="X35" s="88" t="e">
        <f t="shared" si="1"/>
        <v>#REF!</v>
      </c>
      <c r="Y35" s="88" t="e">
        <f t="shared" si="1"/>
        <v>#REF!</v>
      </c>
      <c r="Z35" s="88" t="e">
        <f t="shared" si="1"/>
        <v>#REF!</v>
      </c>
      <c r="AA35" s="88" t="e">
        <f t="shared" si="1"/>
        <v>#REF!</v>
      </c>
      <c r="AB35" s="88" t="e">
        <f t="shared" si="1"/>
        <v>#REF!</v>
      </c>
      <c r="AC35" s="88" t="e">
        <f t="shared" si="1"/>
        <v>#REF!</v>
      </c>
      <c r="AD35" s="88" t="e">
        <f t="shared" si="1"/>
        <v>#REF!</v>
      </c>
      <c r="AE35" s="88" t="e">
        <f t="shared" si="1"/>
        <v>#REF!</v>
      </c>
      <c r="AF35" s="88" t="e">
        <f t="shared" si="1"/>
        <v>#REF!</v>
      </c>
      <c r="AG35" s="88" t="e">
        <f t="shared" si="1"/>
        <v>#REF!</v>
      </c>
      <c r="AH35" s="88" t="e">
        <f t="shared" si="1"/>
        <v>#REF!</v>
      </c>
      <c r="AI35" s="88" t="e">
        <f t="shared" si="1"/>
        <v>#REF!</v>
      </c>
      <c r="AJ35" s="88" t="e">
        <f t="shared" si="1"/>
        <v>#REF!</v>
      </c>
      <c r="AK35" s="88" t="e">
        <f t="shared" si="1"/>
        <v>#REF!</v>
      </c>
      <c r="AL35" s="88" t="e">
        <f t="shared" si="1"/>
        <v>#REF!</v>
      </c>
      <c r="AM35" s="88" t="e">
        <f t="shared" si="1"/>
        <v>#REF!</v>
      </c>
      <c r="AN35" s="88" t="e">
        <f t="shared" si="1"/>
        <v>#REF!</v>
      </c>
      <c r="AO35" s="88" t="e">
        <f t="shared" si="1"/>
        <v>#REF!</v>
      </c>
      <c r="AP35" s="88" t="e">
        <f t="shared" si="1"/>
        <v>#REF!</v>
      </c>
      <c r="AQ35" s="88" t="e">
        <f t="shared" si="1"/>
        <v>#REF!</v>
      </c>
      <c r="AR35" s="88" t="e">
        <f t="shared" si="1"/>
        <v>#REF!</v>
      </c>
      <c r="AS35" s="88" t="e">
        <f t="shared" si="1"/>
        <v>#REF!</v>
      </c>
      <c r="AT35" s="88" t="e">
        <f t="shared" si="1"/>
        <v>#REF!</v>
      </c>
      <c r="AU35" s="88" t="e">
        <f t="shared" si="1"/>
        <v>#REF!</v>
      </c>
      <c r="AV35" s="88" t="e">
        <f t="shared" si="1"/>
        <v>#REF!</v>
      </c>
      <c r="AW35" s="88" t="e">
        <f t="shared" si="1"/>
        <v>#REF!</v>
      </c>
      <c r="AX35" s="88" t="e">
        <f t="shared" si="1"/>
        <v>#REF!</v>
      </c>
      <c r="AY35" s="88" t="e">
        <f t="shared" si="1"/>
        <v>#REF!</v>
      </c>
      <c r="AZ35" s="88" t="e">
        <f t="shared" si="1"/>
        <v>#REF!</v>
      </c>
      <c r="BA35" s="88" t="e">
        <f t="shared" si="1"/>
        <v>#REF!</v>
      </c>
      <c r="BB35" s="88" t="e">
        <f t="shared" si="1"/>
        <v>#REF!</v>
      </c>
      <c r="BC35" s="89" t="e">
        <f t="shared" si="1"/>
        <v>#REF!</v>
      </c>
      <c r="BD35" s="89" t="e">
        <f t="shared" si="1"/>
        <v>#REF!</v>
      </c>
      <c r="BE35" s="89" t="e">
        <f t="shared" si="1"/>
        <v>#REF!</v>
      </c>
      <c r="BF35" s="89" t="e">
        <f t="shared" si="1"/>
        <v>#REF!</v>
      </c>
      <c r="BG35" s="90" t="e">
        <f t="shared" si="1"/>
        <v>#REF!</v>
      </c>
      <c r="BH35" s="90" t="e">
        <f t="shared" si="1"/>
        <v>#REF!</v>
      </c>
    </row>
    <row r="36" spans="1:60" ht="14.4">
      <c r="A36" s="84" t="s">
        <v>236</v>
      </c>
      <c r="B36" s="84"/>
      <c r="C36" s="87" t="s">
        <v>240</v>
      </c>
      <c r="D36" s="88" t="e">
        <f t="shared" ref="D36:BH36" si="2">(D33*D68+D34*D69)</f>
        <v>#REF!</v>
      </c>
      <c r="E36" s="88" t="e">
        <f t="shared" si="2"/>
        <v>#REF!</v>
      </c>
      <c r="F36" s="88" t="e">
        <f t="shared" si="2"/>
        <v>#REF!</v>
      </c>
      <c r="G36" s="88" t="e">
        <f t="shared" si="2"/>
        <v>#REF!</v>
      </c>
      <c r="H36" s="88" t="e">
        <f t="shared" si="2"/>
        <v>#REF!</v>
      </c>
      <c r="I36" s="88" t="e">
        <f t="shared" si="2"/>
        <v>#REF!</v>
      </c>
      <c r="J36" s="88" t="e">
        <f t="shared" si="2"/>
        <v>#REF!</v>
      </c>
      <c r="K36" s="88" t="e">
        <f t="shared" si="2"/>
        <v>#REF!</v>
      </c>
      <c r="L36" s="88" t="e">
        <f t="shared" si="2"/>
        <v>#REF!</v>
      </c>
      <c r="M36" s="88" t="e">
        <f t="shared" si="2"/>
        <v>#REF!</v>
      </c>
      <c r="N36" s="88" t="e">
        <f t="shared" si="2"/>
        <v>#REF!</v>
      </c>
      <c r="O36" s="88" t="e">
        <f t="shared" si="2"/>
        <v>#REF!</v>
      </c>
      <c r="P36" s="88" t="e">
        <f t="shared" si="2"/>
        <v>#REF!</v>
      </c>
      <c r="Q36" s="88" t="e">
        <f t="shared" si="2"/>
        <v>#REF!</v>
      </c>
      <c r="R36" s="88" t="e">
        <f t="shared" si="2"/>
        <v>#REF!</v>
      </c>
      <c r="S36" s="88" t="e">
        <f t="shared" si="2"/>
        <v>#REF!</v>
      </c>
      <c r="T36" s="88" t="e">
        <f t="shared" si="2"/>
        <v>#REF!</v>
      </c>
      <c r="U36" s="88" t="e">
        <f t="shared" si="2"/>
        <v>#REF!</v>
      </c>
      <c r="V36" s="88" t="e">
        <f t="shared" si="2"/>
        <v>#REF!</v>
      </c>
      <c r="W36" s="88" t="e">
        <f t="shared" si="2"/>
        <v>#REF!</v>
      </c>
      <c r="X36" s="88" t="e">
        <f t="shared" si="2"/>
        <v>#REF!</v>
      </c>
      <c r="Y36" s="88" t="e">
        <f t="shared" si="2"/>
        <v>#REF!</v>
      </c>
      <c r="Z36" s="88" t="e">
        <f t="shared" si="2"/>
        <v>#REF!</v>
      </c>
      <c r="AA36" s="88" t="e">
        <f t="shared" si="2"/>
        <v>#REF!</v>
      </c>
      <c r="AB36" s="88" t="e">
        <f t="shared" si="2"/>
        <v>#REF!</v>
      </c>
      <c r="AC36" s="88" t="e">
        <f t="shared" si="2"/>
        <v>#REF!</v>
      </c>
      <c r="AD36" s="88" t="e">
        <f t="shared" si="2"/>
        <v>#REF!</v>
      </c>
      <c r="AE36" s="88" t="e">
        <f t="shared" si="2"/>
        <v>#REF!</v>
      </c>
      <c r="AF36" s="88" t="e">
        <f t="shared" si="2"/>
        <v>#REF!</v>
      </c>
      <c r="AG36" s="88" t="e">
        <f t="shared" si="2"/>
        <v>#REF!</v>
      </c>
      <c r="AH36" s="88" t="e">
        <f t="shared" si="2"/>
        <v>#REF!</v>
      </c>
      <c r="AI36" s="88" t="e">
        <f t="shared" si="2"/>
        <v>#REF!</v>
      </c>
      <c r="AJ36" s="88" t="e">
        <f t="shared" si="2"/>
        <v>#REF!</v>
      </c>
      <c r="AK36" s="88" t="e">
        <f t="shared" si="2"/>
        <v>#REF!</v>
      </c>
      <c r="AL36" s="88" t="e">
        <f t="shared" si="2"/>
        <v>#REF!</v>
      </c>
      <c r="AM36" s="88" t="e">
        <f t="shared" si="2"/>
        <v>#REF!</v>
      </c>
      <c r="AN36" s="88" t="e">
        <f t="shared" si="2"/>
        <v>#REF!</v>
      </c>
      <c r="AO36" s="88" t="e">
        <f t="shared" si="2"/>
        <v>#REF!</v>
      </c>
      <c r="AP36" s="88" t="e">
        <f t="shared" si="2"/>
        <v>#REF!</v>
      </c>
      <c r="AQ36" s="88" t="e">
        <f t="shared" si="2"/>
        <v>#REF!</v>
      </c>
      <c r="AR36" s="88" t="e">
        <f t="shared" si="2"/>
        <v>#REF!</v>
      </c>
      <c r="AS36" s="88" t="e">
        <f t="shared" si="2"/>
        <v>#REF!</v>
      </c>
      <c r="AT36" s="88" t="e">
        <f t="shared" si="2"/>
        <v>#REF!</v>
      </c>
      <c r="AU36" s="88" t="e">
        <f t="shared" si="2"/>
        <v>#REF!</v>
      </c>
      <c r="AV36" s="88" t="e">
        <f t="shared" si="2"/>
        <v>#REF!</v>
      </c>
      <c r="AW36" s="88" t="e">
        <f t="shared" si="2"/>
        <v>#REF!</v>
      </c>
      <c r="AX36" s="88" t="e">
        <f t="shared" si="2"/>
        <v>#REF!</v>
      </c>
      <c r="AY36" s="88" t="e">
        <f t="shared" si="2"/>
        <v>#REF!</v>
      </c>
      <c r="AZ36" s="88" t="e">
        <f t="shared" si="2"/>
        <v>#REF!</v>
      </c>
      <c r="BA36" s="88" t="e">
        <f t="shared" si="2"/>
        <v>#REF!</v>
      </c>
      <c r="BB36" s="88" t="e">
        <f t="shared" si="2"/>
        <v>#REF!</v>
      </c>
      <c r="BC36" s="89" t="e">
        <f t="shared" si="2"/>
        <v>#REF!</v>
      </c>
      <c r="BD36" s="89" t="e">
        <f t="shared" si="2"/>
        <v>#REF!</v>
      </c>
      <c r="BE36" s="89" t="e">
        <f t="shared" si="2"/>
        <v>#REF!</v>
      </c>
      <c r="BF36" s="89" t="e">
        <f t="shared" si="2"/>
        <v>#REF!</v>
      </c>
      <c r="BG36" s="90" t="e">
        <f t="shared" si="2"/>
        <v>#REF!</v>
      </c>
      <c r="BH36" s="90" t="e">
        <f t="shared" si="2"/>
        <v>#REF!</v>
      </c>
    </row>
    <row r="37" spans="1:60" ht="14.4">
      <c r="A37" s="84" t="s">
        <v>241</v>
      </c>
      <c r="B37" s="84"/>
      <c r="C37" s="87" t="s">
        <v>242</v>
      </c>
      <c r="D37" s="88" t="e">
        <f t="shared" ref="D37:BH37" si="3">D36*D74</f>
        <v>#REF!</v>
      </c>
      <c r="E37" s="88" t="e">
        <f t="shared" si="3"/>
        <v>#REF!</v>
      </c>
      <c r="F37" s="88" t="e">
        <f t="shared" si="3"/>
        <v>#REF!</v>
      </c>
      <c r="G37" s="88" t="e">
        <f t="shared" si="3"/>
        <v>#REF!</v>
      </c>
      <c r="H37" s="88" t="e">
        <f t="shared" si="3"/>
        <v>#REF!</v>
      </c>
      <c r="I37" s="88" t="e">
        <f t="shared" si="3"/>
        <v>#REF!</v>
      </c>
      <c r="J37" s="88" t="e">
        <f t="shared" si="3"/>
        <v>#REF!</v>
      </c>
      <c r="K37" s="88" t="e">
        <f t="shared" si="3"/>
        <v>#REF!</v>
      </c>
      <c r="L37" s="88" t="e">
        <f t="shared" si="3"/>
        <v>#REF!</v>
      </c>
      <c r="M37" s="88" t="e">
        <f t="shared" si="3"/>
        <v>#REF!</v>
      </c>
      <c r="N37" s="88" t="e">
        <f t="shared" si="3"/>
        <v>#REF!</v>
      </c>
      <c r="O37" s="88" t="e">
        <f t="shared" si="3"/>
        <v>#REF!</v>
      </c>
      <c r="P37" s="88" t="e">
        <f t="shared" si="3"/>
        <v>#REF!</v>
      </c>
      <c r="Q37" s="88" t="e">
        <f t="shared" si="3"/>
        <v>#REF!</v>
      </c>
      <c r="R37" s="88" t="e">
        <f t="shared" si="3"/>
        <v>#REF!</v>
      </c>
      <c r="S37" s="88" t="e">
        <f t="shared" si="3"/>
        <v>#REF!</v>
      </c>
      <c r="T37" s="88" t="e">
        <f t="shared" si="3"/>
        <v>#REF!</v>
      </c>
      <c r="U37" s="88" t="e">
        <f t="shared" si="3"/>
        <v>#REF!</v>
      </c>
      <c r="V37" s="88" t="e">
        <f t="shared" si="3"/>
        <v>#REF!</v>
      </c>
      <c r="W37" s="88" t="e">
        <f t="shared" si="3"/>
        <v>#REF!</v>
      </c>
      <c r="X37" s="88" t="e">
        <f t="shared" si="3"/>
        <v>#REF!</v>
      </c>
      <c r="Y37" s="88" t="e">
        <f t="shared" si="3"/>
        <v>#REF!</v>
      </c>
      <c r="Z37" s="88" t="e">
        <f t="shared" si="3"/>
        <v>#REF!</v>
      </c>
      <c r="AA37" s="88" t="e">
        <f t="shared" si="3"/>
        <v>#REF!</v>
      </c>
      <c r="AB37" s="88" t="e">
        <f t="shared" si="3"/>
        <v>#REF!</v>
      </c>
      <c r="AC37" s="88" t="e">
        <f t="shared" si="3"/>
        <v>#REF!</v>
      </c>
      <c r="AD37" s="88" t="e">
        <f t="shared" si="3"/>
        <v>#REF!</v>
      </c>
      <c r="AE37" s="88" t="e">
        <f t="shared" si="3"/>
        <v>#REF!</v>
      </c>
      <c r="AF37" s="88" t="e">
        <f t="shared" si="3"/>
        <v>#REF!</v>
      </c>
      <c r="AG37" s="88" t="e">
        <f t="shared" si="3"/>
        <v>#REF!</v>
      </c>
      <c r="AH37" s="88" t="e">
        <f t="shared" si="3"/>
        <v>#REF!</v>
      </c>
      <c r="AI37" s="88" t="e">
        <f t="shared" si="3"/>
        <v>#REF!</v>
      </c>
      <c r="AJ37" s="88" t="e">
        <f t="shared" si="3"/>
        <v>#REF!</v>
      </c>
      <c r="AK37" s="88" t="e">
        <f t="shared" si="3"/>
        <v>#REF!</v>
      </c>
      <c r="AL37" s="88" t="e">
        <f t="shared" si="3"/>
        <v>#REF!</v>
      </c>
      <c r="AM37" s="88" t="e">
        <f t="shared" si="3"/>
        <v>#REF!</v>
      </c>
      <c r="AN37" s="88" t="e">
        <f t="shared" si="3"/>
        <v>#REF!</v>
      </c>
      <c r="AO37" s="88" t="e">
        <f t="shared" si="3"/>
        <v>#REF!</v>
      </c>
      <c r="AP37" s="88" t="e">
        <f t="shared" si="3"/>
        <v>#REF!</v>
      </c>
      <c r="AQ37" s="88" t="e">
        <f t="shared" si="3"/>
        <v>#REF!</v>
      </c>
      <c r="AR37" s="88" t="e">
        <f t="shared" si="3"/>
        <v>#REF!</v>
      </c>
      <c r="AS37" s="88" t="e">
        <f t="shared" si="3"/>
        <v>#REF!</v>
      </c>
      <c r="AT37" s="88" t="e">
        <f t="shared" si="3"/>
        <v>#REF!</v>
      </c>
      <c r="AU37" s="88" t="e">
        <f t="shared" si="3"/>
        <v>#REF!</v>
      </c>
      <c r="AV37" s="88" t="e">
        <f t="shared" si="3"/>
        <v>#REF!</v>
      </c>
      <c r="AW37" s="88" t="e">
        <f t="shared" si="3"/>
        <v>#REF!</v>
      </c>
      <c r="AX37" s="88" t="e">
        <f t="shared" si="3"/>
        <v>#REF!</v>
      </c>
      <c r="AY37" s="88" t="e">
        <f t="shared" si="3"/>
        <v>#REF!</v>
      </c>
      <c r="AZ37" s="88" t="e">
        <f t="shared" si="3"/>
        <v>#REF!</v>
      </c>
      <c r="BA37" s="88" t="e">
        <f t="shared" si="3"/>
        <v>#REF!</v>
      </c>
      <c r="BB37" s="88" t="e">
        <f t="shared" si="3"/>
        <v>#REF!</v>
      </c>
      <c r="BC37" s="89" t="e">
        <f t="shared" si="3"/>
        <v>#REF!</v>
      </c>
      <c r="BD37" s="89" t="e">
        <f t="shared" si="3"/>
        <v>#REF!</v>
      </c>
      <c r="BE37" s="89" t="e">
        <f t="shared" si="3"/>
        <v>#REF!</v>
      </c>
      <c r="BF37" s="89" t="e">
        <f t="shared" si="3"/>
        <v>#REF!</v>
      </c>
      <c r="BG37" s="90" t="e">
        <f t="shared" si="3"/>
        <v>#REF!</v>
      </c>
      <c r="BH37" s="90" t="e">
        <f t="shared" si="3"/>
        <v>#REF!</v>
      </c>
    </row>
    <row r="38" spans="1:60" ht="14.4">
      <c r="A38" s="84"/>
      <c r="B38" s="84"/>
      <c r="C38" s="87" t="s">
        <v>243</v>
      </c>
      <c r="D38" s="88" t="e">
        <f t="shared" ref="D38:BH38" si="4">D37*D75/D74</f>
        <v>#REF!</v>
      </c>
      <c r="E38" s="88" t="e">
        <f t="shared" si="4"/>
        <v>#REF!</v>
      </c>
      <c r="F38" s="88" t="e">
        <f t="shared" si="4"/>
        <v>#REF!</v>
      </c>
      <c r="G38" s="88" t="e">
        <f t="shared" si="4"/>
        <v>#REF!</v>
      </c>
      <c r="H38" s="88" t="e">
        <f t="shared" si="4"/>
        <v>#REF!</v>
      </c>
      <c r="I38" s="88" t="e">
        <f t="shared" si="4"/>
        <v>#REF!</v>
      </c>
      <c r="J38" s="88" t="e">
        <f t="shared" si="4"/>
        <v>#REF!</v>
      </c>
      <c r="K38" s="88" t="e">
        <f t="shared" si="4"/>
        <v>#REF!</v>
      </c>
      <c r="L38" s="88" t="e">
        <f t="shared" si="4"/>
        <v>#REF!</v>
      </c>
      <c r="M38" s="88" t="e">
        <f t="shared" si="4"/>
        <v>#REF!</v>
      </c>
      <c r="N38" s="88" t="e">
        <f t="shared" si="4"/>
        <v>#REF!</v>
      </c>
      <c r="O38" s="88" t="e">
        <f t="shared" si="4"/>
        <v>#REF!</v>
      </c>
      <c r="P38" s="88" t="e">
        <f t="shared" si="4"/>
        <v>#REF!</v>
      </c>
      <c r="Q38" s="88" t="e">
        <f t="shared" si="4"/>
        <v>#REF!</v>
      </c>
      <c r="R38" s="88" t="e">
        <f t="shared" si="4"/>
        <v>#REF!</v>
      </c>
      <c r="S38" s="88" t="e">
        <f t="shared" si="4"/>
        <v>#REF!</v>
      </c>
      <c r="T38" s="88" t="e">
        <f t="shared" si="4"/>
        <v>#REF!</v>
      </c>
      <c r="U38" s="88" t="e">
        <f t="shared" si="4"/>
        <v>#REF!</v>
      </c>
      <c r="V38" s="88" t="e">
        <f t="shared" si="4"/>
        <v>#REF!</v>
      </c>
      <c r="W38" s="88" t="e">
        <f t="shared" si="4"/>
        <v>#REF!</v>
      </c>
      <c r="X38" s="88" t="e">
        <f t="shared" si="4"/>
        <v>#REF!</v>
      </c>
      <c r="Y38" s="88" t="e">
        <f t="shared" si="4"/>
        <v>#REF!</v>
      </c>
      <c r="Z38" s="88" t="e">
        <f t="shared" si="4"/>
        <v>#REF!</v>
      </c>
      <c r="AA38" s="88" t="e">
        <f t="shared" si="4"/>
        <v>#REF!</v>
      </c>
      <c r="AB38" s="88" t="e">
        <f t="shared" si="4"/>
        <v>#REF!</v>
      </c>
      <c r="AC38" s="88" t="e">
        <f t="shared" si="4"/>
        <v>#REF!</v>
      </c>
      <c r="AD38" s="88" t="e">
        <f t="shared" si="4"/>
        <v>#REF!</v>
      </c>
      <c r="AE38" s="88" t="e">
        <f t="shared" si="4"/>
        <v>#REF!</v>
      </c>
      <c r="AF38" s="88" t="e">
        <f t="shared" si="4"/>
        <v>#REF!</v>
      </c>
      <c r="AG38" s="88" t="e">
        <f t="shared" si="4"/>
        <v>#REF!</v>
      </c>
      <c r="AH38" s="88" t="e">
        <f t="shared" si="4"/>
        <v>#REF!</v>
      </c>
      <c r="AI38" s="88" t="e">
        <f t="shared" si="4"/>
        <v>#REF!</v>
      </c>
      <c r="AJ38" s="88" t="e">
        <f t="shared" si="4"/>
        <v>#REF!</v>
      </c>
      <c r="AK38" s="88" t="e">
        <f t="shared" si="4"/>
        <v>#REF!</v>
      </c>
      <c r="AL38" s="88" t="e">
        <f t="shared" si="4"/>
        <v>#REF!</v>
      </c>
      <c r="AM38" s="88" t="e">
        <f t="shared" si="4"/>
        <v>#REF!</v>
      </c>
      <c r="AN38" s="88" t="e">
        <f t="shared" si="4"/>
        <v>#REF!</v>
      </c>
      <c r="AO38" s="88" t="e">
        <f t="shared" si="4"/>
        <v>#REF!</v>
      </c>
      <c r="AP38" s="88" t="e">
        <f t="shared" si="4"/>
        <v>#REF!</v>
      </c>
      <c r="AQ38" s="88" t="e">
        <f t="shared" si="4"/>
        <v>#REF!</v>
      </c>
      <c r="AR38" s="88" t="e">
        <f t="shared" si="4"/>
        <v>#REF!</v>
      </c>
      <c r="AS38" s="88" t="e">
        <f t="shared" si="4"/>
        <v>#REF!</v>
      </c>
      <c r="AT38" s="88" t="e">
        <f t="shared" si="4"/>
        <v>#REF!</v>
      </c>
      <c r="AU38" s="88" t="e">
        <f t="shared" si="4"/>
        <v>#REF!</v>
      </c>
      <c r="AV38" s="88" t="e">
        <f t="shared" si="4"/>
        <v>#REF!</v>
      </c>
      <c r="AW38" s="88" t="e">
        <f t="shared" si="4"/>
        <v>#REF!</v>
      </c>
      <c r="AX38" s="88" t="e">
        <f t="shared" si="4"/>
        <v>#REF!</v>
      </c>
      <c r="AY38" s="88" t="e">
        <f t="shared" si="4"/>
        <v>#REF!</v>
      </c>
      <c r="AZ38" s="88" t="e">
        <f t="shared" si="4"/>
        <v>#REF!</v>
      </c>
      <c r="BA38" s="88" t="e">
        <f t="shared" si="4"/>
        <v>#REF!</v>
      </c>
      <c r="BB38" s="88" t="e">
        <f t="shared" si="4"/>
        <v>#REF!</v>
      </c>
      <c r="BC38" s="89" t="e">
        <f t="shared" si="4"/>
        <v>#REF!</v>
      </c>
      <c r="BD38" s="89" t="e">
        <f t="shared" si="4"/>
        <v>#REF!</v>
      </c>
      <c r="BE38" s="89" t="e">
        <f t="shared" si="4"/>
        <v>#REF!</v>
      </c>
      <c r="BF38" s="89" t="e">
        <f t="shared" si="4"/>
        <v>#REF!</v>
      </c>
      <c r="BG38" s="90" t="e">
        <f t="shared" si="4"/>
        <v>#REF!</v>
      </c>
      <c r="BH38" s="90" t="e">
        <f t="shared" si="4"/>
        <v>#REF!</v>
      </c>
    </row>
    <row r="39" spans="1:60" ht="14.4">
      <c r="A39" s="84"/>
      <c r="B39" s="84"/>
      <c r="C39" s="87" t="s">
        <v>244</v>
      </c>
      <c r="D39" s="88">
        <v>0.12931346643440972</v>
      </c>
      <c r="E39" s="88">
        <v>0.13082283746482651</v>
      </c>
      <c r="F39" s="88">
        <v>0.13458333860377864</v>
      </c>
      <c r="G39" s="88">
        <v>0.14211124373576317</v>
      </c>
      <c r="H39" s="88">
        <v>0.13876138818169639</v>
      </c>
      <c r="I39" s="88">
        <v>0.14111747286613965</v>
      </c>
      <c r="J39" s="88">
        <v>0.14158689213453043</v>
      </c>
      <c r="K39" s="88">
        <v>0.14263916333913981</v>
      </c>
      <c r="L39" s="88">
        <v>0.14719825271338607</v>
      </c>
      <c r="M39" s="88">
        <v>0.14984686694358848</v>
      </c>
      <c r="N39" s="88">
        <v>0.15191086694358846</v>
      </c>
      <c r="O39" s="88">
        <v>0.15240610156773426</v>
      </c>
      <c r="P39" s="88">
        <v>0.15385021358702944</v>
      </c>
      <c r="Q39" s="88">
        <v>0.15612099209433214</v>
      </c>
      <c r="R39" s="88">
        <v>0.15758841431059908</v>
      </c>
      <c r="S39" s="88">
        <v>0.15821573093930072</v>
      </c>
      <c r="T39" s="88">
        <v>0.16259616347313427</v>
      </c>
      <c r="U39" s="88">
        <v>0.16828417365670653</v>
      </c>
      <c r="V39" s="88">
        <v>0.16933089856626027</v>
      </c>
      <c r="W39" s="88">
        <v>0.17627826664880078</v>
      </c>
      <c r="X39" s="88">
        <v>0.17338946804234226</v>
      </c>
      <c r="Y39" s="88">
        <v>0.17608904997990099</v>
      </c>
      <c r="Z39" s="88">
        <v>0.18219059573897908</v>
      </c>
      <c r="AA39" s="88">
        <v>0.18159328259413116</v>
      </c>
      <c r="AB39" s="88">
        <v>0.18439811979096893</v>
      </c>
      <c r="AC39" s="88">
        <v>0.19034972531153696</v>
      </c>
      <c r="AD39" s="88">
        <v>0.19125954709902193</v>
      </c>
      <c r="AE39" s="88">
        <v>0.19214658984322655</v>
      </c>
      <c r="AF39" s="88">
        <v>0.19033900576175797</v>
      </c>
      <c r="AG39" s="88">
        <v>0.18968109339407743</v>
      </c>
      <c r="AH39" s="88">
        <v>0.1917979364866676</v>
      </c>
      <c r="AI39" s="88">
        <v>0.20016079324668362</v>
      </c>
      <c r="AJ39" s="88">
        <v>0.19839313948814144</v>
      </c>
      <c r="AK39" s="88">
        <v>0.19971753986332574</v>
      </c>
      <c r="AL39" s="88">
        <v>0.20176068605118586</v>
      </c>
      <c r="AM39" s="88">
        <v>0.20098539461342635</v>
      </c>
      <c r="AN39" s="88">
        <v>0.20899906203939436</v>
      </c>
      <c r="AO39" s="88">
        <v>0.20838804770199659</v>
      </c>
      <c r="AP39" s="88">
        <v>0.20533940774487466</v>
      </c>
      <c r="AQ39" s="88">
        <v>0.208137746214659</v>
      </c>
      <c r="AR39" s="88">
        <v>0.20940533297601502</v>
      </c>
      <c r="AS39" s="88">
        <v>0.21293313680825407</v>
      </c>
      <c r="AT39" s="88">
        <v>0.21219402385099828</v>
      </c>
      <c r="AU39" s="88">
        <v>0.21478574299879405</v>
      </c>
      <c r="AV39" s="88">
        <v>0.21490151413640626</v>
      </c>
      <c r="AW39" s="88">
        <v>0.21569127696636747</v>
      </c>
      <c r="AX39" s="88">
        <v>0.21896502746884625</v>
      </c>
      <c r="AY39" s="88">
        <v>0.21446603242663817</v>
      </c>
      <c r="AZ39" s="88">
        <v>0.21705801956317833</v>
      </c>
      <c r="BA39" s="88">
        <v>0.22240385903792037</v>
      </c>
      <c r="BB39" s="88">
        <v>0.22546214658984326</v>
      </c>
      <c r="BC39" s="89">
        <v>0.22436446469248289</v>
      </c>
      <c r="BD39" s="89">
        <v>0.22024226182500334</v>
      </c>
      <c r="BE39" s="89">
        <v>0.22377488945464291</v>
      </c>
      <c r="BF39" s="89">
        <v>0.21892804502210905</v>
      </c>
      <c r="BG39" s="90">
        <v>0.22317030684711245</v>
      </c>
      <c r="BH39" s="90">
        <v>0.21840426102103716</v>
      </c>
    </row>
    <row r="41" spans="1:60">
      <c r="C41" s="87" t="s">
        <v>245</v>
      </c>
      <c r="D41" s="75">
        <v>1960</v>
      </c>
      <c r="E41" s="75">
        <v>1961</v>
      </c>
      <c r="F41" s="75">
        <v>1962</v>
      </c>
      <c r="G41" s="75">
        <v>1963</v>
      </c>
      <c r="H41" s="75">
        <v>1964</v>
      </c>
      <c r="I41" s="75">
        <v>1965</v>
      </c>
      <c r="J41" s="75">
        <v>1966</v>
      </c>
      <c r="K41" s="75">
        <v>1967</v>
      </c>
      <c r="L41" s="75">
        <v>1968</v>
      </c>
      <c r="M41" s="75">
        <v>1969</v>
      </c>
      <c r="N41" s="75">
        <v>1970</v>
      </c>
      <c r="O41" s="75">
        <v>1971</v>
      </c>
      <c r="P41" s="75">
        <v>1972</v>
      </c>
      <c r="Q41" s="75">
        <v>1973</v>
      </c>
      <c r="R41" s="75">
        <v>1974</v>
      </c>
      <c r="S41" s="75">
        <v>1975</v>
      </c>
      <c r="T41" s="75">
        <v>1976</v>
      </c>
      <c r="U41" s="75">
        <v>1977</v>
      </c>
      <c r="V41" s="75">
        <v>1978</v>
      </c>
      <c r="W41" s="75">
        <v>1979</v>
      </c>
      <c r="X41" s="75">
        <v>1980</v>
      </c>
      <c r="Y41" s="75">
        <v>1981</v>
      </c>
      <c r="Z41" s="75">
        <v>1982</v>
      </c>
      <c r="AA41" s="75">
        <v>1983</v>
      </c>
      <c r="AB41" s="75">
        <v>1984</v>
      </c>
      <c r="AC41" s="75">
        <v>1985</v>
      </c>
      <c r="AD41" s="75">
        <v>1986</v>
      </c>
      <c r="AE41" s="75">
        <v>1987</v>
      </c>
      <c r="AF41" s="75">
        <v>1988</v>
      </c>
      <c r="AG41" s="75">
        <v>1989</v>
      </c>
      <c r="AH41" s="75">
        <v>1990</v>
      </c>
      <c r="AI41" s="75">
        <v>1991</v>
      </c>
      <c r="AJ41" s="75">
        <v>1992</v>
      </c>
      <c r="AK41" s="75">
        <v>1993</v>
      </c>
      <c r="AL41" s="75">
        <v>1994</v>
      </c>
      <c r="AM41" s="75">
        <v>1995</v>
      </c>
      <c r="AN41" s="75">
        <v>1996</v>
      </c>
      <c r="AO41" s="75">
        <v>1997</v>
      </c>
      <c r="AP41" s="75">
        <v>1998</v>
      </c>
      <c r="AQ41" s="75">
        <v>1999</v>
      </c>
      <c r="AR41" s="75">
        <v>2000</v>
      </c>
      <c r="AS41" s="75">
        <v>2001</v>
      </c>
      <c r="AT41" s="75">
        <v>2002</v>
      </c>
      <c r="AU41" s="75">
        <v>2003</v>
      </c>
      <c r="AV41" s="75">
        <v>2004</v>
      </c>
      <c r="AW41" s="75">
        <v>2005</v>
      </c>
      <c r="AX41" s="75">
        <v>2006</v>
      </c>
      <c r="AY41" s="75">
        <v>2007</v>
      </c>
      <c r="AZ41" s="75">
        <v>2008</v>
      </c>
      <c r="BA41" s="75">
        <v>2009</v>
      </c>
      <c r="BB41" s="75">
        <v>2010</v>
      </c>
      <c r="BC41" s="75">
        <v>2011</v>
      </c>
      <c r="BD41" s="75">
        <v>2012</v>
      </c>
      <c r="BE41" s="75">
        <v>2013</v>
      </c>
      <c r="BF41" s="75">
        <v>2014</v>
      </c>
      <c r="BG41" s="75">
        <v>2015</v>
      </c>
      <c r="BH41" s="75">
        <v>2016</v>
      </c>
    </row>
    <row r="42" spans="1:60">
      <c r="A42" s="91" t="s">
        <v>251</v>
      </c>
      <c r="B42" s="91" t="s">
        <v>376</v>
      </c>
      <c r="C42" s="91" t="s">
        <v>377</v>
      </c>
      <c r="D42" s="91">
        <v>8295</v>
      </c>
      <c r="E42" s="91">
        <v>7566</v>
      </c>
      <c r="F42" s="91">
        <v>6983</v>
      </c>
      <c r="G42" s="91">
        <v>7266</v>
      </c>
      <c r="H42" s="91">
        <v>8053</v>
      </c>
      <c r="I42" s="91">
        <v>8525</v>
      </c>
      <c r="J42" s="91">
        <v>7629</v>
      </c>
      <c r="K42" s="91">
        <v>7300</v>
      </c>
      <c r="L42" s="91">
        <v>7861</v>
      </c>
      <c r="M42" s="91">
        <v>7944</v>
      </c>
      <c r="N42" s="91">
        <v>7785</v>
      </c>
      <c r="O42" s="91">
        <v>6911</v>
      </c>
      <c r="P42" s="91">
        <v>6194</v>
      </c>
      <c r="Q42" s="91">
        <v>6317</v>
      </c>
      <c r="R42" s="91">
        <v>4814</v>
      </c>
      <c r="S42" s="91">
        <v>4813</v>
      </c>
      <c r="T42" s="91">
        <v>4645</v>
      </c>
      <c r="U42" s="91">
        <v>4214</v>
      </c>
      <c r="V42" s="91">
        <v>3896</v>
      </c>
      <c r="W42" s="91">
        <v>4378</v>
      </c>
      <c r="X42" s="91">
        <v>2527</v>
      </c>
      <c r="Y42" s="91">
        <v>4041</v>
      </c>
      <c r="Z42" s="91">
        <v>3691</v>
      </c>
      <c r="AA42" s="91">
        <v>3626</v>
      </c>
      <c r="AB42" s="91">
        <v>3471</v>
      </c>
      <c r="AC42" s="91">
        <v>3837</v>
      </c>
      <c r="AD42" s="91">
        <v>3222</v>
      </c>
      <c r="AE42" s="91">
        <v>3297</v>
      </c>
      <c r="AF42" s="91">
        <v>3335</v>
      </c>
      <c r="AG42" s="91">
        <v>3037</v>
      </c>
      <c r="AH42" s="91">
        <v>2992</v>
      </c>
      <c r="AI42" s="91">
        <v>2813</v>
      </c>
      <c r="AJ42" s="91">
        <v>1927</v>
      </c>
      <c r="AK42" s="91">
        <v>1863</v>
      </c>
      <c r="AL42" s="91">
        <v>1953</v>
      </c>
      <c r="AM42" s="91">
        <v>1859</v>
      </c>
      <c r="AN42" s="91">
        <v>1683</v>
      </c>
      <c r="AO42" s="91">
        <v>1618</v>
      </c>
      <c r="AP42" s="91">
        <v>1223</v>
      </c>
      <c r="AQ42" s="91">
        <v>1237</v>
      </c>
      <c r="AR42" s="91">
        <v>1063</v>
      </c>
      <c r="AS42" s="91">
        <v>1426</v>
      </c>
      <c r="AT42" s="91">
        <v>1195</v>
      </c>
      <c r="AU42" s="91">
        <v>1111</v>
      </c>
      <c r="AV42" s="91">
        <v>1140</v>
      </c>
      <c r="AW42" s="91">
        <v>1091</v>
      </c>
      <c r="AX42" s="91">
        <v>1321</v>
      </c>
      <c r="AY42" s="91">
        <v>1346</v>
      </c>
      <c r="AZ42" s="91">
        <v>1447</v>
      </c>
      <c r="BA42" s="91">
        <v>978</v>
      </c>
      <c r="BB42" s="91">
        <v>872</v>
      </c>
      <c r="BC42" s="91">
        <v>780</v>
      </c>
      <c r="BD42" s="91">
        <v>751</v>
      </c>
      <c r="BE42" s="91">
        <v>863</v>
      </c>
      <c r="BF42" s="91">
        <v>887</v>
      </c>
      <c r="BG42" s="91">
        <v>864</v>
      </c>
      <c r="BH42" s="91">
        <v>670</v>
      </c>
    </row>
    <row r="43" spans="1:60">
      <c r="A43" s="92" t="s">
        <v>246</v>
      </c>
      <c r="B43" s="91" t="s">
        <v>378</v>
      </c>
      <c r="C43" s="91" t="s">
        <v>377</v>
      </c>
      <c r="D43" s="91">
        <v>0</v>
      </c>
      <c r="E43" s="91">
        <v>0</v>
      </c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261</v>
      </c>
      <c r="O43" s="91">
        <v>524</v>
      </c>
      <c r="P43" s="91">
        <v>818</v>
      </c>
      <c r="Q43" s="91">
        <v>857</v>
      </c>
      <c r="R43" s="91">
        <v>863</v>
      </c>
      <c r="S43" s="91">
        <v>832</v>
      </c>
      <c r="T43" s="91">
        <v>979</v>
      </c>
      <c r="U43" s="91">
        <v>1069</v>
      </c>
      <c r="V43" s="91">
        <v>988</v>
      </c>
      <c r="W43" s="91">
        <v>1204</v>
      </c>
      <c r="X43" s="91">
        <v>1016</v>
      </c>
      <c r="Y43" s="91">
        <v>924</v>
      </c>
      <c r="Z43" s="91">
        <v>823</v>
      </c>
      <c r="AA43" s="91">
        <v>771</v>
      </c>
      <c r="AB43" s="91">
        <v>1035</v>
      </c>
      <c r="AC43" s="91">
        <v>1042</v>
      </c>
      <c r="AD43" s="91">
        <v>943</v>
      </c>
      <c r="AE43" s="91">
        <v>1049</v>
      </c>
      <c r="AF43" s="91">
        <v>1008</v>
      </c>
      <c r="AG43" s="91">
        <v>1054</v>
      </c>
      <c r="AH43" s="91">
        <v>1046</v>
      </c>
      <c r="AI43" s="91">
        <v>919</v>
      </c>
      <c r="AJ43" s="91">
        <v>1076</v>
      </c>
      <c r="AK43" s="91">
        <v>1205</v>
      </c>
      <c r="AL43" s="91">
        <v>1546</v>
      </c>
      <c r="AM43" s="91">
        <v>1547</v>
      </c>
      <c r="AN43" s="91">
        <v>1620</v>
      </c>
      <c r="AO43" s="91">
        <v>1592</v>
      </c>
      <c r="AP43" s="91">
        <v>1556</v>
      </c>
      <c r="AQ43" s="91">
        <v>1673</v>
      </c>
      <c r="AR43" s="91">
        <v>1745</v>
      </c>
      <c r="AS43" s="91">
        <v>658</v>
      </c>
      <c r="AT43" s="91">
        <v>680</v>
      </c>
      <c r="AU43" s="91">
        <v>799</v>
      </c>
      <c r="AV43" s="91">
        <v>752</v>
      </c>
      <c r="AW43" s="91">
        <v>654</v>
      </c>
      <c r="AX43" s="91">
        <v>649</v>
      </c>
      <c r="AY43" s="91">
        <v>567</v>
      </c>
      <c r="AZ43" s="91">
        <v>565</v>
      </c>
      <c r="BA43" s="91">
        <v>414</v>
      </c>
      <c r="BB43" s="91">
        <v>474</v>
      </c>
      <c r="BC43" s="91">
        <v>452</v>
      </c>
      <c r="BD43" s="91">
        <v>394</v>
      </c>
      <c r="BE43" s="91">
        <v>413</v>
      </c>
      <c r="BF43" s="91">
        <v>422</v>
      </c>
      <c r="BG43" s="91">
        <v>416</v>
      </c>
      <c r="BH43" s="91">
        <v>322</v>
      </c>
    </row>
    <row r="44" spans="1:60">
      <c r="A44" s="92" t="s">
        <v>247</v>
      </c>
      <c r="B44" s="91" t="s">
        <v>379</v>
      </c>
      <c r="C44" s="91" t="s">
        <v>377</v>
      </c>
      <c r="D44" s="91">
        <v>0</v>
      </c>
      <c r="E44" s="91">
        <v>0</v>
      </c>
      <c r="F44" s="91">
        <v>0</v>
      </c>
      <c r="G44" s="91">
        <v>11</v>
      </c>
      <c r="H44" s="91">
        <v>11</v>
      </c>
      <c r="I44" s="91">
        <v>18</v>
      </c>
      <c r="J44" s="91">
        <v>21</v>
      </c>
      <c r="K44" s="91">
        <v>20</v>
      </c>
      <c r="L44" s="91">
        <v>22</v>
      </c>
      <c r="M44" s="91">
        <v>33</v>
      </c>
      <c r="N44" s="91">
        <v>37</v>
      </c>
      <c r="O44" s="91">
        <v>146</v>
      </c>
      <c r="P44" s="91">
        <v>68</v>
      </c>
      <c r="Q44" s="91">
        <v>62</v>
      </c>
      <c r="R44" s="91">
        <v>42</v>
      </c>
      <c r="S44" s="91">
        <v>48</v>
      </c>
      <c r="T44" s="91">
        <v>57</v>
      </c>
      <c r="U44" s="91">
        <v>60</v>
      </c>
      <c r="V44" s="91">
        <v>66</v>
      </c>
      <c r="W44" s="91">
        <v>26</v>
      </c>
      <c r="X44" s="91">
        <v>20</v>
      </c>
      <c r="Y44" s="91">
        <v>21</v>
      </c>
      <c r="Z44" s="91">
        <v>20</v>
      </c>
      <c r="AA44" s="91">
        <v>16</v>
      </c>
      <c r="AB44" s="91">
        <v>21</v>
      </c>
      <c r="AC44" s="91">
        <v>11</v>
      </c>
      <c r="AD44" s="91">
        <v>24</v>
      </c>
      <c r="AE44" s="91">
        <v>26</v>
      </c>
      <c r="AF44" s="91">
        <v>26</v>
      </c>
      <c r="AG44" s="91">
        <v>26</v>
      </c>
      <c r="AH44" s="91">
        <v>26</v>
      </c>
      <c r="AI44" s="91">
        <v>26</v>
      </c>
      <c r="AJ44" s="91">
        <v>26</v>
      </c>
      <c r="AK44" s="91">
        <v>0</v>
      </c>
      <c r="AL44" s="91">
        <v>0</v>
      </c>
      <c r="AM44" s="91">
        <v>0</v>
      </c>
      <c r="AN44" s="91">
        <v>7</v>
      </c>
      <c r="AO44" s="91">
        <v>19</v>
      </c>
      <c r="AP44" s="91">
        <v>23</v>
      </c>
      <c r="AQ44" s="91">
        <v>23</v>
      </c>
      <c r="AR44" s="91">
        <v>0</v>
      </c>
      <c r="AS44" s="91">
        <v>0</v>
      </c>
      <c r="AT44" s="91">
        <v>11</v>
      </c>
      <c r="AU44" s="91">
        <v>0</v>
      </c>
      <c r="AV44" s="91">
        <v>0</v>
      </c>
      <c r="AW44" s="91">
        <v>0</v>
      </c>
      <c r="AX44" s="91">
        <v>0</v>
      </c>
      <c r="AY44" s="91">
        <v>0</v>
      </c>
      <c r="AZ44" s="91">
        <v>0</v>
      </c>
      <c r="BA44" s="91">
        <v>0</v>
      </c>
      <c r="BB44" s="91">
        <v>0</v>
      </c>
      <c r="BC44" s="91">
        <v>0</v>
      </c>
      <c r="BD44" s="91">
        <v>0</v>
      </c>
      <c r="BE44" s="91">
        <v>1</v>
      </c>
      <c r="BF44" s="91">
        <v>3</v>
      </c>
      <c r="BG44" s="91">
        <v>2</v>
      </c>
      <c r="BH44" s="91">
        <v>1</v>
      </c>
    </row>
    <row r="45" spans="1:60">
      <c r="A45" s="91"/>
      <c r="B45" s="91" t="s">
        <v>379</v>
      </c>
      <c r="C45" s="91" t="s">
        <v>377</v>
      </c>
      <c r="D45" s="91">
        <v>0</v>
      </c>
      <c r="E45" s="91">
        <v>0</v>
      </c>
      <c r="F45" s="91">
        <v>189</v>
      </c>
      <c r="G45" s="91">
        <v>506</v>
      </c>
      <c r="H45" s="91">
        <v>686</v>
      </c>
      <c r="I45" s="91">
        <v>932</v>
      </c>
      <c r="J45" s="91">
        <v>1083</v>
      </c>
      <c r="K45" s="91">
        <v>1179</v>
      </c>
      <c r="L45" s="91">
        <v>1259</v>
      </c>
      <c r="M45" s="91">
        <v>1333</v>
      </c>
      <c r="N45" s="91">
        <v>1376</v>
      </c>
      <c r="O45" s="91">
        <v>1409</v>
      </c>
      <c r="P45" s="91">
        <v>1254</v>
      </c>
      <c r="Q45" s="91">
        <v>1182</v>
      </c>
      <c r="R45" s="91">
        <v>625</v>
      </c>
      <c r="S45" s="91">
        <v>804</v>
      </c>
      <c r="T45" s="91">
        <v>463</v>
      </c>
      <c r="U45" s="91">
        <v>503</v>
      </c>
      <c r="V45" s="91">
        <v>549</v>
      </c>
      <c r="W45" s="91">
        <v>516</v>
      </c>
      <c r="X45" s="91">
        <v>379</v>
      </c>
      <c r="Y45" s="91">
        <v>400</v>
      </c>
      <c r="Z45" s="91">
        <v>387</v>
      </c>
      <c r="AA45" s="91">
        <v>290</v>
      </c>
      <c r="AB45" s="91">
        <v>221</v>
      </c>
      <c r="AC45" s="91">
        <v>166</v>
      </c>
      <c r="AD45" s="91">
        <v>131</v>
      </c>
      <c r="AE45" s="91">
        <v>93</v>
      </c>
      <c r="AF45" s="91">
        <v>111</v>
      </c>
      <c r="AG45" s="91">
        <v>100</v>
      </c>
      <c r="AH45" s="91">
        <v>100</v>
      </c>
      <c r="AI45" s="91">
        <v>87</v>
      </c>
      <c r="AJ45" s="91">
        <v>170</v>
      </c>
      <c r="AK45" s="91">
        <v>336</v>
      </c>
      <c r="AL45" s="91">
        <v>234</v>
      </c>
      <c r="AM45" s="91">
        <v>181</v>
      </c>
      <c r="AN45" s="91">
        <v>107</v>
      </c>
      <c r="AO45" s="91">
        <v>83</v>
      </c>
      <c r="AP45" s="91">
        <v>29</v>
      </c>
      <c r="AQ45" s="91">
        <v>41</v>
      </c>
      <c r="AR45" s="91">
        <v>54</v>
      </c>
      <c r="AS45" s="91">
        <v>88</v>
      </c>
      <c r="AT45" s="91">
        <v>85</v>
      </c>
      <c r="AU45" s="91">
        <v>43</v>
      </c>
      <c r="AV45" s="91">
        <v>67</v>
      </c>
      <c r="AW45" s="91">
        <v>45</v>
      </c>
      <c r="AX45" s="91">
        <v>53</v>
      </c>
      <c r="AY45" s="91">
        <v>91</v>
      </c>
      <c r="AZ45" s="91">
        <v>43</v>
      </c>
      <c r="BA45" s="91">
        <v>14</v>
      </c>
      <c r="BB45" s="91">
        <v>5</v>
      </c>
      <c r="BC45" s="91">
        <v>4</v>
      </c>
      <c r="BD45" s="91">
        <v>2</v>
      </c>
      <c r="BE45" s="91">
        <v>3</v>
      </c>
      <c r="BF45" s="91">
        <v>3</v>
      </c>
      <c r="BG45" s="91">
        <v>3</v>
      </c>
      <c r="BH45" s="91">
        <v>3</v>
      </c>
    </row>
    <row r="46" spans="1:60" s="80" customFormat="1">
      <c r="A46" s="93"/>
      <c r="B46" s="93" t="s">
        <v>248</v>
      </c>
      <c r="C46" s="93" t="s">
        <v>249</v>
      </c>
      <c r="D46" s="93">
        <f t="shared" ref="D46:AI46" si="5">SUM(D42:D45)</f>
        <v>8295</v>
      </c>
      <c r="E46" s="93">
        <f t="shared" si="5"/>
        <v>7566</v>
      </c>
      <c r="F46" s="93">
        <f t="shared" si="5"/>
        <v>7172</v>
      </c>
      <c r="G46" s="93">
        <f t="shared" si="5"/>
        <v>7783</v>
      </c>
      <c r="H46" s="93">
        <f t="shared" si="5"/>
        <v>8750</v>
      </c>
      <c r="I46" s="93">
        <f t="shared" si="5"/>
        <v>9475</v>
      </c>
      <c r="J46" s="93">
        <f t="shared" si="5"/>
        <v>8733</v>
      </c>
      <c r="K46" s="93">
        <f t="shared" si="5"/>
        <v>8499</v>
      </c>
      <c r="L46" s="93">
        <f t="shared" si="5"/>
        <v>9142</v>
      </c>
      <c r="M46" s="93">
        <f t="shared" si="5"/>
        <v>9310</v>
      </c>
      <c r="N46" s="93">
        <f t="shared" si="5"/>
        <v>9459</v>
      </c>
      <c r="O46" s="93">
        <f t="shared" si="5"/>
        <v>8990</v>
      </c>
      <c r="P46" s="93">
        <f t="shared" si="5"/>
        <v>8334</v>
      </c>
      <c r="Q46" s="93">
        <f t="shared" si="5"/>
        <v>8418</v>
      </c>
      <c r="R46" s="93">
        <f t="shared" si="5"/>
        <v>6344</v>
      </c>
      <c r="S46" s="93">
        <f t="shared" si="5"/>
        <v>6497</v>
      </c>
      <c r="T46" s="93">
        <f t="shared" si="5"/>
        <v>6144</v>
      </c>
      <c r="U46" s="93">
        <f t="shared" si="5"/>
        <v>5846</v>
      </c>
      <c r="V46" s="93">
        <f t="shared" si="5"/>
        <v>5499</v>
      </c>
      <c r="W46" s="93">
        <f t="shared" si="5"/>
        <v>6124</v>
      </c>
      <c r="X46" s="93">
        <f t="shared" si="5"/>
        <v>3942</v>
      </c>
      <c r="Y46" s="93">
        <f t="shared" si="5"/>
        <v>5386</v>
      </c>
      <c r="Z46" s="93">
        <f t="shared" si="5"/>
        <v>4921</v>
      </c>
      <c r="AA46" s="93">
        <f t="shared" si="5"/>
        <v>4703</v>
      </c>
      <c r="AB46" s="93">
        <f t="shared" si="5"/>
        <v>4748</v>
      </c>
      <c r="AC46" s="93">
        <f t="shared" si="5"/>
        <v>5056</v>
      </c>
      <c r="AD46" s="93">
        <f t="shared" si="5"/>
        <v>4320</v>
      </c>
      <c r="AE46" s="93">
        <f t="shared" si="5"/>
        <v>4465</v>
      </c>
      <c r="AF46" s="93">
        <f t="shared" si="5"/>
        <v>4480</v>
      </c>
      <c r="AG46" s="93">
        <f t="shared" si="5"/>
        <v>4217</v>
      </c>
      <c r="AH46" s="93">
        <f t="shared" si="5"/>
        <v>4164</v>
      </c>
      <c r="AI46" s="93">
        <f t="shared" si="5"/>
        <v>3845</v>
      </c>
      <c r="AJ46" s="93">
        <f t="shared" ref="AJ46:BH46" si="6">SUM(AJ42:AJ45)</f>
        <v>3199</v>
      </c>
      <c r="AK46" s="93">
        <f t="shared" si="6"/>
        <v>3404</v>
      </c>
      <c r="AL46" s="93">
        <f t="shared" si="6"/>
        <v>3733</v>
      </c>
      <c r="AM46" s="93">
        <f t="shared" si="6"/>
        <v>3587</v>
      </c>
      <c r="AN46" s="93">
        <f t="shared" si="6"/>
        <v>3417</v>
      </c>
      <c r="AO46" s="93">
        <f t="shared" si="6"/>
        <v>3312</v>
      </c>
      <c r="AP46" s="93">
        <f t="shared" si="6"/>
        <v>2831</v>
      </c>
      <c r="AQ46" s="93">
        <f t="shared" si="6"/>
        <v>2974</v>
      </c>
      <c r="AR46" s="93">
        <f t="shared" si="6"/>
        <v>2862</v>
      </c>
      <c r="AS46" s="93">
        <f t="shared" si="6"/>
        <v>2172</v>
      </c>
      <c r="AT46" s="93">
        <f t="shared" si="6"/>
        <v>1971</v>
      </c>
      <c r="AU46" s="93">
        <f t="shared" si="6"/>
        <v>1953</v>
      </c>
      <c r="AV46" s="93">
        <f t="shared" si="6"/>
        <v>1959</v>
      </c>
      <c r="AW46" s="93">
        <f t="shared" si="6"/>
        <v>1790</v>
      </c>
      <c r="AX46" s="93">
        <f t="shared" si="6"/>
        <v>2023</v>
      </c>
      <c r="AY46" s="93">
        <f t="shared" si="6"/>
        <v>2004</v>
      </c>
      <c r="AZ46" s="93">
        <f t="shared" si="6"/>
        <v>2055</v>
      </c>
      <c r="BA46" s="93">
        <f t="shared" si="6"/>
        <v>1406</v>
      </c>
      <c r="BB46" s="93">
        <f t="shared" si="6"/>
        <v>1351</v>
      </c>
      <c r="BC46" s="93">
        <f t="shared" si="6"/>
        <v>1236</v>
      </c>
      <c r="BD46" s="93">
        <f t="shared" si="6"/>
        <v>1147</v>
      </c>
      <c r="BE46" s="93">
        <f t="shared" si="6"/>
        <v>1280</v>
      </c>
      <c r="BF46" s="93">
        <f t="shared" si="6"/>
        <v>1315</v>
      </c>
      <c r="BG46" s="93">
        <f t="shared" si="6"/>
        <v>1285</v>
      </c>
      <c r="BH46" s="93">
        <f t="shared" si="6"/>
        <v>996</v>
      </c>
    </row>
    <row r="47" spans="1:60" ht="14.4">
      <c r="A47" s="91"/>
      <c r="B47" s="91"/>
      <c r="C47" s="91"/>
      <c r="D47" s="94">
        <f t="shared" ref="D47:BH47" si="7">D46/D66</f>
        <v>0.55481238713129555</v>
      </c>
      <c r="E47" s="94">
        <f t="shared" si="7"/>
        <v>0.52096674240859331</v>
      </c>
      <c r="F47" s="94">
        <f t="shared" si="7"/>
        <v>0.50386398763523954</v>
      </c>
      <c r="G47" s="94">
        <f t="shared" si="7"/>
        <v>0.54116256431650678</v>
      </c>
      <c r="H47" s="94">
        <f t="shared" si="7"/>
        <v>0.572943949711891</v>
      </c>
      <c r="I47" s="94">
        <f t="shared" si="7"/>
        <v>0.5957246149009745</v>
      </c>
      <c r="J47" s="94">
        <f t="shared" si="7"/>
        <v>0.5840690208667737</v>
      </c>
      <c r="K47" s="94">
        <f t="shared" si="7"/>
        <v>0.49461677239131702</v>
      </c>
      <c r="L47" s="94">
        <f t="shared" si="7"/>
        <v>0.510042401249721</v>
      </c>
      <c r="M47" s="94">
        <f t="shared" si="7"/>
        <v>0.52306309343221524</v>
      </c>
      <c r="N47" s="94">
        <f t="shared" si="7"/>
        <v>0.41715545755237043</v>
      </c>
      <c r="O47" s="94">
        <f t="shared" si="7"/>
        <v>0.41399953948883261</v>
      </c>
      <c r="P47" s="94">
        <f t="shared" si="7"/>
        <v>0.40850938679476495</v>
      </c>
      <c r="Q47" s="94">
        <f t="shared" si="7"/>
        <v>0.37847315888858918</v>
      </c>
      <c r="R47" s="94">
        <f t="shared" si="7"/>
        <v>0.30457535167314803</v>
      </c>
      <c r="S47" s="94">
        <f t="shared" si="7"/>
        <v>0.32246376811594202</v>
      </c>
      <c r="T47" s="94">
        <f t="shared" si="7"/>
        <v>0.30017588430721126</v>
      </c>
      <c r="U47" s="94">
        <f t="shared" si="7"/>
        <v>0.285574715451126</v>
      </c>
      <c r="V47" s="94">
        <f t="shared" si="7"/>
        <v>0.28320543853324409</v>
      </c>
      <c r="W47" s="94">
        <f t="shared" si="7"/>
        <v>0.30077108197043367</v>
      </c>
      <c r="X47" s="94">
        <f t="shared" si="7"/>
        <v>0.22895974908520647</v>
      </c>
      <c r="Y47" s="94">
        <f t="shared" si="7"/>
        <v>0.30441417509749619</v>
      </c>
      <c r="Z47" s="94">
        <f t="shared" si="7"/>
        <v>0.2838601753576373</v>
      </c>
      <c r="AA47" s="94">
        <f t="shared" si="7"/>
        <v>0.28114538498326158</v>
      </c>
      <c r="AB47" s="94">
        <f t="shared" si="7"/>
        <v>0.28961815298279858</v>
      </c>
      <c r="AC47" s="94">
        <f t="shared" si="7"/>
        <v>0.30242852015791361</v>
      </c>
      <c r="AD47" s="94">
        <f t="shared" si="7"/>
        <v>0.29672367607665362</v>
      </c>
      <c r="AE47" s="94">
        <f t="shared" si="7"/>
        <v>0.2937113537692409</v>
      </c>
      <c r="AF47" s="94">
        <f t="shared" si="7"/>
        <v>0.29635509691076273</v>
      </c>
      <c r="AG47" s="94">
        <f t="shared" si="7"/>
        <v>0.31223160077002815</v>
      </c>
      <c r="AH47" s="94">
        <f t="shared" si="7"/>
        <v>0.33261442607237002</v>
      </c>
      <c r="AI47" s="94">
        <f t="shared" si="7"/>
        <v>0.31075729410813868</v>
      </c>
      <c r="AJ47" s="94">
        <f t="shared" si="7"/>
        <v>0.27158502419560232</v>
      </c>
      <c r="AK47" s="94">
        <f t="shared" si="7"/>
        <v>0.29249011857707508</v>
      </c>
      <c r="AL47" s="94">
        <f t="shared" si="7"/>
        <v>0.30731867950934388</v>
      </c>
      <c r="AM47" s="94">
        <f t="shared" si="7"/>
        <v>0.31870279875610841</v>
      </c>
      <c r="AN47" s="94">
        <f t="shared" si="7"/>
        <v>0.30265721877767937</v>
      </c>
      <c r="AO47" s="94">
        <f t="shared" si="7"/>
        <v>0.28370738393010109</v>
      </c>
      <c r="AP47" s="94">
        <f t="shared" si="7"/>
        <v>0.25401525347689546</v>
      </c>
      <c r="AQ47" s="94">
        <f t="shared" si="7"/>
        <v>0.26596315507064927</v>
      </c>
      <c r="AR47" s="94">
        <f t="shared" si="7"/>
        <v>0.26326924845920341</v>
      </c>
      <c r="AS47" s="94">
        <f t="shared" si="7"/>
        <v>0.20227230396721921</v>
      </c>
      <c r="AT47" s="94">
        <f t="shared" si="7"/>
        <v>0.20034559869892254</v>
      </c>
      <c r="AU47" s="94">
        <f t="shared" si="7"/>
        <v>0.19894061322196191</v>
      </c>
      <c r="AV47" s="94">
        <f t="shared" si="7"/>
        <v>0.21433260393873085</v>
      </c>
      <c r="AW47" s="94">
        <f t="shared" si="7"/>
        <v>0.20207721833370965</v>
      </c>
      <c r="AX47" s="94">
        <f t="shared" si="7"/>
        <v>0.23041002277904327</v>
      </c>
      <c r="AY47" s="94">
        <f t="shared" si="7"/>
        <v>0.24238026124818576</v>
      </c>
      <c r="AZ47" s="94">
        <f t="shared" si="7"/>
        <v>0.25534294234592447</v>
      </c>
      <c r="BA47" s="94">
        <f t="shared" si="7"/>
        <v>0.21818746120422097</v>
      </c>
      <c r="BB47" s="94">
        <f t="shared" si="7"/>
        <v>0.21004353233830847</v>
      </c>
      <c r="BC47" s="94">
        <f t="shared" si="7"/>
        <v>0.20460188710478397</v>
      </c>
      <c r="BD47" s="94">
        <f t="shared" si="7"/>
        <v>0.19375000000000001</v>
      </c>
      <c r="BE47" s="94">
        <f t="shared" si="7"/>
        <v>0.20275621732932045</v>
      </c>
      <c r="BF47" s="94">
        <f t="shared" si="7"/>
        <v>0.21557377049180329</v>
      </c>
      <c r="BG47" s="94">
        <f t="shared" si="7"/>
        <v>0.21549555592822406</v>
      </c>
      <c r="BH47" s="94">
        <f t="shared" si="7"/>
        <v>0.17716115261472787</v>
      </c>
    </row>
    <row r="48" spans="1:60">
      <c r="A48" s="91" t="s">
        <v>253</v>
      </c>
      <c r="B48" s="91" t="s">
        <v>376</v>
      </c>
      <c r="C48" s="95" t="s">
        <v>250</v>
      </c>
      <c r="D48" s="91">
        <v>1956</v>
      </c>
      <c r="E48" s="91">
        <v>1936.5</v>
      </c>
      <c r="F48" s="91">
        <v>1866</v>
      </c>
      <c r="G48" s="91">
        <v>1782.5</v>
      </c>
      <c r="H48" s="91">
        <v>1729.5</v>
      </c>
      <c r="I48" s="91">
        <v>1717.5</v>
      </c>
      <c r="J48" s="91">
        <v>1628</v>
      </c>
      <c r="K48" s="91">
        <v>1507.5</v>
      </c>
      <c r="L48" s="91">
        <v>1480.5</v>
      </c>
      <c r="M48" s="91">
        <v>1401</v>
      </c>
      <c r="N48" s="91">
        <v>1254</v>
      </c>
      <c r="O48" s="91">
        <v>828</v>
      </c>
      <c r="P48" s="91">
        <v>210</v>
      </c>
      <c r="Q48" s="91">
        <v>118.5</v>
      </c>
      <c r="R48" s="91">
        <v>76</v>
      </c>
      <c r="S48" s="91">
        <v>70</v>
      </c>
      <c r="T48" s="91">
        <v>53.5</v>
      </c>
      <c r="U48" s="91">
        <v>71</v>
      </c>
      <c r="V48" s="91">
        <v>68.5</v>
      </c>
      <c r="W48" s="91">
        <v>79.5</v>
      </c>
      <c r="X48" s="91">
        <v>65.5</v>
      </c>
      <c r="Y48" s="91">
        <v>37.5</v>
      </c>
      <c r="Z48" s="91">
        <v>58.5</v>
      </c>
      <c r="AA48" s="91">
        <v>86.5</v>
      </c>
      <c r="AB48" s="91">
        <v>104</v>
      </c>
      <c r="AC48" s="91">
        <v>195</v>
      </c>
      <c r="AD48" s="91">
        <v>250</v>
      </c>
      <c r="AE48" s="91">
        <v>394.5</v>
      </c>
      <c r="AF48" s="91">
        <v>455.5</v>
      </c>
      <c r="AG48" s="91">
        <v>419</v>
      </c>
      <c r="AH48" s="91">
        <v>328</v>
      </c>
      <c r="AI48" s="91">
        <v>324</v>
      </c>
      <c r="AJ48" s="91">
        <v>377</v>
      </c>
      <c r="AK48" s="91">
        <v>389</v>
      </c>
      <c r="AL48" s="91">
        <v>389</v>
      </c>
      <c r="AM48" s="91">
        <v>304.5</v>
      </c>
      <c r="AN48" s="91">
        <v>206</v>
      </c>
      <c r="AO48" s="91">
        <v>213</v>
      </c>
      <c r="AP48" s="91">
        <v>205.5</v>
      </c>
      <c r="AQ48" s="91">
        <v>139.5</v>
      </c>
      <c r="AR48" s="91">
        <v>10.5</v>
      </c>
      <c r="AS48" s="91">
        <v>10.5</v>
      </c>
      <c r="AT48" s="91">
        <v>20</v>
      </c>
      <c r="AU48" s="91">
        <v>23.5</v>
      </c>
      <c r="AV48" s="91">
        <v>47</v>
      </c>
      <c r="AW48" s="91">
        <v>41.5</v>
      </c>
      <c r="AX48" s="91">
        <v>41</v>
      </c>
      <c r="AY48" s="91">
        <v>38</v>
      </c>
      <c r="AZ48" s="91">
        <v>32.5</v>
      </c>
      <c r="BA48" s="91">
        <v>24</v>
      </c>
      <c r="BB48" s="91">
        <v>25</v>
      </c>
      <c r="BC48" s="91">
        <v>24.5</v>
      </c>
      <c r="BD48" s="91">
        <v>24</v>
      </c>
      <c r="BE48" s="91">
        <v>26.5</v>
      </c>
      <c r="BF48" s="91">
        <v>34</v>
      </c>
      <c r="BG48" s="91">
        <v>23.5</v>
      </c>
      <c r="BH48" s="91">
        <v>21</v>
      </c>
    </row>
    <row r="49" spans="1:60">
      <c r="A49" s="91"/>
      <c r="B49" s="91" t="s">
        <v>378</v>
      </c>
      <c r="C49" s="95" t="s">
        <v>250</v>
      </c>
      <c r="D49" s="91">
        <v>0</v>
      </c>
      <c r="E49" s="91">
        <v>0</v>
      </c>
      <c r="F49" s="91">
        <v>0</v>
      </c>
      <c r="G49" s="91">
        <v>0</v>
      </c>
      <c r="H49" s="91">
        <v>0</v>
      </c>
      <c r="I49" s="91">
        <v>0</v>
      </c>
      <c r="J49" s="91">
        <v>0</v>
      </c>
      <c r="K49" s="91">
        <v>0</v>
      </c>
      <c r="L49" s="91">
        <v>0</v>
      </c>
      <c r="M49" s="91">
        <v>0</v>
      </c>
      <c r="N49" s="91">
        <v>253</v>
      </c>
      <c r="O49" s="91">
        <v>978.5</v>
      </c>
      <c r="P49" s="91">
        <v>1426</v>
      </c>
      <c r="Q49" s="91">
        <v>1895.5</v>
      </c>
      <c r="R49" s="91">
        <v>2167</v>
      </c>
      <c r="S49" s="91">
        <v>2194.5</v>
      </c>
      <c r="T49" s="91">
        <v>2370.5</v>
      </c>
      <c r="U49" s="91">
        <v>2425</v>
      </c>
      <c r="V49" s="91">
        <v>2460.5</v>
      </c>
      <c r="W49" s="91">
        <v>2571.5</v>
      </c>
      <c r="X49" s="91">
        <v>2596.5</v>
      </c>
      <c r="Y49" s="91">
        <v>2668</v>
      </c>
      <c r="Z49" s="91">
        <v>2766.5</v>
      </c>
      <c r="AA49" s="91">
        <v>2741</v>
      </c>
      <c r="AB49" s="91">
        <v>2674</v>
      </c>
      <c r="AC49" s="91">
        <v>2499</v>
      </c>
      <c r="AD49" s="91">
        <v>1641</v>
      </c>
      <c r="AE49" s="91">
        <v>1881</v>
      </c>
      <c r="AF49" s="91">
        <v>1591.5</v>
      </c>
      <c r="AG49" s="91">
        <v>1076</v>
      </c>
      <c r="AH49" s="91">
        <v>942</v>
      </c>
      <c r="AI49" s="91">
        <v>1211.5</v>
      </c>
      <c r="AJ49" s="91">
        <v>1329.5</v>
      </c>
      <c r="AK49" s="91">
        <v>1312</v>
      </c>
      <c r="AL49" s="91">
        <v>1497.5</v>
      </c>
      <c r="AM49" s="91">
        <v>1344.5</v>
      </c>
      <c r="AN49" s="91">
        <v>1463</v>
      </c>
      <c r="AO49" s="91">
        <v>1843.5</v>
      </c>
      <c r="AP49" s="91">
        <v>1795</v>
      </c>
      <c r="AQ49" s="91">
        <v>1810.5</v>
      </c>
      <c r="AR49" s="91">
        <v>1801.5</v>
      </c>
      <c r="AS49" s="91">
        <v>1937</v>
      </c>
      <c r="AT49" s="91">
        <v>1713</v>
      </c>
      <c r="AU49" s="91">
        <v>1743</v>
      </c>
      <c r="AV49" s="91">
        <v>1625</v>
      </c>
      <c r="AW49" s="91">
        <v>1396</v>
      </c>
      <c r="AX49" s="91">
        <v>1328.5</v>
      </c>
      <c r="AY49" s="91">
        <v>1166</v>
      </c>
      <c r="AZ49" s="91">
        <v>1117</v>
      </c>
      <c r="BA49" s="91">
        <v>954</v>
      </c>
      <c r="BB49" s="91">
        <v>917.5</v>
      </c>
      <c r="BC49" s="91">
        <v>825.5</v>
      </c>
      <c r="BD49" s="91">
        <v>805</v>
      </c>
      <c r="BE49" s="91">
        <v>838.5</v>
      </c>
      <c r="BF49" s="91">
        <v>756.5</v>
      </c>
      <c r="BG49" s="91">
        <v>755.5</v>
      </c>
      <c r="BH49" s="91">
        <v>759</v>
      </c>
    </row>
    <row r="50" spans="1:60">
      <c r="B50" s="91" t="s">
        <v>379</v>
      </c>
      <c r="C50" s="95" t="s">
        <v>250</v>
      </c>
      <c r="D50" s="91">
        <v>0</v>
      </c>
      <c r="E50" s="91">
        <v>0</v>
      </c>
      <c r="F50" s="91">
        <v>0</v>
      </c>
      <c r="G50" s="91">
        <v>0</v>
      </c>
      <c r="H50" s="91">
        <v>0</v>
      </c>
      <c r="I50" s="91">
        <v>0</v>
      </c>
      <c r="J50" s="91">
        <v>0</v>
      </c>
      <c r="K50" s="91">
        <v>0</v>
      </c>
      <c r="L50" s="91">
        <v>0</v>
      </c>
      <c r="M50" s="91">
        <v>0</v>
      </c>
      <c r="N50" s="91">
        <v>0</v>
      </c>
      <c r="O50" s="91">
        <v>0</v>
      </c>
      <c r="P50" s="91">
        <v>0</v>
      </c>
      <c r="Q50" s="91">
        <v>0</v>
      </c>
      <c r="R50" s="91">
        <v>0</v>
      </c>
      <c r="S50" s="91">
        <v>0</v>
      </c>
      <c r="T50" s="91">
        <v>0</v>
      </c>
      <c r="U50" s="91">
        <v>0</v>
      </c>
      <c r="V50" s="91">
        <v>0</v>
      </c>
      <c r="W50" s="91">
        <v>0</v>
      </c>
      <c r="X50" s="91">
        <v>0</v>
      </c>
      <c r="Y50" s="91">
        <v>0</v>
      </c>
      <c r="Z50" s="91">
        <v>0</v>
      </c>
      <c r="AA50" s="91">
        <v>0</v>
      </c>
      <c r="AB50" s="91">
        <v>0</v>
      </c>
      <c r="AC50" s="91">
        <v>0</v>
      </c>
      <c r="AD50" s="91">
        <v>0</v>
      </c>
      <c r="AE50" s="91">
        <v>0</v>
      </c>
      <c r="AF50" s="91">
        <v>0</v>
      </c>
      <c r="AG50" s="91">
        <v>0</v>
      </c>
      <c r="AH50" s="91">
        <v>0</v>
      </c>
      <c r="AI50" s="91">
        <v>0</v>
      </c>
      <c r="AJ50" s="91">
        <v>0</v>
      </c>
      <c r="AK50" s="91">
        <v>0</v>
      </c>
      <c r="AL50" s="91">
        <v>0</v>
      </c>
      <c r="AM50" s="91">
        <v>0</v>
      </c>
      <c r="AN50" s="91">
        <v>0</v>
      </c>
      <c r="AO50" s="91">
        <v>0</v>
      </c>
      <c r="AP50" s="91">
        <v>0</v>
      </c>
      <c r="AQ50" s="91">
        <v>0</v>
      </c>
      <c r="AR50" s="91">
        <v>0</v>
      </c>
      <c r="AS50" s="91">
        <v>0</v>
      </c>
      <c r="AT50" s="91">
        <v>0</v>
      </c>
      <c r="AU50" s="91">
        <v>0</v>
      </c>
      <c r="AV50" s="91">
        <v>0</v>
      </c>
      <c r="AW50" s="91">
        <v>0</v>
      </c>
      <c r="AX50" s="91">
        <v>0</v>
      </c>
      <c r="AY50" s="91">
        <v>0</v>
      </c>
      <c r="AZ50" s="91">
        <v>0</v>
      </c>
      <c r="BA50" s="91">
        <v>0</v>
      </c>
      <c r="BB50" s="91">
        <v>0</v>
      </c>
      <c r="BC50" s="91">
        <v>0</v>
      </c>
      <c r="BD50" s="91">
        <v>0</v>
      </c>
      <c r="BE50" s="91">
        <v>0</v>
      </c>
      <c r="BF50" s="91">
        <v>0</v>
      </c>
      <c r="BG50" s="91">
        <v>0</v>
      </c>
      <c r="BH50" s="91">
        <v>0</v>
      </c>
    </row>
    <row r="51" spans="1:60">
      <c r="B51" s="91" t="s">
        <v>379</v>
      </c>
      <c r="C51" s="95" t="s">
        <v>250</v>
      </c>
      <c r="D51" s="91">
        <v>402</v>
      </c>
      <c r="E51" s="91">
        <v>441.5</v>
      </c>
      <c r="F51" s="91">
        <v>519.5</v>
      </c>
      <c r="G51" s="91">
        <v>638.5</v>
      </c>
      <c r="H51" s="91">
        <v>707.5</v>
      </c>
      <c r="I51" s="91">
        <v>797.5</v>
      </c>
      <c r="J51" s="91">
        <v>846</v>
      </c>
      <c r="K51" s="91">
        <v>1029</v>
      </c>
      <c r="L51" s="91">
        <v>1028.5</v>
      </c>
      <c r="M51" s="91">
        <v>997.5</v>
      </c>
      <c r="N51" s="91">
        <v>1110.5</v>
      </c>
      <c r="O51" s="91">
        <v>1317.5</v>
      </c>
      <c r="P51" s="91">
        <v>1302</v>
      </c>
      <c r="Q51" s="91">
        <v>1317</v>
      </c>
      <c r="R51" s="91">
        <v>1063.5</v>
      </c>
      <c r="S51" s="91">
        <v>1337</v>
      </c>
      <c r="T51" s="91">
        <v>968</v>
      </c>
      <c r="U51" s="91">
        <v>1086.5</v>
      </c>
      <c r="V51" s="91">
        <v>997.5</v>
      </c>
      <c r="W51" s="91">
        <v>968.5</v>
      </c>
      <c r="X51" s="91">
        <v>706.5</v>
      </c>
      <c r="Y51" s="91">
        <v>594</v>
      </c>
      <c r="Z51" s="91">
        <v>613.5</v>
      </c>
      <c r="AA51" s="91">
        <v>399</v>
      </c>
      <c r="AB51" s="91">
        <v>325</v>
      </c>
      <c r="AC51" s="91">
        <v>185</v>
      </c>
      <c r="AD51" s="91">
        <v>549.5</v>
      </c>
      <c r="AE51" s="91">
        <v>537.5</v>
      </c>
      <c r="AF51" s="91">
        <v>676.5</v>
      </c>
      <c r="AG51" s="91">
        <v>390</v>
      </c>
      <c r="AH51" s="91">
        <v>461.5</v>
      </c>
      <c r="AI51" s="91">
        <v>573.5</v>
      </c>
      <c r="AJ51" s="91">
        <v>154.5</v>
      </c>
      <c r="AK51" s="91">
        <v>294.5</v>
      </c>
      <c r="AL51" s="91">
        <v>501</v>
      </c>
      <c r="AM51" s="91">
        <v>350.5</v>
      </c>
      <c r="AN51" s="91">
        <v>268</v>
      </c>
      <c r="AO51" s="91">
        <v>180.5</v>
      </c>
      <c r="AP51" s="91">
        <v>149</v>
      </c>
      <c r="AQ51" s="91">
        <v>18.5</v>
      </c>
      <c r="AR51" s="91">
        <v>37</v>
      </c>
      <c r="AS51" s="91">
        <v>47</v>
      </c>
      <c r="AT51" s="91">
        <v>40.5</v>
      </c>
      <c r="AU51" s="91">
        <v>35</v>
      </c>
      <c r="AV51" s="91">
        <v>35</v>
      </c>
      <c r="AW51" s="91">
        <v>39</v>
      </c>
      <c r="AX51" s="91">
        <v>34.5</v>
      </c>
      <c r="AY51" s="91">
        <v>36.5</v>
      </c>
      <c r="AZ51" s="91">
        <v>51</v>
      </c>
      <c r="BA51" s="91">
        <v>32.5</v>
      </c>
      <c r="BB51" s="91">
        <v>63.5</v>
      </c>
      <c r="BC51" s="91">
        <v>41</v>
      </c>
      <c r="BD51" s="91">
        <v>8</v>
      </c>
      <c r="BE51" s="91">
        <v>10</v>
      </c>
      <c r="BF51" s="91">
        <v>11</v>
      </c>
      <c r="BG51" s="91">
        <v>12</v>
      </c>
      <c r="BH51" s="91">
        <v>12</v>
      </c>
    </row>
    <row r="52" spans="1:60">
      <c r="B52" s="93" t="s">
        <v>248</v>
      </c>
      <c r="C52" s="93" t="s">
        <v>249</v>
      </c>
      <c r="D52" s="93">
        <f>SUM(D48:D50)</f>
        <v>1956</v>
      </c>
      <c r="E52" s="93">
        <f t="shared" ref="E52:BH52" si="8">SUM(E48:E51)</f>
        <v>2378</v>
      </c>
      <c r="F52" s="93">
        <f t="shared" si="8"/>
        <v>2385.5</v>
      </c>
      <c r="G52" s="93">
        <f t="shared" si="8"/>
        <v>2421</v>
      </c>
      <c r="H52" s="93">
        <f t="shared" si="8"/>
        <v>2437</v>
      </c>
      <c r="I52" s="93">
        <f t="shared" si="8"/>
        <v>2515</v>
      </c>
      <c r="J52" s="93">
        <f t="shared" si="8"/>
        <v>2474</v>
      </c>
      <c r="K52" s="93">
        <f t="shared" si="8"/>
        <v>2536.5</v>
      </c>
      <c r="L52" s="93">
        <f t="shared" si="8"/>
        <v>2509</v>
      </c>
      <c r="M52" s="93">
        <f t="shared" si="8"/>
        <v>2398.5</v>
      </c>
      <c r="N52" s="93">
        <f t="shared" si="8"/>
        <v>2617.5</v>
      </c>
      <c r="O52" s="93">
        <f t="shared" si="8"/>
        <v>3124</v>
      </c>
      <c r="P52" s="93">
        <f t="shared" si="8"/>
        <v>2938</v>
      </c>
      <c r="Q52" s="93">
        <f t="shared" si="8"/>
        <v>3331</v>
      </c>
      <c r="R52" s="93">
        <f t="shared" si="8"/>
        <v>3306.5</v>
      </c>
      <c r="S52" s="93">
        <f t="shared" si="8"/>
        <v>3601.5</v>
      </c>
      <c r="T52" s="93">
        <f t="shared" si="8"/>
        <v>3392</v>
      </c>
      <c r="U52" s="93">
        <f t="shared" si="8"/>
        <v>3582.5</v>
      </c>
      <c r="V52" s="93">
        <f t="shared" si="8"/>
        <v>3526.5</v>
      </c>
      <c r="W52" s="93">
        <f t="shared" si="8"/>
        <v>3619.5</v>
      </c>
      <c r="X52" s="93">
        <f t="shared" si="8"/>
        <v>3368.5</v>
      </c>
      <c r="Y52" s="93">
        <f t="shared" si="8"/>
        <v>3299.5</v>
      </c>
      <c r="Z52" s="93">
        <f t="shared" si="8"/>
        <v>3438.5</v>
      </c>
      <c r="AA52" s="93">
        <f t="shared" si="8"/>
        <v>3226.5</v>
      </c>
      <c r="AB52" s="93">
        <f t="shared" si="8"/>
        <v>3103</v>
      </c>
      <c r="AC52" s="93">
        <f t="shared" si="8"/>
        <v>2879</v>
      </c>
      <c r="AD52" s="93">
        <f t="shared" si="8"/>
        <v>2440.5</v>
      </c>
      <c r="AE52" s="93">
        <f t="shared" si="8"/>
        <v>2813</v>
      </c>
      <c r="AF52" s="93">
        <f t="shared" si="8"/>
        <v>2723.5</v>
      </c>
      <c r="AG52" s="93">
        <f t="shared" si="8"/>
        <v>1885</v>
      </c>
      <c r="AH52" s="93">
        <f t="shared" si="8"/>
        <v>1731.5</v>
      </c>
      <c r="AI52" s="93">
        <f t="shared" si="8"/>
        <v>2109</v>
      </c>
      <c r="AJ52" s="93">
        <f t="shared" si="8"/>
        <v>1861</v>
      </c>
      <c r="AK52" s="93">
        <f t="shared" si="8"/>
        <v>1995.5</v>
      </c>
      <c r="AL52" s="93">
        <f t="shared" si="8"/>
        <v>2387.5</v>
      </c>
      <c r="AM52" s="93">
        <f t="shared" si="8"/>
        <v>1999.5</v>
      </c>
      <c r="AN52" s="93">
        <f t="shared" si="8"/>
        <v>1937</v>
      </c>
      <c r="AO52" s="93">
        <f t="shared" si="8"/>
        <v>2237</v>
      </c>
      <c r="AP52" s="93">
        <f t="shared" si="8"/>
        <v>2149.5</v>
      </c>
      <c r="AQ52" s="93">
        <f t="shared" si="8"/>
        <v>1968.5</v>
      </c>
      <c r="AR52" s="93">
        <f t="shared" si="8"/>
        <v>1849</v>
      </c>
      <c r="AS52" s="93">
        <f t="shared" si="8"/>
        <v>1994.5</v>
      </c>
      <c r="AT52" s="93">
        <f t="shared" si="8"/>
        <v>1773.5</v>
      </c>
      <c r="AU52" s="93">
        <f t="shared" si="8"/>
        <v>1801.5</v>
      </c>
      <c r="AV52" s="93">
        <f t="shared" si="8"/>
        <v>1707</v>
      </c>
      <c r="AW52" s="93">
        <f t="shared" si="8"/>
        <v>1476.5</v>
      </c>
      <c r="AX52" s="93">
        <f t="shared" si="8"/>
        <v>1404</v>
      </c>
      <c r="AY52" s="93">
        <f t="shared" si="8"/>
        <v>1240.5</v>
      </c>
      <c r="AZ52" s="93">
        <f t="shared" si="8"/>
        <v>1200.5</v>
      </c>
      <c r="BA52" s="93">
        <f t="shared" si="8"/>
        <v>1010.5</v>
      </c>
      <c r="BB52" s="93">
        <f t="shared" si="8"/>
        <v>1006</v>
      </c>
      <c r="BC52" s="93">
        <f t="shared" si="8"/>
        <v>891</v>
      </c>
      <c r="BD52" s="93">
        <f t="shared" si="8"/>
        <v>837</v>
      </c>
      <c r="BE52" s="93">
        <f t="shared" si="8"/>
        <v>875</v>
      </c>
      <c r="BF52" s="93">
        <f t="shared" si="8"/>
        <v>801.5</v>
      </c>
      <c r="BG52" s="93">
        <f t="shared" si="8"/>
        <v>791</v>
      </c>
      <c r="BH52" s="93">
        <f t="shared" si="8"/>
        <v>792</v>
      </c>
    </row>
    <row r="53" spans="1:60" ht="14.4">
      <c r="B53" s="91"/>
      <c r="C53" s="91"/>
      <c r="D53" s="94">
        <f t="shared" ref="D53:BH53" si="9">D52/D66</f>
        <v>0.13082736940672865</v>
      </c>
      <c r="E53" s="94">
        <f t="shared" si="9"/>
        <v>0.16374027404806168</v>
      </c>
      <c r="F53" s="94">
        <f t="shared" si="9"/>
        <v>0.16759168188843615</v>
      </c>
      <c r="G53" s="94">
        <f t="shared" si="9"/>
        <v>0.16833541927409262</v>
      </c>
      <c r="H53" s="94">
        <f t="shared" si="9"/>
        <v>0.15957307490832898</v>
      </c>
      <c r="I53" s="94">
        <f t="shared" si="9"/>
        <v>0.15812637535366236</v>
      </c>
      <c r="J53" s="94">
        <f t="shared" si="9"/>
        <v>0.16546281433921883</v>
      </c>
      <c r="K53" s="94">
        <f t="shared" si="9"/>
        <v>0.14761683058837222</v>
      </c>
      <c r="L53" s="94">
        <f t="shared" si="9"/>
        <v>0.13997991519750055</v>
      </c>
      <c r="M53" s="94">
        <f t="shared" si="9"/>
        <v>0.13475476150345525</v>
      </c>
      <c r="N53" s="94">
        <f t="shared" si="9"/>
        <v>0.11543550165380374</v>
      </c>
      <c r="O53" s="94">
        <f t="shared" si="9"/>
        <v>0.14386368869445085</v>
      </c>
      <c r="P53" s="94">
        <f t="shared" si="9"/>
        <v>0.14401254840448999</v>
      </c>
      <c r="Q53" s="94">
        <f t="shared" si="9"/>
        <v>0.14976171207625213</v>
      </c>
      <c r="R53" s="94">
        <f t="shared" si="9"/>
        <v>0.1587450189639445</v>
      </c>
      <c r="S53" s="94">
        <f t="shared" si="9"/>
        <v>0.17875223347230496</v>
      </c>
      <c r="T53" s="94">
        <f t="shared" si="9"/>
        <v>0.16572210279460622</v>
      </c>
      <c r="U53" s="94">
        <f t="shared" si="9"/>
        <v>0.17500366371940795</v>
      </c>
      <c r="V53" s="94">
        <f t="shared" si="9"/>
        <v>0.18161919967039192</v>
      </c>
      <c r="W53" s="94">
        <f t="shared" si="9"/>
        <v>0.17776631796080741</v>
      </c>
      <c r="X53" s="94">
        <f t="shared" si="9"/>
        <v>0.19564964860312481</v>
      </c>
      <c r="Y53" s="94">
        <f t="shared" si="9"/>
        <v>0.18648618097552705</v>
      </c>
      <c r="Z53" s="94">
        <f t="shared" si="9"/>
        <v>0.19834448546377481</v>
      </c>
      <c r="AA53" s="94">
        <f t="shared" si="9"/>
        <v>0.19288020086083213</v>
      </c>
      <c r="AB53" s="94">
        <f t="shared" si="9"/>
        <v>0.1892765645968037</v>
      </c>
      <c r="AC53" s="94">
        <f t="shared" si="9"/>
        <v>0.17220959444909678</v>
      </c>
      <c r="AD53" s="94">
        <f t="shared" si="9"/>
        <v>0.16762827117247064</v>
      </c>
      <c r="AE53" s="94">
        <f t="shared" si="9"/>
        <v>0.18504144191553742</v>
      </c>
      <c r="AF53" s="94">
        <f t="shared" si="9"/>
        <v>0.18016140768671032</v>
      </c>
      <c r="AG53" s="94">
        <f t="shared" si="9"/>
        <v>0.13956759958536946</v>
      </c>
      <c r="AH53" s="94">
        <f t="shared" si="9"/>
        <v>0.13830976915089063</v>
      </c>
      <c r="AI53" s="94">
        <f t="shared" si="9"/>
        <v>0.17045179018831327</v>
      </c>
      <c r="AJ53" s="94">
        <f t="shared" si="9"/>
        <v>0.1579930384582732</v>
      </c>
      <c r="AK53" s="94">
        <f t="shared" si="9"/>
        <v>0.17146416910122014</v>
      </c>
      <c r="AL53" s="94">
        <f t="shared" si="9"/>
        <v>0.19655058862270519</v>
      </c>
      <c r="AM53" s="94">
        <f t="shared" si="9"/>
        <v>0.17765437583296312</v>
      </c>
      <c r="AN53" s="94">
        <f t="shared" si="9"/>
        <v>0.17156775907883082</v>
      </c>
      <c r="AO53" s="94">
        <f t="shared" si="9"/>
        <v>0.19162240877162925</v>
      </c>
      <c r="AP53" s="94">
        <f t="shared" si="9"/>
        <v>0.19286675639300135</v>
      </c>
      <c r="AQ53" s="94">
        <f t="shared" si="9"/>
        <v>0.17604185297800035</v>
      </c>
      <c r="AR53" s="94">
        <f t="shared" si="9"/>
        <v>0.17008554870757059</v>
      </c>
      <c r="AS53" s="94">
        <f t="shared" si="9"/>
        <v>0.18574222387781711</v>
      </c>
      <c r="AT53" s="94">
        <f t="shared" si="9"/>
        <v>0.1802703801585688</v>
      </c>
      <c r="AU53" s="94">
        <f t="shared" si="9"/>
        <v>0.18350820006111848</v>
      </c>
      <c r="AV53" s="94">
        <f t="shared" si="9"/>
        <v>0.18676148796498906</v>
      </c>
      <c r="AW53" s="94">
        <f t="shared" si="9"/>
        <v>0.16668548205012418</v>
      </c>
      <c r="AX53" s="94">
        <f t="shared" si="9"/>
        <v>0.15990888382687926</v>
      </c>
      <c r="AY53" s="94">
        <f t="shared" si="9"/>
        <v>0.15003628447024672</v>
      </c>
      <c r="AZ53" s="94">
        <f t="shared" si="9"/>
        <v>0.14916749502982107</v>
      </c>
      <c r="BA53" s="94">
        <f t="shared" si="9"/>
        <v>0.15681253879577903</v>
      </c>
      <c r="BB53" s="94">
        <f t="shared" si="9"/>
        <v>0.15640547263681592</v>
      </c>
      <c r="BC53" s="94">
        <f t="shared" si="9"/>
        <v>0.14749213706340009</v>
      </c>
      <c r="BD53" s="94">
        <f t="shared" si="9"/>
        <v>0.14138513513513515</v>
      </c>
      <c r="BE53" s="94">
        <f t="shared" si="9"/>
        <v>0.13860288293996514</v>
      </c>
      <c r="BF53" s="94">
        <f t="shared" si="9"/>
        <v>0.13139344262295083</v>
      </c>
      <c r="BG53" s="94">
        <f t="shared" si="9"/>
        <v>0.13265134999161496</v>
      </c>
      <c r="BH53" s="94">
        <f t="shared" si="9"/>
        <v>0.14087513340448238</v>
      </c>
    </row>
    <row r="54" spans="1:60" ht="14.4">
      <c r="B54" s="91"/>
      <c r="C54" s="91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</row>
    <row r="55" spans="1:60">
      <c r="C55" s="91"/>
      <c r="D55" s="75">
        <v>1960</v>
      </c>
      <c r="E55" s="75">
        <v>1961</v>
      </c>
      <c r="F55" s="75">
        <v>1962</v>
      </c>
      <c r="G55" s="75">
        <v>1963</v>
      </c>
      <c r="H55" s="75">
        <v>1964</v>
      </c>
      <c r="I55" s="75">
        <v>1965</v>
      </c>
      <c r="J55" s="75">
        <v>1966</v>
      </c>
      <c r="K55" s="75">
        <v>1967</v>
      </c>
      <c r="L55" s="75">
        <v>1968</v>
      </c>
      <c r="M55" s="75">
        <v>1969</v>
      </c>
      <c r="N55" s="75">
        <v>1970</v>
      </c>
      <c r="O55" s="75">
        <v>1971</v>
      </c>
      <c r="P55" s="75">
        <v>1972</v>
      </c>
      <c r="Q55" s="75">
        <v>1973</v>
      </c>
      <c r="R55" s="75">
        <v>1974</v>
      </c>
      <c r="S55" s="75">
        <v>1975</v>
      </c>
      <c r="T55" s="75">
        <v>1976</v>
      </c>
      <c r="U55" s="75">
        <v>1977</v>
      </c>
      <c r="V55" s="75">
        <v>1978</v>
      </c>
      <c r="W55" s="75">
        <v>1979</v>
      </c>
      <c r="X55" s="75">
        <v>1980</v>
      </c>
      <c r="Y55" s="75">
        <v>1981</v>
      </c>
      <c r="Z55" s="75">
        <v>1982</v>
      </c>
      <c r="AA55" s="75">
        <v>1983</v>
      </c>
      <c r="AB55" s="75">
        <v>1984</v>
      </c>
      <c r="AC55" s="75">
        <v>1985</v>
      </c>
      <c r="AD55" s="75">
        <v>1986</v>
      </c>
      <c r="AE55" s="75">
        <v>1987</v>
      </c>
      <c r="AF55" s="75">
        <v>1988</v>
      </c>
      <c r="AG55" s="75">
        <v>1989</v>
      </c>
      <c r="AH55" s="75">
        <v>1990</v>
      </c>
      <c r="AI55" s="75">
        <v>1991</v>
      </c>
      <c r="AJ55" s="75">
        <v>1992</v>
      </c>
      <c r="AK55" s="75">
        <v>1993</v>
      </c>
      <c r="AL55" s="75">
        <v>1994</v>
      </c>
      <c r="AM55" s="75">
        <v>1995</v>
      </c>
      <c r="AN55" s="75">
        <v>1996</v>
      </c>
      <c r="AO55" s="75">
        <v>1997</v>
      </c>
      <c r="AP55" s="75">
        <v>1998</v>
      </c>
      <c r="AQ55" s="75">
        <v>1999</v>
      </c>
      <c r="AR55" s="75">
        <v>2000</v>
      </c>
      <c r="AS55" s="75">
        <v>2001</v>
      </c>
      <c r="AT55" s="75">
        <v>2002</v>
      </c>
      <c r="AU55" s="75">
        <v>2003</v>
      </c>
      <c r="AV55" s="75">
        <v>2004</v>
      </c>
      <c r="AW55" s="75">
        <v>2005</v>
      </c>
      <c r="AX55" s="75">
        <v>2006</v>
      </c>
      <c r="AY55" s="75">
        <v>2007</v>
      </c>
      <c r="AZ55" s="75">
        <v>2008</v>
      </c>
      <c r="BA55" s="75">
        <v>2009</v>
      </c>
      <c r="BB55" s="75">
        <v>2010</v>
      </c>
      <c r="BC55" s="75">
        <v>2011</v>
      </c>
      <c r="BD55" s="75">
        <v>2012</v>
      </c>
      <c r="BE55" s="75">
        <v>2013</v>
      </c>
      <c r="BF55" s="75">
        <v>2014</v>
      </c>
      <c r="BG55" s="75">
        <v>2015</v>
      </c>
      <c r="BH55" s="75">
        <v>2016</v>
      </c>
    </row>
    <row r="56" spans="1:60" ht="14.4">
      <c r="A56" s="91" t="s">
        <v>251</v>
      </c>
      <c r="B56" s="81" t="s">
        <v>252</v>
      </c>
      <c r="D56" s="96">
        <f>D46</f>
        <v>8295</v>
      </c>
      <c r="E56" s="96">
        <f t="shared" ref="E56:BH56" si="10">E46</f>
        <v>7566</v>
      </c>
      <c r="F56" s="96">
        <f t="shared" si="10"/>
        <v>7172</v>
      </c>
      <c r="G56" s="96">
        <f t="shared" si="10"/>
        <v>7783</v>
      </c>
      <c r="H56" s="96">
        <f t="shared" si="10"/>
        <v>8750</v>
      </c>
      <c r="I56" s="96">
        <f t="shared" si="10"/>
        <v>9475</v>
      </c>
      <c r="J56" s="96">
        <f t="shared" si="10"/>
        <v>8733</v>
      </c>
      <c r="K56" s="96">
        <f t="shared" si="10"/>
        <v>8499</v>
      </c>
      <c r="L56" s="96">
        <f t="shared" si="10"/>
        <v>9142</v>
      </c>
      <c r="M56" s="96">
        <f t="shared" si="10"/>
        <v>9310</v>
      </c>
      <c r="N56" s="96">
        <f t="shared" si="10"/>
        <v>9459</v>
      </c>
      <c r="O56" s="96">
        <f t="shared" si="10"/>
        <v>8990</v>
      </c>
      <c r="P56" s="96">
        <f t="shared" si="10"/>
        <v>8334</v>
      </c>
      <c r="Q56" s="96">
        <f t="shared" si="10"/>
        <v>8418</v>
      </c>
      <c r="R56" s="96">
        <f t="shared" si="10"/>
        <v>6344</v>
      </c>
      <c r="S56" s="96">
        <f t="shared" si="10"/>
        <v>6497</v>
      </c>
      <c r="T56" s="96">
        <f t="shared" si="10"/>
        <v>6144</v>
      </c>
      <c r="U56" s="96">
        <f t="shared" si="10"/>
        <v>5846</v>
      </c>
      <c r="V56" s="96">
        <f t="shared" si="10"/>
        <v>5499</v>
      </c>
      <c r="W56" s="96">
        <f t="shared" si="10"/>
        <v>6124</v>
      </c>
      <c r="X56" s="96">
        <f t="shared" si="10"/>
        <v>3942</v>
      </c>
      <c r="Y56" s="96">
        <f t="shared" si="10"/>
        <v>5386</v>
      </c>
      <c r="Z56" s="96">
        <f t="shared" si="10"/>
        <v>4921</v>
      </c>
      <c r="AA56" s="96">
        <f t="shared" si="10"/>
        <v>4703</v>
      </c>
      <c r="AB56" s="96">
        <f t="shared" si="10"/>
        <v>4748</v>
      </c>
      <c r="AC56" s="96">
        <f t="shared" si="10"/>
        <v>5056</v>
      </c>
      <c r="AD56" s="96">
        <f t="shared" si="10"/>
        <v>4320</v>
      </c>
      <c r="AE56" s="96">
        <f t="shared" si="10"/>
        <v>4465</v>
      </c>
      <c r="AF56" s="96">
        <f t="shared" si="10"/>
        <v>4480</v>
      </c>
      <c r="AG56" s="96">
        <f t="shared" si="10"/>
        <v>4217</v>
      </c>
      <c r="AH56" s="96">
        <f t="shared" si="10"/>
        <v>4164</v>
      </c>
      <c r="AI56" s="96">
        <f t="shared" si="10"/>
        <v>3845</v>
      </c>
      <c r="AJ56" s="96">
        <f t="shared" si="10"/>
        <v>3199</v>
      </c>
      <c r="AK56" s="96">
        <f t="shared" si="10"/>
        <v>3404</v>
      </c>
      <c r="AL56" s="96">
        <f t="shared" si="10"/>
        <v>3733</v>
      </c>
      <c r="AM56" s="96">
        <f t="shared" si="10"/>
        <v>3587</v>
      </c>
      <c r="AN56" s="96">
        <f t="shared" si="10"/>
        <v>3417</v>
      </c>
      <c r="AO56" s="96">
        <f t="shared" si="10"/>
        <v>3312</v>
      </c>
      <c r="AP56" s="96">
        <f t="shared" si="10"/>
        <v>2831</v>
      </c>
      <c r="AQ56" s="96">
        <f t="shared" si="10"/>
        <v>2974</v>
      </c>
      <c r="AR56" s="96">
        <f t="shared" si="10"/>
        <v>2862</v>
      </c>
      <c r="AS56" s="96">
        <f t="shared" si="10"/>
        <v>2172</v>
      </c>
      <c r="AT56" s="96">
        <f t="shared" si="10"/>
        <v>1971</v>
      </c>
      <c r="AU56" s="96">
        <f t="shared" si="10"/>
        <v>1953</v>
      </c>
      <c r="AV56" s="96">
        <f t="shared" si="10"/>
        <v>1959</v>
      </c>
      <c r="AW56" s="96">
        <f t="shared" si="10"/>
        <v>1790</v>
      </c>
      <c r="AX56" s="96">
        <f t="shared" si="10"/>
        <v>2023</v>
      </c>
      <c r="AY56" s="96">
        <f t="shared" si="10"/>
        <v>2004</v>
      </c>
      <c r="AZ56" s="96">
        <f t="shared" si="10"/>
        <v>2055</v>
      </c>
      <c r="BA56" s="96">
        <f t="shared" si="10"/>
        <v>1406</v>
      </c>
      <c r="BB56" s="96">
        <f t="shared" si="10"/>
        <v>1351</v>
      </c>
      <c r="BC56" s="96">
        <f t="shared" si="10"/>
        <v>1236</v>
      </c>
      <c r="BD56" s="96">
        <f t="shared" si="10"/>
        <v>1147</v>
      </c>
      <c r="BE56" s="96">
        <f t="shared" si="10"/>
        <v>1280</v>
      </c>
      <c r="BF56" s="96">
        <f t="shared" si="10"/>
        <v>1315</v>
      </c>
      <c r="BG56" s="96">
        <f t="shared" si="10"/>
        <v>1285</v>
      </c>
      <c r="BH56" s="96">
        <f t="shared" si="10"/>
        <v>996</v>
      </c>
    </row>
    <row r="57" spans="1:60" ht="14.4">
      <c r="A57" s="91" t="s">
        <v>253</v>
      </c>
      <c r="B57" s="81" t="s">
        <v>254</v>
      </c>
      <c r="D57" s="96">
        <f>D52</f>
        <v>1956</v>
      </c>
      <c r="E57" s="96">
        <f t="shared" ref="E57:BH57" si="11">E52*0.5</f>
        <v>1189</v>
      </c>
      <c r="F57" s="96">
        <f t="shared" si="11"/>
        <v>1192.75</v>
      </c>
      <c r="G57" s="96">
        <f t="shared" si="11"/>
        <v>1210.5</v>
      </c>
      <c r="H57" s="96">
        <f t="shared" si="11"/>
        <v>1218.5</v>
      </c>
      <c r="I57" s="96">
        <f t="shared" si="11"/>
        <v>1257.5</v>
      </c>
      <c r="J57" s="96">
        <f t="shared" si="11"/>
        <v>1237</v>
      </c>
      <c r="K57" s="96">
        <f t="shared" si="11"/>
        <v>1268.25</v>
      </c>
      <c r="L57" s="96">
        <f t="shared" si="11"/>
        <v>1254.5</v>
      </c>
      <c r="M57" s="96">
        <f t="shared" si="11"/>
        <v>1199.25</v>
      </c>
      <c r="N57" s="96">
        <f t="shared" si="11"/>
        <v>1308.75</v>
      </c>
      <c r="O57" s="96">
        <f t="shared" si="11"/>
        <v>1562</v>
      </c>
      <c r="P57" s="96">
        <f t="shared" si="11"/>
        <v>1469</v>
      </c>
      <c r="Q57" s="96">
        <f t="shared" si="11"/>
        <v>1665.5</v>
      </c>
      <c r="R57" s="96">
        <f t="shared" si="11"/>
        <v>1653.25</v>
      </c>
      <c r="S57" s="96">
        <f t="shared" si="11"/>
        <v>1800.75</v>
      </c>
      <c r="T57" s="96">
        <f t="shared" si="11"/>
        <v>1696</v>
      </c>
      <c r="U57" s="96">
        <f t="shared" si="11"/>
        <v>1791.25</v>
      </c>
      <c r="V57" s="96">
        <f t="shared" si="11"/>
        <v>1763.25</v>
      </c>
      <c r="W57" s="96">
        <f t="shared" si="11"/>
        <v>1809.75</v>
      </c>
      <c r="X57" s="96">
        <f t="shared" si="11"/>
        <v>1684.25</v>
      </c>
      <c r="Y57" s="96">
        <f t="shared" si="11"/>
        <v>1649.75</v>
      </c>
      <c r="Z57" s="96">
        <f t="shared" si="11"/>
        <v>1719.25</v>
      </c>
      <c r="AA57" s="96">
        <f t="shared" si="11"/>
        <v>1613.25</v>
      </c>
      <c r="AB57" s="96">
        <f t="shared" si="11"/>
        <v>1551.5</v>
      </c>
      <c r="AC57" s="96">
        <f t="shared" si="11"/>
        <v>1439.5</v>
      </c>
      <c r="AD57" s="96">
        <f t="shared" si="11"/>
        <v>1220.25</v>
      </c>
      <c r="AE57" s="96">
        <f t="shared" si="11"/>
        <v>1406.5</v>
      </c>
      <c r="AF57" s="96">
        <f t="shared" si="11"/>
        <v>1361.75</v>
      </c>
      <c r="AG57" s="96">
        <f t="shared" si="11"/>
        <v>942.5</v>
      </c>
      <c r="AH57" s="96">
        <f t="shared" si="11"/>
        <v>865.75</v>
      </c>
      <c r="AI57" s="96">
        <f t="shared" si="11"/>
        <v>1054.5</v>
      </c>
      <c r="AJ57" s="96">
        <f t="shared" si="11"/>
        <v>930.5</v>
      </c>
      <c r="AK57" s="96">
        <f t="shared" si="11"/>
        <v>997.75</v>
      </c>
      <c r="AL57" s="96">
        <f t="shared" si="11"/>
        <v>1193.75</v>
      </c>
      <c r="AM57" s="96">
        <f t="shared" si="11"/>
        <v>999.75</v>
      </c>
      <c r="AN57" s="96">
        <f t="shared" si="11"/>
        <v>968.5</v>
      </c>
      <c r="AO57" s="96">
        <f t="shared" si="11"/>
        <v>1118.5</v>
      </c>
      <c r="AP57" s="96">
        <f t="shared" si="11"/>
        <v>1074.75</v>
      </c>
      <c r="AQ57" s="96">
        <f t="shared" si="11"/>
        <v>984.25</v>
      </c>
      <c r="AR57" s="96">
        <f t="shared" si="11"/>
        <v>924.5</v>
      </c>
      <c r="AS57" s="96">
        <f t="shared" si="11"/>
        <v>997.25</v>
      </c>
      <c r="AT57" s="96">
        <f t="shared" si="11"/>
        <v>886.75</v>
      </c>
      <c r="AU57" s="96">
        <f t="shared" si="11"/>
        <v>900.75</v>
      </c>
      <c r="AV57" s="96">
        <f t="shared" si="11"/>
        <v>853.5</v>
      </c>
      <c r="AW57" s="96">
        <f t="shared" si="11"/>
        <v>738.25</v>
      </c>
      <c r="AX57" s="96">
        <f t="shared" si="11"/>
        <v>702</v>
      </c>
      <c r="AY57" s="96">
        <f t="shared" si="11"/>
        <v>620.25</v>
      </c>
      <c r="AZ57" s="96">
        <f t="shared" si="11"/>
        <v>600.25</v>
      </c>
      <c r="BA57" s="96">
        <f t="shared" si="11"/>
        <v>505.25</v>
      </c>
      <c r="BB57" s="96">
        <f t="shared" si="11"/>
        <v>503</v>
      </c>
      <c r="BC57" s="96">
        <f t="shared" si="11"/>
        <v>445.5</v>
      </c>
      <c r="BD57" s="96">
        <f t="shared" si="11"/>
        <v>418.5</v>
      </c>
      <c r="BE57" s="96">
        <f t="shared" si="11"/>
        <v>437.5</v>
      </c>
      <c r="BF57" s="96">
        <f t="shared" si="11"/>
        <v>400.75</v>
      </c>
      <c r="BG57" s="96">
        <f t="shared" si="11"/>
        <v>395.5</v>
      </c>
      <c r="BH57" s="96">
        <f t="shared" si="11"/>
        <v>396</v>
      </c>
    </row>
    <row r="58" spans="1:60" ht="14.4">
      <c r="A58" s="73" t="s">
        <v>255</v>
      </c>
      <c r="B58" s="81" t="s">
        <v>254</v>
      </c>
      <c r="D58" s="96">
        <v>189</v>
      </c>
      <c r="E58" s="96">
        <v>189.5</v>
      </c>
      <c r="F58" s="96">
        <v>182.5</v>
      </c>
      <c r="G58" s="96">
        <v>181.5</v>
      </c>
      <c r="H58" s="96">
        <v>178.5</v>
      </c>
      <c r="I58" s="96">
        <v>178</v>
      </c>
      <c r="J58" s="96">
        <v>183</v>
      </c>
      <c r="K58" s="96">
        <v>186.5</v>
      </c>
      <c r="L58" s="96">
        <v>309.5</v>
      </c>
      <c r="M58" s="96">
        <v>376</v>
      </c>
      <c r="N58" s="96">
        <v>609.5</v>
      </c>
      <c r="O58" s="96">
        <v>654</v>
      </c>
      <c r="P58" s="96">
        <v>413</v>
      </c>
      <c r="Q58" s="96">
        <v>640.5</v>
      </c>
      <c r="R58" s="96">
        <v>626.5</v>
      </c>
      <c r="S58" s="96">
        <v>620.5</v>
      </c>
      <c r="T58" s="96">
        <v>645.5</v>
      </c>
      <c r="U58" s="96">
        <v>656</v>
      </c>
      <c r="V58" s="96">
        <v>369</v>
      </c>
      <c r="W58" s="96">
        <v>360</v>
      </c>
      <c r="X58" s="96">
        <v>321</v>
      </c>
      <c r="Y58" s="96">
        <v>295</v>
      </c>
      <c r="Z58" s="96">
        <v>279.5</v>
      </c>
      <c r="AA58" s="96">
        <v>305.5</v>
      </c>
      <c r="AB58" s="96">
        <v>321</v>
      </c>
      <c r="AC58" s="96">
        <v>356</v>
      </c>
      <c r="AD58" s="96">
        <v>315.5</v>
      </c>
      <c r="AE58" s="96">
        <v>267</v>
      </c>
      <c r="AF58" s="96">
        <v>315</v>
      </c>
      <c r="AG58" s="96">
        <v>360</v>
      </c>
      <c r="AH58" s="96">
        <v>284</v>
      </c>
      <c r="AI58" s="96">
        <v>321</v>
      </c>
      <c r="AJ58" s="96">
        <v>320</v>
      </c>
      <c r="AK58" s="96">
        <v>335.5</v>
      </c>
      <c r="AL58" s="96">
        <v>399.5</v>
      </c>
      <c r="AM58" s="96">
        <v>370.5</v>
      </c>
      <c r="AN58" s="96">
        <v>368.5</v>
      </c>
      <c r="AO58" s="96">
        <v>305</v>
      </c>
      <c r="AP58" s="96">
        <v>336</v>
      </c>
      <c r="AQ58" s="96">
        <v>384</v>
      </c>
      <c r="AR58" s="96">
        <v>276.5</v>
      </c>
      <c r="AS58" s="96">
        <v>284</v>
      </c>
      <c r="AT58" s="96">
        <v>248.5</v>
      </c>
      <c r="AU58" s="96">
        <v>209.5</v>
      </c>
      <c r="AV58" s="96">
        <v>139</v>
      </c>
      <c r="AW58" s="96">
        <v>146.5</v>
      </c>
      <c r="AX58" s="96">
        <v>153</v>
      </c>
      <c r="AY58" s="96">
        <v>134.5</v>
      </c>
      <c r="AZ58" s="96">
        <v>113</v>
      </c>
      <c r="BA58" s="96">
        <v>88.5</v>
      </c>
      <c r="BB58" s="96">
        <v>90</v>
      </c>
      <c r="BC58" s="96">
        <v>90.5</v>
      </c>
      <c r="BD58" s="96">
        <v>93</v>
      </c>
      <c r="BE58" s="96">
        <v>91</v>
      </c>
      <c r="BF58" s="96">
        <v>88</v>
      </c>
      <c r="BG58" s="96">
        <v>77.5</v>
      </c>
      <c r="BH58" s="96">
        <v>78</v>
      </c>
    </row>
    <row r="59" spans="1:60" ht="14.4">
      <c r="A59" s="75" t="s">
        <v>256</v>
      </c>
      <c r="B59" s="81" t="s">
        <v>254</v>
      </c>
      <c r="D59" s="96">
        <v>734.5</v>
      </c>
      <c r="E59" s="96">
        <v>920.5</v>
      </c>
      <c r="F59" s="96">
        <v>1143</v>
      </c>
      <c r="G59" s="96">
        <v>1144.5</v>
      </c>
      <c r="H59" s="96">
        <v>1232</v>
      </c>
      <c r="I59" s="96">
        <v>1309</v>
      </c>
      <c r="J59" s="96">
        <v>1344.5</v>
      </c>
      <c r="K59" s="96">
        <v>2755.5</v>
      </c>
      <c r="L59" s="96">
        <v>2751</v>
      </c>
      <c r="M59" s="96">
        <v>2718</v>
      </c>
      <c r="N59" s="96">
        <v>3029.5</v>
      </c>
      <c r="O59" s="96">
        <v>2696.5</v>
      </c>
      <c r="P59" s="96">
        <v>2404</v>
      </c>
      <c r="Q59" s="96">
        <v>2539.5</v>
      </c>
      <c r="R59" s="96">
        <v>2366.5</v>
      </c>
      <c r="S59" s="96">
        <v>2136</v>
      </c>
      <c r="T59" s="96">
        <v>2013.5</v>
      </c>
      <c r="U59" s="96">
        <v>2002.5</v>
      </c>
      <c r="V59" s="96">
        <v>1985</v>
      </c>
      <c r="W59" s="96">
        <v>2000</v>
      </c>
      <c r="X59" s="96">
        <v>1760.5</v>
      </c>
      <c r="Y59" s="96">
        <v>1477</v>
      </c>
      <c r="Z59" s="96">
        <v>1533.5</v>
      </c>
      <c r="AA59" s="96">
        <v>1429.5</v>
      </c>
      <c r="AB59" s="96">
        <v>1353.5</v>
      </c>
      <c r="AC59" s="96">
        <v>1397.5</v>
      </c>
      <c r="AD59" s="96">
        <v>1404</v>
      </c>
      <c r="AE59" s="96">
        <v>1383</v>
      </c>
      <c r="AF59" s="96">
        <v>1499.5</v>
      </c>
      <c r="AG59" s="96">
        <v>1472.5</v>
      </c>
      <c r="AH59" s="96">
        <v>1350</v>
      </c>
      <c r="AI59" s="96">
        <v>1188</v>
      </c>
      <c r="AJ59" s="96">
        <v>1060.5</v>
      </c>
      <c r="AK59" s="96">
        <v>1009.5</v>
      </c>
      <c r="AL59" s="96">
        <v>1056.5</v>
      </c>
      <c r="AM59" s="96">
        <v>957.5</v>
      </c>
      <c r="AN59" s="96">
        <v>930.5</v>
      </c>
      <c r="AO59" s="96">
        <v>902</v>
      </c>
      <c r="AP59" s="96">
        <v>835.5</v>
      </c>
      <c r="AQ59" s="96">
        <v>778.5</v>
      </c>
      <c r="AR59" s="96">
        <v>937</v>
      </c>
      <c r="AS59" s="96">
        <v>999</v>
      </c>
      <c r="AT59" s="96">
        <v>959</v>
      </c>
      <c r="AU59" s="96">
        <v>957</v>
      </c>
      <c r="AV59" s="96">
        <v>883.5</v>
      </c>
      <c r="AW59" s="96">
        <v>1062</v>
      </c>
      <c r="AX59" s="96">
        <v>1019</v>
      </c>
      <c r="AY59" s="96">
        <v>1038</v>
      </c>
      <c r="AZ59" s="96">
        <v>1037</v>
      </c>
      <c r="BA59" s="96">
        <v>890.5</v>
      </c>
      <c r="BB59" s="96">
        <v>874</v>
      </c>
      <c r="BC59" s="96">
        <v>800.5</v>
      </c>
      <c r="BD59" s="96">
        <v>777</v>
      </c>
      <c r="BE59" s="96">
        <v>858.5</v>
      </c>
      <c r="BF59" s="96">
        <v>824.5</v>
      </c>
      <c r="BG59" s="96">
        <v>766</v>
      </c>
      <c r="BH59" s="96">
        <v>712.5</v>
      </c>
    </row>
    <row r="60" spans="1:60" ht="14.4">
      <c r="A60" s="75" t="s">
        <v>257</v>
      </c>
      <c r="B60" s="81" t="s">
        <v>254</v>
      </c>
      <c r="D60" s="96">
        <v>0</v>
      </c>
      <c r="E60" s="96">
        <v>0</v>
      </c>
      <c r="F60" s="96">
        <v>0</v>
      </c>
      <c r="G60" s="96">
        <v>0</v>
      </c>
      <c r="H60" s="96">
        <v>0</v>
      </c>
      <c r="I60" s="96">
        <v>0</v>
      </c>
      <c r="J60" s="96">
        <v>0</v>
      </c>
      <c r="K60" s="96">
        <v>0</v>
      </c>
      <c r="L60" s="96">
        <v>0</v>
      </c>
      <c r="M60" s="96">
        <v>0</v>
      </c>
      <c r="N60" s="96">
        <v>639</v>
      </c>
      <c r="O60" s="96">
        <v>508</v>
      </c>
      <c r="P60" s="96">
        <v>718</v>
      </c>
      <c r="Q60" s="96">
        <v>704.5</v>
      </c>
      <c r="R60" s="96">
        <v>644.5</v>
      </c>
      <c r="S60" s="96">
        <v>505</v>
      </c>
      <c r="T60" s="96">
        <v>504</v>
      </c>
      <c r="U60" s="96">
        <v>527</v>
      </c>
      <c r="V60" s="96">
        <v>453.5</v>
      </c>
      <c r="W60" s="96">
        <v>480.5</v>
      </c>
      <c r="X60" s="96">
        <v>361.5</v>
      </c>
      <c r="Y60" s="96">
        <v>394</v>
      </c>
      <c r="Z60" s="96">
        <v>353</v>
      </c>
      <c r="AA60" s="96">
        <v>286</v>
      </c>
      <c r="AB60" s="96">
        <v>503.5</v>
      </c>
      <c r="AC60" s="96">
        <v>500.5</v>
      </c>
      <c r="AD60" s="96">
        <v>527</v>
      </c>
      <c r="AE60" s="96">
        <v>506.5</v>
      </c>
      <c r="AF60" s="96">
        <v>521</v>
      </c>
      <c r="AG60" s="96">
        <v>478</v>
      </c>
      <c r="AH60" s="96">
        <v>468.5</v>
      </c>
      <c r="AI60" s="96">
        <v>467.5</v>
      </c>
      <c r="AJ60" s="96">
        <v>527</v>
      </c>
      <c r="AK60" s="96">
        <v>503</v>
      </c>
      <c r="AL60" s="96">
        <v>442.5</v>
      </c>
      <c r="AM60" s="96">
        <v>435</v>
      </c>
      <c r="AN60" s="96">
        <v>432.5</v>
      </c>
      <c r="AO60" s="96">
        <v>417</v>
      </c>
      <c r="AP60" s="96">
        <v>427.5</v>
      </c>
      <c r="AQ60" s="96">
        <v>446.5</v>
      </c>
      <c r="AR60" s="96">
        <v>438.5</v>
      </c>
      <c r="AS60" s="96">
        <v>499</v>
      </c>
      <c r="AT60" s="96">
        <v>481.5</v>
      </c>
      <c r="AU60" s="96">
        <v>491.5</v>
      </c>
      <c r="AV60" s="96">
        <v>431.5</v>
      </c>
      <c r="AW60" s="96">
        <v>412.5</v>
      </c>
      <c r="AX60" s="96">
        <v>391.5</v>
      </c>
      <c r="AY60" s="96">
        <v>354</v>
      </c>
      <c r="AZ60" s="96">
        <v>294</v>
      </c>
      <c r="BA60" s="96">
        <v>239.5</v>
      </c>
      <c r="BB60" s="96">
        <v>291</v>
      </c>
      <c r="BC60" s="96">
        <v>314</v>
      </c>
      <c r="BD60" s="96">
        <v>323.5</v>
      </c>
      <c r="BE60" s="96">
        <v>349.5</v>
      </c>
      <c r="BF60" s="96">
        <v>346.5</v>
      </c>
      <c r="BG60" s="96">
        <v>358.5</v>
      </c>
      <c r="BH60" s="96">
        <v>372</v>
      </c>
    </row>
    <row r="61" spans="1:60" ht="14.4">
      <c r="A61" s="75" t="s">
        <v>258</v>
      </c>
      <c r="B61" s="81" t="s">
        <v>254</v>
      </c>
      <c r="D61" s="96">
        <v>448.5</v>
      </c>
      <c r="E61" s="96">
        <v>432</v>
      </c>
      <c r="F61" s="96">
        <v>434</v>
      </c>
      <c r="G61" s="96">
        <v>444</v>
      </c>
      <c r="H61" s="96">
        <v>464</v>
      </c>
      <c r="I61" s="96">
        <v>476.5</v>
      </c>
      <c r="J61" s="96">
        <v>495.5</v>
      </c>
      <c r="K61" s="96">
        <v>482</v>
      </c>
      <c r="L61" s="96">
        <v>479.5</v>
      </c>
      <c r="M61" s="96">
        <v>416</v>
      </c>
      <c r="N61" s="96">
        <v>1520</v>
      </c>
      <c r="O61" s="96">
        <v>1429.5</v>
      </c>
      <c r="P61" s="96">
        <v>1523.5</v>
      </c>
      <c r="Q61" s="96">
        <v>1661</v>
      </c>
      <c r="R61" s="96">
        <v>1748.5</v>
      </c>
      <c r="S61" s="96">
        <v>1765</v>
      </c>
      <c r="T61" s="96">
        <v>1842.5</v>
      </c>
      <c r="U61" s="96">
        <v>1910.5</v>
      </c>
      <c r="V61" s="96">
        <v>1921.5</v>
      </c>
      <c r="W61" s="96">
        <v>1900.5</v>
      </c>
      <c r="X61" s="96">
        <v>1732.5</v>
      </c>
      <c r="Y61" s="96">
        <v>1488</v>
      </c>
      <c r="Z61" s="96">
        <v>1401.5</v>
      </c>
      <c r="AA61" s="96">
        <v>1308</v>
      </c>
      <c r="AB61" s="96">
        <v>993</v>
      </c>
      <c r="AC61" s="96">
        <v>973.5</v>
      </c>
      <c r="AD61" s="96">
        <v>1059</v>
      </c>
      <c r="AE61" s="96">
        <v>992</v>
      </c>
      <c r="AF61" s="96">
        <v>1003.5</v>
      </c>
      <c r="AG61" s="96">
        <v>902.5</v>
      </c>
      <c r="AH61" s="96">
        <v>861.5</v>
      </c>
      <c r="AI61" s="96">
        <v>816</v>
      </c>
      <c r="AJ61" s="96">
        <v>768.5</v>
      </c>
      <c r="AK61" s="96">
        <v>742</v>
      </c>
      <c r="AL61" s="96">
        <v>556</v>
      </c>
      <c r="AM61" s="96">
        <v>527</v>
      </c>
      <c r="AN61" s="96">
        <v>599</v>
      </c>
      <c r="AO61" s="96">
        <v>554</v>
      </c>
      <c r="AP61" s="96">
        <v>578.5</v>
      </c>
      <c r="AQ61" s="96">
        <v>572.5</v>
      </c>
      <c r="AR61" s="96">
        <v>572.5</v>
      </c>
      <c r="AS61" s="96">
        <v>615</v>
      </c>
      <c r="AT61" s="96">
        <v>572</v>
      </c>
      <c r="AU61" s="96">
        <v>547.5</v>
      </c>
      <c r="AV61" s="96">
        <v>509</v>
      </c>
      <c r="AW61" s="96">
        <v>509</v>
      </c>
      <c r="AX61" s="96">
        <v>485.5</v>
      </c>
      <c r="AY61" s="96">
        <v>459</v>
      </c>
      <c r="AZ61" s="96">
        <v>424.5</v>
      </c>
      <c r="BA61" s="96">
        <v>329.5</v>
      </c>
      <c r="BB61" s="96">
        <v>345.5</v>
      </c>
      <c r="BC61" s="96">
        <v>349.5</v>
      </c>
      <c r="BD61" s="96">
        <v>365</v>
      </c>
      <c r="BE61" s="96">
        <v>354</v>
      </c>
      <c r="BF61" s="96">
        <v>344.5</v>
      </c>
      <c r="BG61" s="96">
        <v>359.5</v>
      </c>
      <c r="BH61" s="96">
        <v>372</v>
      </c>
    </row>
    <row r="62" spans="1:60" ht="14.4">
      <c r="A62" s="75" t="s">
        <v>259</v>
      </c>
      <c r="B62" s="81" t="s">
        <v>254</v>
      </c>
      <c r="D62" s="96">
        <v>0</v>
      </c>
      <c r="E62" s="96">
        <v>0</v>
      </c>
      <c r="F62" s="96">
        <v>0</v>
      </c>
      <c r="G62" s="96">
        <v>0</v>
      </c>
      <c r="H62" s="96">
        <v>0</v>
      </c>
      <c r="I62" s="96">
        <v>0</v>
      </c>
      <c r="J62" s="96">
        <v>0</v>
      </c>
      <c r="K62" s="96">
        <v>0</v>
      </c>
      <c r="L62" s="96">
        <v>0</v>
      </c>
      <c r="M62" s="96">
        <v>0</v>
      </c>
      <c r="N62" s="96">
        <v>184</v>
      </c>
      <c r="O62" s="96">
        <v>146.5</v>
      </c>
      <c r="P62" s="96">
        <v>126</v>
      </c>
      <c r="Q62" s="96">
        <v>92</v>
      </c>
      <c r="R62" s="96">
        <v>69.5</v>
      </c>
      <c r="S62" s="96">
        <v>58.5</v>
      </c>
      <c r="T62" s="96">
        <v>76.5</v>
      </c>
      <c r="U62" s="96">
        <v>75.5</v>
      </c>
      <c r="V62" s="96">
        <v>75</v>
      </c>
      <c r="W62" s="96">
        <v>78.5</v>
      </c>
      <c r="X62" s="96">
        <v>70</v>
      </c>
      <c r="Y62" s="96">
        <v>53</v>
      </c>
      <c r="Z62" s="96">
        <v>53.5</v>
      </c>
      <c r="AA62" s="96">
        <v>38.5</v>
      </c>
      <c r="AB62" s="96">
        <v>16</v>
      </c>
      <c r="AC62" s="96">
        <v>14.5</v>
      </c>
      <c r="AD62" s="96">
        <v>13.5</v>
      </c>
      <c r="AE62" s="96">
        <v>13.5</v>
      </c>
      <c r="AF62" s="96">
        <v>12.5</v>
      </c>
      <c r="AG62" s="96">
        <v>7</v>
      </c>
      <c r="AH62" s="96">
        <v>9</v>
      </c>
      <c r="AI62" s="96">
        <v>5.5</v>
      </c>
      <c r="AJ62" s="96">
        <v>10</v>
      </c>
      <c r="AK62" s="96">
        <v>11</v>
      </c>
      <c r="AL62" s="96">
        <v>7.5</v>
      </c>
      <c r="AM62" s="96">
        <v>4</v>
      </c>
      <c r="AN62" s="96">
        <v>2.5</v>
      </c>
      <c r="AO62" s="96">
        <v>1</v>
      </c>
      <c r="AP62" s="96">
        <v>1.5</v>
      </c>
      <c r="AQ62" s="96">
        <v>1.5</v>
      </c>
      <c r="AR62" s="96">
        <v>0.5</v>
      </c>
      <c r="AS62" s="96">
        <v>0</v>
      </c>
      <c r="AT62" s="96">
        <v>0</v>
      </c>
      <c r="AU62" s="96">
        <v>0</v>
      </c>
      <c r="AV62" s="96">
        <v>0</v>
      </c>
      <c r="AW62" s="96">
        <v>0</v>
      </c>
      <c r="AX62" s="96">
        <v>0</v>
      </c>
      <c r="AY62" s="96">
        <v>0</v>
      </c>
      <c r="AZ62" s="96">
        <v>0</v>
      </c>
      <c r="BA62" s="96">
        <v>0</v>
      </c>
      <c r="BB62" s="96">
        <v>0</v>
      </c>
      <c r="BC62" s="96">
        <v>0</v>
      </c>
      <c r="BD62" s="96">
        <v>0</v>
      </c>
      <c r="BE62" s="96">
        <v>0</v>
      </c>
      <c r="BF62" s="96">
        <v>0</v>
      </c>
      <c r="BG62" s="96">
        <v>0</v>
      </c>
      <c r="BH62" s="96">
        <v>0</v>
      </c>
    </row>
    <row r="63" spans="1:60">
      <c r="A63" s="75" t="s">
        <v>260</v>
      </c>
      <c r="B63" s="81" t="s">
        <v>254</v>
      </c>
      <c r="D63" s="91">
        <v>6601.5</v>
      </c>
      <c r="E63" s="91">
        <v>6652.5</v>
      </c>
      <c r="F63" s="91">
        <v>6890</v>
      </c>
      <c r="G63" s="91">
        <v>6944.5</v>
      </c>
      <c r="H63" s="91">
        <v>6858</v>
      </c>
      <c r="I63" s="91">
        <v>7121</v>
      </c>
      <c r="J63" s="91">
        <v>7302.5</v>
      </c>
      <c r="K63" s="91">
        <v>7038.5</v>
      </c>
      <c r="L63" s="91">
        <v>7404.5</v>
      </c>
      <c r="M63" s="91">
        <v>7617.5</v>
      </c>
      <c r="N63" s="91">
        <v>2015</v>
      </c>
      <c r="O63" s="91">
        <v>1937.5</v>
      </c>
      <c r="P63" s="91">
        <v>1318.5</v>
      </c>
      <c r="Q63" s="91">
        <v>1423</v>
      </c>
      <c r="R63" s="91">
        <v>1338</v>
      </c>
      <c r="S63" s="91">
        <v>1338.5</v>
      </c>
      <c r="T63" s="91">
        <v>1305.5</v>
      </c>
      <c r="U63" s="91">
        <v>1320.5</v>
      </c>
      <c r="V63" s="91">
        <v>990</v>
      </c>
      <c r="W63" s="91">
        <v>1191.5</v>
      </c>
      <c r="X63" s="91">
        <v>931.5</v>
      </c>
      <c r="Y63" s="91">
        <v>877</v>
      </c>
      <c r="Z63" s="91">
        <v>935.5</v>
      </c>
      <c r="AA63" s="91">
        <v>848.5</v>
      </c>
      <c r="AB63" s="91">
        <v>971.5</v>
      </c>
      <c r="AC63" s="91">
        <v>1166</v>
      </c>
      <c r="AD63" s="91">
        <v>1379</v>
      </c>
      <c r="AE63" s="91">
        <v>1230.5</v>
      </c>
      <c r="AF63" s="91">
        <v>1148</v>
      </c>
      <c r="AG63" s="91">
        <v>951.5</v>
      </c>
      <c r="AH63" s="91">
        <v>1097</v>
      </c>
      <c r="AI63" s="91">
        <v>1476.5</v>
      </c>
      <c r="AJ63" s="91">
        <v>1064.5</v>
      </c>
      <c r="AK63" s="91">
        <v>1022.5</v>
      </c>
      <c r="AL63" s="91">
        <v>834.5</v>
      </c>
      <c r="AM63" s="91">
        <v>1108.5</v>
      </c>
      <c r="AN63" s="91">
        <v>1218</v>
      </c>
      <c r="AO63" s="91">
        <v>1231</v>
      </c>
      <c r="AP63" s="91">
        <v>1252</v>
      </c>
      <c r="AQ63" s="91">
        <v>1352.5</v>
      </c>
      <c r="AR63" s="91">
        <v>1514.5</v>
      </c>
      <c r="AS63" s="91">
        <v>1698.5</v>
      </c>
      <c r="AT63" s="91">
        <v>1381</v>
      </c>
      <c r="AU63" s="91">
        <v>1415.5</v>
      </c>
      <c r="AV63" s="91">
        <v>1606.5</v>
      </c>
      <c r="AW63" s="91">
        <v>1354</v>
      </c>
      <c r="AX63" s="91">
        <v>1359.5</v>
      </c>
      <c r="AY63" s="91">
        <v>1330</v>
      </c>
      <c r="AZ63" s="91">
        <v>1294</v>
      </c>
      <c r="BA63" s="91">
        <v>1245.5</v>
      </c>
      <c r="BB63" s="91">
        <v>1333.5</v>
      </c>
      <c r="BC63" s="91">
        <v>1077</v>
      </c>
      <c r="BD63" s="91">
        <v>1051.5</v>
      </c>
      <c r="BE63" s="91">
        <v>1150</v>
      </c>
      <c r="BF63" s="91">
        <v>1152.5</v>
      </c>
      <c r="BG63" s="91">
        <v>1060</v>
      </c>
      <c r="BH63" s="91">
        <v>1072.5</v>
      </c>
    </row>
    <row r="64" spans="1:60" s="80" customFormat="1">
      <c r="A64" s="80" t="s">
        <v>261</v>
      </c>
      <c r="B64" s="80" t="s">
        <v>262</v>
      </c>
      <c r="C64" s="80" t="s">
        <v>249</v>
      </c>
      <c r="D64" s="93">
        <f>SUM(D56:D63)</f>
        <v>18224.5</v>
      </c>
      <c r="E64" s="93">
        <f t="shared" ref="E64:BH64" si="12">SUM(E56:E63)</f>
        <v>16949.5</v>
      </c>
      <c r="F64" s="93">
        <f t="shared" si="12"/>
        <v>17014.25</v>
      </c>
      <c r="G64" s="93">
        <f t="shared" si="12"/>
        <v>17708</v>
      </c>
      <c r="H64" s="93">
        <f t="shared" si="12"/>
        <v>18701</v>
      </c>
      <c r="I64" s="93">
        <f t="shared" si="12"/>
        <v>19817</v>
      </c>
      <c r="J64" s="93">
        <f t="shared" si="12"/>
        <v>19295.5</v>
      </c>
      <c r="K64" s="93">
        <f t="shared" si="12"/>
        <v>20229.75</v>
      </c>
      <c r="L64" s="93">
        <f t="shared" si="12"/>
        <v>21341</v>
      </c>
      <c r="M64" s="93">
        <f t="shared" si="12"/>
        <v>21636.75</v>
      </c>
      <c r="N64" s="93">
        <f t="shared" si="12"/>
        <v>18764.75</v>
      </c>
      <c r="O64" s="93">
        <f t="shared" si="12"/>
        <v>17924</v>
      </c>
      <c r="P64" s="93">
        <f t="shared" si="12"/>
        <v>16306</v>
      </c>
      <c r="Q64" s="93">
        <f t="shared" si="12"/>
        <v>17144</v>
      </c>
      <c r="R64" s="93">
        <f t="shared" si="12"/>
        <v>14790.75</v>
      </c>
      <c r="S64" s="93">
        <f t="shared" si="12"/>
        <v>14721.25</v>
      </c>
      <c r="T64" s="93">
        <f t="shared" si="12"/>
        <v>14227.5</v>
      </c>
      <c r="U64" s="93">
        <f t="shared" si="12"/>
        <v>14129.25</v>
      </c>
      <c r="V64" s="93">
        <f t="shared" si="12"/>
        <v>13056.25</v>
      </c>
      <c r="W64" s="93">
        <f t="shared" si="12"/>
        <v>13944.75</v>
      </c>
      <c r="X64" s="93">
        <f t="shared" si="12"/>
        <v>10803.25</v>
      </c>
      <c r="Y64" s="93">
        <f t="shared" si="12"/>
        <v>11619.75</v>
      </c>
      <c r="Z64" s="93">
        <f t="shared" si="12"/>
        <v>11196.75</v>
      </c>
      <c r="AA64" s="93">
        <f t="shared" si="12"/>
        <v>10532.25</v>
      </c>
      <c r="AB64" s="93">
        <f t="shared" si="12"/>
        <v>10458</v>
      </c>
      <c r="AC64" s="93">
        <f t="shared" si="12"/>
        <v>10903.5</v>
      </c>
      <c r="AD64" s="93">
        <f t="shared" si="12"/>
        <v>10238.25</v>
      </c>
      <c r="AE64" s="93">
        <f t="shared" si="12"/>
        <v>10264</v>
      </c>
      <c r="AF64" s="93">
        <f t="shared" si="12"/>
        <v>10341.25</v>
      </c>
      <c r="AG64" s="93">
        <f t="shared" si="12"/>
        <v>9331</v>
      </c>
      <c r="AH64" s="93">
        <f t="shared" si="12"/>
        <v>9099.75</v>
      </c>
      <c r="AI64" s="93">
        <f t="shared" si="12"/>
        <v>9174</v>
      </c>
      <c r="AJ64" s="93">
        <f t="shared" si="12"/>
        <v>7880</v>
      </c>
      <c r="AK64" s="93">
        <f t="shared" si="12"/>
        <v>8025.25</v>
      </c>
      <c r="AL64" s="93">
        <f t="shared" si="12"/>
        <v>8223.25</v>
      </c>
      <c r="AM64" s="93">
        <f t="shared" si="12"/>
        <v>7989.25</v>
      </c>
      <c r="AN64" s="93">
        <f t="shared" si="12"/>
        <v>7936.5</v>
      </c>
      <c r="AO64" s="93">
        <f t="shared" si="12"/>
        <v>7840.5</v>
      </c>
      <c r="AP64" s="93">
        <f t="shared" si="12"/>
        <v>7336.75</v>
      </c>
      <c r="AQ64" s="93">
        <f t="shared" si="12"/>
        <v>7493.75</v>
      </c>
      <c r="AR64" s="93">
        <f t="shared" si="12"/>
        <v>7526</v>
      </c>
      <c r="AS64" s="93">
        <f t="shared" si="12"/>
        <v>7264.75</v>
      </c>
      <c r="AT64" s="93">
        <f t="shared" si="12"/>
        <v>6499.75</v>
      </c>
      <c r="AU64" s="93">
        <f t="shared" si="12"/>
        <v>6474.75</v>
      </c>
      <c r="AV64" s="93">
        <f t="shared" si="12"/>
        <v>6382</v>
      </c>
      <c r="AW64" s="93">
        <f t="shared" si="12"/>
        <v>6012.25</v>
      </c>
      <c r="AX64" s="93">
        <f t="shared" si="12"/>
        <v>6133.5</v>
      </c>
      <c r="AY64" s="93">
        <f t="shared" si="12"/>
        <v>5939.75</v>
      </c>
      <c r="AZ64" s="93">
        <f t="shared" si="12"/>
        <v>5817.75</v>
      </c>
      <c r="BA64" s="93">
        <f t="shared" si="12"/>
        <v>4704.75</v>
      </c>
      <c r="BB64" s="93">
        <f t="shared" si="12"/>
        <v>4788</v>
      </c>
      <c r="BC64" s="93">
        <f t="shared" si="12"/>
        <v>4313</v>
      </c>
      <c r="BD64" s="93">
        <f t="shared" si="12"/>
        <v>4175.5</v>
      </c>
      <c r="BE64" s="93">
        <f t="shared" si="12"/>
        <v>4520.5</v>
      </c>
      <c r="BF64" s="93">
        <f t="shared" si="12"/>
        <v>4471.75</v>
      </c>
      <c r="BG64" s="93">
        <f t="shared" si="12"/>
        <v>4302</v>
      </c>
      <c r="BH64" s="93">
        <f t="shared" si="12"/>
        <v>3999</v>
      </c>
    </row>
    <row r="65" spans="1:60" ht="14.4">
      <c r="B65" s="91"/>
      <c r="C65" s="91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</row>
    <row r="66" spans="1:60">
      <c r="A66" s="81" t="s">
        <v>263</v>
      </c>
      <c r="B66" s="93" t="s">
        <v>248</v>
      </c>
      <c r="C66" s="93" t="s">
        <v>249</v>
      </c>
      <c r="D66" s="91">
        <v>14951</v>
      </c>
      <c r="E66" s="91">
        <v>14523</v>
      </c>
      <c r="F66" s="91">
        <v>14234</v>
      </c>
      <c r="G66" s="91">
        <v>14382</v>
      </c>
      <c r="H66" s="91">
        <v>15272</v>
      </c>
      <c r="I66" s="91">
        <v>15905</v>
      </c>
      <c r="J66" s="91">
        <v>14952</v>
      </c>
      <c r="K66" s="91">
        <v>17183</v>
      </c>
      <c r="L66" s="91">
        <v>17924</v>
      </c>
      <c r="M66" s="91">
        <v>17799</v>
      </c>
      <c r="N66" s="91">
        <v>22675</v>
      </c>
      <c r="O66" s="91">
        <v>21715</v>
      </c>
      <c r="P66" s="91">
        <v>20401</v>
      </c>
      <c r="Q66" s="91">
        <v>22242</v>
      </c>
      <c r="R66" s="91">
        <v>20829</v>
      </c>
      <c r="S66" s="91">
        <v>20148</v>
      </c>
      <c r="T66" s="91">
        <v>20468</v>
      </c>
      <c r="U66" s="91">
        <v>20471</v>
      </c>
      <c r="V66" s="91">
        <v>19417</v>
      </c>
      <c r="W66" s="91">
        <v>20361</v>
      </c>
      <c r="X66" s="91">
        <v>17217</v>
      </c>
      <c r="Y66" s="91">
        <v>17693</v>
      </c>
      <c r="Z66" s="91">
        <v>17336</v>
      </c>
      <c r="AA66" s="91">
        <v>16728</v>
      </c>
      <c r="AB66" s="91">
        <v>16394</v>
      </c>
      <c r="AC66" s="91">
        <v>16718</v>
      </c>
      <c r="AD66" s="91">
        <v>14559</v>
      </c>
      <c r="AE66" s="91">
        <v>15202</v>
      </c>
      <c r="AF66" s="91">
        <v>15117</v>
      </c>
      <c r="AG66" s="91">
        <v>13506</v>
      </c>
      <c r="AH66" s="91">
        <v>12519</v>
      </c>
      <c r="AI66" s="91">
        <v>12373</v>
      </c>
      <c r="AJ66" s="91">
        <v>11779</v>
      </c>
      <c r="AK66" s="91">
        <v>11638</v>
      </c>
      <c r="AL66" s="91">
        <v>12147</v>
      </c>
      <c r="AM66" s="91">
        <v>11255</v>
      </c>
      <c r="AN66" s="91">
        <v>11290</v>
      </c>
      <c r="AO66" s="91">
        <v>11674</v>
      </c>
      <c r="AP66" s="91">
        <v>11145</v>
      </c>
      <c r="AQ66" s="91">
        <v>11182</v>
      </c>
      <c r="AR66" s="91">
        <v>10871</v>
      </c>
      <c r="AS66" s="91">
        <v>10738</v>
      </c>
      <c r="AT66" s="91">
        <v>9838</v>
      </c>
      <c r="AU66" s="91">
        <v>9817</v>
      </c>
      <c r="AV66" s="91">
        <v>9140</v>
      </c>
      <c r="AW66" s="91">
        <v>8858</v>
      </c>
      <c r="AX66" s="91">
        <v>8780</v>
      </c>
      <c r="AY66" s="91">
        <v>8268</v>
      </c>
      <c r="AZ66" s="91">
        <v>8048</v>
      </c>
      <c r="BA66" s="91">
        <v>6444</v>
      </c>
      <c r="BB66" s="91">
        <v>6432</v>
      </c>
      <c r="BC66" s="91">
        <v>6041</v>
      </c>
      <c r="BD66" s="91">
        <v>5920</v>
      </c>
      <c r="BE66" s="91">
        <v>6313</v>
      </c>
      <c r="BF66" s="91">
        <v>6100</v>
      </c>
      <c r="BG66" s="91">
        <v>5963</v>
      </c>
      <c r="BH66" s="91">
        <v>5622</v>
      </c>
    </row>
    <row r="67" spans="1:60">
      <c r="B67" s="91"/>
      <c r="C67" s="91"/>
      <c r="D67" s="91"/>
    </row>
    <row r="68" spans="1:60" ht="14.4">
      <c r="A68" s="81" t="s">
        <v>264</v>
      </c>
      <c r="B68" s="95" t="s">
        <v>265</v>
      </c>
      <c r="C68" s="95" t="s">
        <v>266</v>
      </c>
      <c r="D68" s="97">
        <f t="shared" ref="D68:BH68" si="13">D46/(D46+D52)</f>
        <v>0.80918934738074333</v>
      </c>
      <c r="E68" s="97">
        <f t="shared" si="13"/>
        <v>0.76086082059533389</v>
      </c>
      <c r="F68" s="97">
        <f t="shared" si="13"/>
        <v>0.75040544075333504</v>
      </c>
      <c r="G68" s="97">
        <f t="shared" si="13"/>
        <v>0.76274010192081532</v>
      </c>
      <c r="H68" s="97">
        <f t="shared" si="13"/>
        <v>0.78215786180387947</v>
      </c>
      <c r="I68" s="97">
        <f t="shared" si="13"/>
        <v>0.79024186822351961</v>
      </c>
      <c r="J68" s="97">
        <f t="shared" si="13"/>
        <v>0.77924511466048008</v>
      </c>
      <c r="K68" s="97">
        <f t="shared" si="13"/>
        <v>0.77015087671605276</v>
      </c>
      <c r="L68" s="97">
        <f t="shared" si="13"/>
        <v>0.78465367779589734</v>
      </c>
      <c r="M68" s="97">
        <f t="shared" si="13"/>
        <v>0.79514882350429172</v>
      </c>
      <c r="N68" s="97">
        <f t="shared" si="13"/>
        <v>0.78325673829337972</v>
      </c>
      <c r="O68" s="97">
        <f t="shared" si="13"/>
        <v>0.74211655935281495</v>
      </c>
      <c r="P68" s="97">
        <f t="shared" si="13"/>
        <v>0.73935415188076647</v>
      </c>
      <c r="Q68" s="97">
        <f t="shared" si="13"/>
        <v>0.71648650949016934</v>
      </c>
      <c r="R68" s="97">
        <f t="shared" si="13"/>
        <v>0.65737526553028336</v>
      </c>
      <c r="S68" s="97">
        <f t="shared" si="13"/>
        <v>0.64336287567460515</v>
      </c>
      <c r="T68" s="97">
        <f t="shared" si="13"/>
        <v>0.64429530201342278</v>
      </c>
      <c r="U68" s="97">
        <f t="shared" si="13"/>
        <v>0.62003500026515357</v>
      </c>
      <c r="V68" s="97">
        <f t="shared" si="13"/>
        <v>0.60927372444739902</v>
      </c>
      <c r="W68" s="97">
        <f t="shared" si="13"/>
        <v>0.62852157848822288</v>
      </c>
      <c r="X68" s="97">
        <f t="shared" si="13"/>
        <v>0.53922440325559129</v>
      </c>
      <c r="Y68" s="97">
        <f t="shared" si="13"/>
        <v>0.62011398307524035</v>
      </c>
      <c r="Z68" s="97">
        <f t="shared" si="13"/>
        <v>0.58867157126622405</v>
      </c>
      <c r="AA68" s="97">
        <f t="shared" si="13"/>
        <v>0.59310170880887825</v>
      </c>
      <c r="AB68" s="97">
        <f t="shared" si="13"/>
        <v>0.60476372436632275</v>
      </c>
      <c r="AC68" s="97">
        <f t="shared" si="13"/>
        <v>0.63717706364209203</v>
      </c>
      <c r="AD68" s="97">
        <f t="shared" si="13"/>
        <v>0.63900599068116259</v>
      </c>
      <c r="AE68" s="97">
        <f t="shared" si="13"/>
        <v>0.61349271777960979</v>
      </c>
      <c r="AF68" s="97">
        <f t="shared" si="13"/>
        <v>0.62191990004858744</v>
      </c>
      <c r="AG68" s="97">
        <f t="shared" si="13"/>
        <v>0.69108489019993447</v>
      </c>
      <c r="AH68" s="97">
        <f t="shared" si="13"/>
        <v>0.70630141633449239</v>
      </c>
      <c r="AI68" s="97">
        <f t="shared" si="13"/>
        <v>0.64578434665770912</v>
      </c>
      <c r="AJ68" s="97">
        <f t="shared" si="13"/>
        <v>0.63221343873517788</v>
      </c>
      <c r="AK68" s="97">
        <f t="shared" si="13"/>
        <v>0.63042874340216681</v>
      </c>
      <c r="AL68" s="97">
        <f t="shared" si="13"/>
        <v>0.60991749040111098</v>
      </c>
      <c r="AM68" s="97">
        <f t="shared" si="13"/>
        <v>0.64208359437930729</v>
      </c>
      <c r="AN68" s="97">
        <f t="shared" si="13"/>
        <v>0.63821441912588717</v>
      </c>
      <c r="AO68" s="97">
        <f t="shared" si="13"/>
        <v>0.59686429987385115</v>
      </c>
      <c r="AP68" s="97">
        <f t="shared" si="13"/>
        <v>0.56841682561991769</v>
      </c>
      <c r="AQ68" s="97">
        <f t="shared" si="13"/>
        <v>0.60171977744056648</v>
      </c>
      <c r="AR68" s="97">
        <f t="shared" si="13"/>
        <v>0.60751432816811712</v>
      </c>
      <c r="AS68" s="97">
        <f t="shared" si="13"/>
        <v>0.52130085203408139</v>
      </c>
      <c r="AT68" s="97">
        <f t="shared" si="13"/>
        <v>0.52637201228468422</v>
      </c>
      <c r="AU68" s="97">
        <f t="shared" si="13"/>
        <v>0.52017578905313622</v>
      </c>
      <c r="AV68" s="97">
        <f t="shared" si="13"/>
        <v>0.53436988543371522</v>
      </c>
      <c r="AW68" s="97">
        <f t="shared" si="13"/>
        <v>0.54798714220113276</v>
      </c>
      <c r="AX68" s="97">
        <f t="shared" si="13"/>
        <v>0.590312226437117</v>
      </c>
      <c r="AY68" s="97">
        <f t="shared" si="13"/>
        <v>0.61766065649560797</v>
      </c>
      <c r="AZ68" s="97">
        <f t="shared" si="13"/>
        <v>0.63123944094609119</v>
      </c>
      <c r="BA68" s="97">
        <f t="shared" si="13"/>
        <v>0.58183322987792263</v>
      </c>
      <c r="BB68" s="97">
        <f t="shared" si="13"/>
        <v>0.57318625371234622</v>
      </c>
      <c r="BC68" s="97">
        <f t="shared" si="13"/>
        <v>0.58110014104372354</v>
      </c>
      <c r="BD68" s="97">
        <f t="shared" si="13"/>
        <v>0.578125</v>
      </c>
      <c r="BE68" s="97">
        <f t="shared" si="13"/>
        <v>0.59396751740139209</v>
      </c>
      <c r="BF68" s="97">
        <f t="shared" si="13"/>
        <v>0.62130876446964323</v>
      </c>
      <c r="BG68" s="97">
        <f t="shared" si="13"/>
        <v>0.61897880539499039</v>
      </c>
      <c r="BH68" s="98">
        <f t="shared" si="13"/>
        <v>0.55704697986577179</v>
      </c>
    </row>
    <row r="69" spans="1:60" ht="14.4">
      <c r="A69" s="91" t="str">
        <f>A48</f>
        <v>Chemical and petrochemical</v>
      </c>
      <c r="B69" s="95" t="s">
        <v>265</v>
      </c>
      <c r="C69" s="95" t="s">
        <v>266</v>
      </c>
      <c r="D69" s="97">
        <f t="shared" ref="D69:BH69" si="14">D52/(D46+D52)</f>
        <v>0.19081065261925667</v>
      </c>
      <c r="E69" s="97">
        <f t="shared" si="14"/>
        <v>0.23913917940466614</v>
      </c>
      <c r="F69" s="97">
        <f t="shared" si="14"/>
        <v>0.24959455924666493</v>
      </c>
      <c r="G69" s="97">
        <f t="shared" si="14"/>
        <v>0.23725989807918463</v>
      </c>
      <c r="H69" s="97">
        <f t="shared" si="14"/>
        <v>0.2178421381961205</v>
      </c>
      <c r="I69" s="97">
        <f t="shared" si="14"/>
        <v>0.20975813177648039</v>
      </c>
      <c r="J69" s="97">
        <f t="shared" si="14"/>
        <v>0.22075488533951995</v>
      </c>
      <c r="K69" s="97">
        <f t="shared" si="14"/>
        <v>0.22984912328394727</v>
      </c>
      <c r="L69" s="97">
        <f t="shared" si="14"/>
        <v>0.21534632220410266</v>
      </c>
      <c r="M69" s="97">
        <f t="shared" si="14"/>
        <v>0.20485117649570825</v>
      </c>
      <c r="N69" s="97">
        <f t="shared" si="14"/>
        <v>0.21674326170662028</v>
      </c>
      <c r="O69" s="97">
        <f t="shared" si="14"/>
        <v>0.2578834406471851</v>
      </c>
      <c r="P69" s="97">
        <f t="shared" si="14"/>
        <v>0.26064584811923353</v>
      </c>
      <c r="Q69" s="97">
        <f t="shared" si="14"/>
        <v>0.2835134905098306</v>
      </c>
      <c r="R69" s="97">
        <f t="shared" si="14"/>
        <v>0.34262473446971659</v>
      </c>
      <c r="S69" s="97">
        <f t="shared" si="14"/>
        <v>0.35663712432539485</v>
      </c>
      <c r="T69" s="97">
        <f t="shared" si="14"/>
        <v>0.35570469798657717</v>
      </c>
      <c r="U69" s="97">
        <f t="shared" si="14"/>
        <v>0.37996499973484649</v>
      </c>
      <c r="V69" s="97">
        <f t="shared" si="14"/>
        <v>0.39072627555260098</v>
      </c>
      <c r="W69" s="97">
        <f t="shared" si="14"/>
        <v>0.37147842151177707</v>
      </c>
      <c r="X69" s="97">
        <f t="shared" si="14"/>
        <v>0.46077559674440871</v>
      </c>
      <c r="Y69" s="97">
        <f t="shared" si="14"/>
        <v>0.37988601692475965</v>
      </c>
      <c r="Z69" s="97">
        <f t="shared" si="14"/>
        <v>0.41132842873377595</v>
      </c>
      <c r="AA69" s="97">
        <f t="shared" si="14"/>
        <v>0.40689829119112175</v>
      </c>
      <c r="AB69" s="97">
        <f t="shared" si="14"/>
        <v>0.39523627563367725</v>
      </c>
      <c r="AC69" s="97">
        <f t="shared" si="14"/>
        <v>0.36282293635790802</v>
      </c>
      <c r="AD69" s="97">
        <f t="shared" si="14"/>
        <v>0.36099400931883735</v>
      </c>
      <c r="AE69" s="97">
        <f t="shared" si="14"/>
        <v>0.38650728222039021</v>
      </c>
      <c r="AF69" s="97">
        <f t="shared" si="14"/>
        <v>0.37808009995141251</v>
      </c>
      <c r="AG69" s="97">
        <f t="shared" si="14"/>
        <v>0.30891510980006553</v>
      </c>
      <c r="AH69" s="97">
        <f t="shared" si="14"/>
        <v>0.29369858366550761</v>
      </c>
      <c r="AI69" s="97">
        <f t="shared" si="14"/>
        <v>0.35421565334229088</v>
      </c>
      <c r="AJ69" s="97">
        <f t="shared" si="14"/>
        <v>0.36778656126482212</v>
      </c>
      <c r="AK69" s="97">
        <f t="shared" si="14"/>
        <v>0.36957125659783313</v>
      </c>
      <c r="AL69" s="97">
        <f t="shared" si="14"/>
        <v>0.39008250959888896</v>
      </c>
      <c r="AM69" s="97">
        <f t="shared" si="14"/>
        <v>0.35791640562069277</v>
      </c>
      <c r="AN69" s="97">
        <f t="shared" si="14"/>
        <v>0.36178558087411283</v>
      </c>
      <c r="AO69" s="97">
        <f t="shared" si="14"/>
        <v>0.40313570012614885</v>
      </c>
      <c r="AP69" s="97">
        <f t="shared" si="14"/>
        <v>0.43158317438008231</v>
      </c>
      <c r="AQ69" s="97">
        <f t="shared" si="14"/>
        <v>0.39828022255943346</v>
      </c>
      <c r="AR69" s="97">
        <f t="shared" si="14"/>
        <v>0.39248567183188282</v>
      </c>
      <c r="AS69" s="97">
        <f t="shared" si="14"/>
        <v>0.47869914796591861</v>
      </c>
      <c r="AT69" s="97">
        <f t="shared" si="14"/>
        <v>0.47362798771531578</v>
      </c>
      <c r="AU69" s="97">
        <f t="shared" si="14"/>
        <v>0.47982421094686378</v>
      </c>
      <c r="AV69" s="97">
        <f t="shared" si="14"/>
        <v>0.46563011456628478</v>
      </c>
      <c r="AW69" s="97">
        <f t="shared" si="14"/>
        <v>0.4520128577988673</v>
      </c>
      <c r="AX69" s="97">
        <f t="shared" si="14"/>
        <v>0.409687773562883</v>
      </c>
      <c r="AY69" s="97">
        <f t="shared" si="14"/>
        <v>0.38233934350439203</v>
      </c>
      <c r="AZ69" s="97">
        <f t="shared" si="14"/>
        <v>0.36876055905390875</v>
      </c>
      <c r="BA69" s="97">
        <f t="shared" si="14"/>
        <v>0.41816677012207737</v>
      </c>
      <c r="BB69" s="97">
        <f t="shared" si="14"/>
        <v>0.42681374628765378</v>
      </c>
      <c r="BC69" s="97">
        <f t="shared" si="14"/>
        <v>0.41889985895627646</v>
      </c>
      <c r="BD69" s="97">
        <f t="shared" si="14"/>
        <v>0.421875</v>
      </c>
      <c r="BE69" s="97">
        <f t="shared" si="14"/>
        <v>0.40603248259860791</v>
      </c>
      <c r="BF69" s="97">
        <f t="shared" si="14"/>
        <v>0.37869123553035672</v>
      </c>
      <c r="BG69" s="97">
        <f t="shared" si="14"/>
        <v>0.38102119460500966</v>
      </c>
      <c r="BH69" s="98">
        <f t="shared" si="14"/>
        <v>0.44295302013422821</v>
      </c>
    </row>
    <row r="70" spans="1:60">
      <c r="C70" s="99"/>
      <c r="D70" s="75" t="s">
        <v>267</v>
      </c>
    </row>
    <row r="71" spans="1:60">
      <c r="C71" s="85"/>
      <c r="D71" s="81" t="s">
        <v>268</v>
      </c>
    </row>
    <row r="73" spans="1:60">
      <c r="D73" s="73">
        <v>1960</v>
      </c>
      <c r="E73" s="73">
        <v>1961</v>
      </c>
      <c r="F73" s="73">
        <v>1962</v>
      </c>
      <c r="G73" s="73">
        <v>1963</v>
      </c>
      <c r="H73" s="73">
        <v>1964</v>
      </c>
      <c r="I73" s="73">
        <v>1965</v>
      </c>
      <c r="J73" s="73">
        <v>1966</v>
      </c>
      <c r="K73" s="73">
        <v>1967</v>
      </c>
      <c r="L73" s="73">
        <v>1968</v>
      </c>
      <c r="M73" s="73">
        <v>1969</v>
      </c>
      <c r="N73" s="73">
        <v>1970</v>
      </c>
      <c r="O73" s="73">
        <v>1971</v>
      </c>
      <c r="P73" s="73">
        <v>1972</v>
      </c>
      <c r="Q73" s="73">
        <v>1973</v>
      </c>
      <c r="R73" s="73">
        <v>1974</v>
      </c>
      <c r="S73" s="73">
        <v>1975</v>
      </c>
      <c r="T73" s="73">
        <v>1976</v>
      </c>
      <c r="U73" s="73">
        <v>1977</v>
      </c>
      <c r="V73" s="73">
        <v>1978</v>
      </c>
      <c r="W73" s="73">
        <v>1979</v>
      </c>
      <c r="X73" s="73">
        <v>1980</v>
      </c>
      <c r="Y73" s="73">
        <v>1981</v>
      </c>
      <c r="Z73" s="73">
        <v>1982</v>
      </c>
      <c r="AA73" s="73">
        <v>1983</v>
      </c>
      <c r="AB73" s="73">
        <v>1984</v>
      </c>
      <c r="AC73" s="73">
        <v>1985</v>
      </c>
      <c r="AD73" s="73">
        <v>1986</v>
      </c>
      <c r="AE73" s="73">
        <v>1987</v>
      </c>
      <c r="AF73" s="73">
        <v>1988</v>
      </c>
      <c r="AG73" s="73">
        <v>1989</v>
      </c>
      <c r="AH73" s="73">
        <v>1990</v>
      </c>
      <c r="AI73" s="73">
        <v>1991</v>
      </c>
      <c r="AJ73" s="73">
        <v>1992</v>
      </c>
      <c r="AK73" s="73">
        <v>1993</v>
      </c>
      <c r="AL73" s="73">
        <v>1994</v>
      </c>
      <c r="AM73" s="73">
        <v>1995</v>
      </c>
      <c r="AN73" s="73">
        <v>1996</v>
      </c>
      <c r="AO73" s="73">
        <v>1997</v>
      </c>
      <c r="AP73" s="73">
        <v>1998</v>
      </c>
      <c r="AQ73" s="73">
        <v>1999</v>
      </c>
      <c r="AR73" s="73">
        <v>2000</v>
      </c>
      <c r="AS73" s="73">
        <v>2001</v>
      </c>
      <c r="AT73" s="73">
        <v>2002</v>
      </c>
      <c r="AU73" s="73">
        <v>2003</v>
      </c>
      <c r="AV73" s="73">
        <v>2004</v>
      </c>
      <c r="AW73" s="73">
        <v>2005</v>
      </c>
      <c r="AX73" s="73">
        <v>2006</v>
      </c>
      <c r="AY73" s="73">
        <v>2007</v>
      </c>
      <c r="AZ73" s="73">
        <v>2008</v>
      </c>
      <c r="BA73" s="73">
        <v>2009</v>
      </c>
      <c r="BB73" s="73">
        <v>2010</v>
      </c>
      <c r="BC73" s="73">
        <v>2011</v>
      </c>
      <c r="BD73" s="73">
        <v>2012</v>
      </c>
      <c r="BE73" s="73">
        <v>2013</v>
      </c>
      <c r="BF73" s="73">
        <v>2014</v>
      </c>
      <c r="BG73" s="73">
        <v>2015</v>
      </c>
      <c r="BH73" s="73">
        <v>2016</v>
      </c>
    </row>
    <row r="74" spans="1:60" ht="14.4">
      <c r="A74" s="100"/>
      <c r="B74" s="100"/>
      <c r="C74" s="81" t="s">
        <v>269</v>
      </c>
      <c r="D74" s="101">
        <f>1-D$98/D99</f>
        <v>0.67581033100446697</v>
      </c>
      <c r="E74" s="101">
        <f t="shared" ref="E74:BH76" si="15">1-E$98/E99</f>
        <v>0.67560989577368002</v>
      </c>
      <c r="F74" s="101">
        <f t="shared" si="15"/>
        <v>0.67729927843316917</v>
      </c>
      <c r="G74" s="101">
        <f t="shared" si="15"/>
        <v>0.6775283472683542</v>
      </c>
      <c r="H74" s="101">
        <f t="shared" si="15"/>
        <v>0.67641163669682736</v>
      </c>
      <c r="I74" s="101">
        <f t="shared" si="15"/>
        <v>0.67701294238918797</v>
      </c>
      <c r="J74" s="101">
        <f t="shared" si="15"/>
        <v>0.67644027030122555</v>
      </c>
      <c r="K74" s="101">
        <f t="shared" si="15"/>
        <v>0.67601076623525369</v>
      </c>
      <c r="L74" s="101">
        <f t="shared" si="15"/>
        <v>0.67635436948803118</v>
      </c>
      <c r="M74" s="101">
        <f t="shared" si="15"/>
        <v>0.67655480471881801</v>
      </c>
      <c r="N74" s="101">
        <f t="shared" si="15"/>
        <v>0.67626846867483681</v>
      </c>
      <c r="O74" s="101">
        <f t="shared" si="15"/>
        <v>0.6762971022792349</v>
      </c>
      <c r="P74" s="101">
        <f t="shared" si="15"/>
        <v>0.67655480471881801</v>
      </c>
      <c r="Q74" s="101">
        <f t="shared" si="15"/>
        <v>0.67612530065284626</v>
      </c>
      <c r="R74" s="101">
        <f t="shared" si="15"/>
        <v>0.67644027030122555</v>
      </c>
      <c r="S74" s="101">
        <f t="shared" si="15"/>
        <v>0.67543809414729128</v>
      </c>
      <c r="T74" s="101">
        <f t="shared" si="15"/>
        <v>0.67529492612530073</v>
      </c>
      <c r="U74" s="101">
        <f t="shared" si="15"/>
        <v>0.67669797274080867</v>
      </c>
      <c r="V74" s="101">
        <f t="shared" si="15"/>
        <v>0.67615393425724424</v>
      </c>
      <c r="W74" s="101">
        <f t="shared" si="15"/>
        <v>0.677242011224373</v>
      </c>
      <c r="X74" s="101">
        <f t="shared" si="15"/>
        <v>0.67635436948803118</v>
      </c>
      <c r="Y74" s="101">
        <f t="shared" si="15"/>
        <v>0.67603939983965189</v>
      </c>
      <c r="Z74" s="101">
        <f t="shared" si="15"/>
        <v>0.67623983507043872</v>
      </c>
      <c r="AA74" s="101">
        <f t="shared" si="15"/>
        <v>0.67575306379567057</v>
      </c>
      <c r="AB74" s="101">
        <f t="shared" si="15"/>
        <v>0.6759821326308556</v>
      </c>
      <c r="AC74" s="101">
        <f t="shared" si="15"/>
        <v>0.67709884320238234</v>
      </c>
      <c r="AD74" s="101">
        <f t="shared" si="15"/>
        <v>0.67712747680678054</v>
      </c>
      <c r="AE74" s="101">
        <f t="shared" si="15"/>
        <v>0.67672660634520676</v>
      </c>
      <c r="AF74" s="101">
        <f t="shared" si="15"/>
        <v>0.67612530065284626</v>
      </c>
      <c r="AG74" s="101">
        <f t="shared" si="15"/>
        <v>0.67486542205932887</v>
      </c>
      <c r="AH74" s="101">
        <f t="shared" si="15"/>
        <v>0.67492268926812504</v>
      </c>
      <c r="AI74" s="101">
        <f t="shared" si="15"/>
        <v>0.67626846867483681</v>
      </c>
      <c r="AJ74" s="101">
        <f t="shared" si="15"/>
        <v>0.67578169740006877</v>
      </c>
      <c r="AK74" s="101">
        <f t="shared" si="15"/>
        <v>0.67646890390562375</v>
      </c>
      <c r="AL74" s="101">
        <f t="shared" si="15"/>
        <v>0.67549536135608745</v>
      </c>
      <c r="AM74" s="101">
        <f t="shared" si="15"/>
        <v>0.67469362043294012</v>
      </c>
      <c r="AN74" s="101">
        <f t="shared" si="15"/>
        <v>0.67666933913641047</v>
      </c>
      <c r="AO74" s="101">
        <f t="shared" si="15"/>
        <v>0.6753808269384951</v>
      </c>
      <c r="AP74" s="101">
        <f t="shared" si="15"/>
        <v>0.67526629252090253</v>
      </c>
      <c r="AQ74" s="101">
        <f t="shared" si="15"/>
        <v>0.67495132287252324</v>
      </c>
      <c r="AR74" s="101">
        <f t="shared" si="15"/>
        <v>0.67540946054289319</v>
      </c>
      <c r="AS74" s="101">
        <f t="shared" si="15"/>
        <v>0.67555262856488385</v>
      </c>
      <c r="AT74" s="101">
        <f t="shared" si="15"/>
        <v>0.67518039170770816</v>
      </c>
      <c r="AU74" s="101">
        <f t="shared" si="15"/>
        <v>0.6750658572901157</v>
      </c>
      <c r="AV74" s="101">
        <f t="shared" si="15"/>
        <v>0.67523765891650445</v>
      </c>
      <c r="AW74" s="101">
        <f t="shared" si="15"/>
        <v>0.67509449089451379</v>
      </c>
      <c r="AX74" s="101">
        <f t="shared" si="15"/>
        <v>0.67497995647692133</v>
      </c>
      <c r="AY74" s="101">
        <f t="shared" si="15"/>
        <v>0.67500859008131942</v>
      </c>
      <c r="AZ74" s="101">
        <f t="shared" si="15"/>
        <v>0.67563852937807811</v>
      </c>
      <c r="BA74" s="101">
        <f t="shared" si="15"/>
        <v>0.67555262856488385</v>
      </c>
      <c r="BB74" s="101">
        <f t="shared" si="15"/>
        <v>0.67666933913641047</v>
      </c>
      <c r="BC74" s="101">
        <f t="shared" si="15"/>
        <v>0.67555262856488385</v>
      </c>
      <c r="BD74" s="101">
        <f t="shared" si="15"/>
        <v>0.67592486542205932</v>
      </c>
      <c r="BE74" s="101">
        <f t="shared" si="15"/>
        <v>0.67632573588363309</v>
      </c>
      <c r="BF74" s="101">
        <f t="shared" si="15"/>
        <v>0.67452181880655138</v>
      </c>
      <c r="BG74" s="101">
        <f t="shared" si="15"/>
        <v>0.67583896460886494</v>
      </c>
      <c r="BH74" s="102">
        <f t="shared" si="15"/>
        <v>0.67497995647692133</v>
      </c>
    </row>
    <row r="75" spans="1:60" ht="14.4">
      <c r="A75" s="100"/>
      <c r="B75" s="100"/>
      <c r="C75" s="75" t="s">
        <v>270</v>
      </c>
      <c r="D75" s="101">
        <f>1-D$98/D100</f>
        <v>0.40171211160431208</v>
      </c>
      <c r="E75" s="101">
        <f t="shared" si="15"/>
        <v>0.40134221094905953</v>
      </c>
      <c r="F75" s="101">
        <f t="shared" si="15"/>
        <v>0.40445994504333127</v>
      </c>
      <c r="G75" s="101">
        <f t="shared" si="15"/>
        <v>0.4048826886493343</v>
      </c>
      <c r="H75" s="101">
        <f t="shared" si="15"/>
        <v>0.40282181357006985</v>
      </c>
      <c r="I75" s="101">
        <f t="shared" si="15"/>
        <v>0.40393151553582751</v>
      </c>
      <c r="J75" s="101">
        <f t="shared" si="15"/>
        <v>0.40287465652082011</v>
      </c>
      <c r="K75" s="101">
        <f t="shared" si="15"/>
        <v>0.40208201225956464</v>
      </c>
      <c r="L75" s="101">
        <f t="shared" si="15"/>
        <v>0.40271612766856901</v>
      </c>
      <c r="M75" s="101">
        <f t="shared" si="15"/>
        <v>0.40308602832382168</v>
      </c>
      <c r="N75" s="101">
        <f t="shared" si="15"/>
        <v>0.40255759881631803</v>
      </c>
      <c r="O75" s="101">
        <f t="shared" si="15"/>
        <v>0.40261044176706828</v>
      </c>
      <c r="P75" s="101">
        <f t="shared" si="15"/>
        <v>0.40308602832382168</v>
      </c>
      <c r="Q75" s="101">
        <f t="shared" si="15"/>
        <v>0.4022933840625661</v>
      </c>
      <c r="R75" s="101">
        <f t="shared" si="15"/>
        <v>0.40287465652082011</v>
      </c>
      <c r="S75" s="101">
        <f t="shared" si="15"/>
        <v>0.40102515324455723</v>
      </c>
      <c r="T75" s="101">
        <f t="shared" si="15"/>
        <v>0.40076093849080541</v>
      </c>
      <c r="U75" s="101">
        <f t="shared" si="15"/>
        <v>0.4033502430775735</v>
      </c>
      <c r="V75" s="101">
        <f t="shared" si="15"/>
        <v>0.40234622701331646</v>
      </c>
      <c r="W75" s="101">
        <f t="shared" si="15"/>
        <v>0.40435425914183065</v>
      </c>
      <c r="X75" s="101">
        <f t="shared" si="15"/>
        <v>0.40271612766856901</v>
      </c>
      <c r="Y75" s="101">
        <f t="shared" si="15"/>
        <v>0.402134855210315</v>
      </c>
      <c r="Z75" s="101">
        <f t="shared" si="15"/>
        <v>0.40250475586556766</v>
      </c>
      <c r="AA75" s="101">
        <f t="shared" si="15"/>
        <v>0.40160642570281135</v>
      </c>
      <c r="AB75" s="101">
        <f t="shared" si="15"/>
        <v>0.40202916930881427</v>
      </c>
      <c r="AC75" s="101">
        <f t="shared" si="15"/>
        <v>0.40409004438807872</v>
      </c>
      <c r="AD75" s="101">
        <f t="shared" si="15"/>
        <v>0.40414288733882908</v>
      </c>
      <c r="AE75" s="101">
        <f t="shared" si="15"/>
        <v>0.40340308602832387</v>
      </c>
      <c r="AF75" s="101">
        <f t="shared" si="15"/>
        <v>0.4022933840625661</v>
      </c>
      <c r="AG75" s="101">
        <f t="shared" si="15"/>
        <v>0.39996829422954983</v>
      </c>
      <c r="AH75" s="101">
        <f t="shared" si="15"/>
        <v>0.40007398013105056</v>
      </c>
      <c r="AI75" s="101">
        <f t="shared" si="15"/>
        <v>0.40255759881631803</v>
      </c>
      <c r="AJ75" s="101">
        <f t="shared" si="15"/>
        <v>0.40165926865356172</v>
      </c>
      <c r="AK75" s="101">
        <f t="shared" si="15"/>
        <v>0.40292749947157058</v>
      </c>
      <c r="AL75" s="101">
        <f t="shared" si="15"/>
        <v>0.40113083914605796</v>
      </c>
      <c r="AM75" s="101">
        <f t="shared" si="15"/>
        <v>0.39965123652504764</v>
      </c>
      <c r="AN75" s="101">
        <f t="shared" si="15"/>
        <v>0.40329740012682325</v>
      </c>
      <c r="AO75" s="101">
        <f t="shared" si="15"/>
        <v>0.40091946734305661</v>
      </c>
      <c r="AP75" s="101">
        <f t="shared" si="15"/>
        <v>0.40070809554005504</v>
      </c>
      <c r="AQ75" s="101">
        <f t="shared" si="15"/>
        <v>0.40012682308180103</v>
      </c>
      <c r="AR75" s="101">
        <f t="shared" si="15"/>
        <v>0.40097231029380687</v>
      </c>
      <c r="AS75" s="101">
        <f t="shared" si="15"/>
        <v>0.40123652504755869</v>
      </c>
      <c r="AT75" s="101">
        <f t="shared" si="15"/>
        <v>0.40054956668780395</v>
      </c>
      <c r="AU75" s="101">
        <f t="shared" si="15"/>
        <v>0.40033819488480238</v>
      </c>
      <c r="AV75" s="101">
        <f t="shared" si="15"/>
        <v>0.40065525258930468</v>
      </c>
      <c r="AW75" s="101">
        <f t="shared" si="15"/>
        <v>0.40039103783555285</v>
      </c>
      <c r="AX75" s="101">
        <f t="shared" si="15"/>
        <v>0.40017966603255128</v>
      </c>
      <c r="AY75" s="101">
        <f t="shared" si="15"/>
        <v>0.40023250898330165</v>
      </c>
      <c r="AZ75" s="101">
        <f t="shared" si="15"/>
        <v>0.40139505389980978</v>
      </c>
      <c r="BA75" s="101">
        <f t="shared" si="15"/>
        <v>0.40123652504755869</v>
      </c>
      <c r="BB75" s="101">
        <f t="shared" si="15"/>
        <v>0.40329740012682325</v>
      </c>
      <c r="BC75" s="101">
        <f t="shared" si="15"/>
        <v>0.40123652504755869</v>
      </c>
      <c r="BD75" s="101">
        <f t="shared" si="15"/>
        <v>0.40192348340731354</v>
      </c>
      <c r="BE75" s="101">
        <f t="shared" si="15"/>
        <v>0.40266328471781876</v>
      </c>
      <c r="BF75" s="101">
        <f t="shared" si="15"/>
        <v>0.39933417882054545</v>
      </c>
      <c r="BG75" s="101">
        <f t="shared" si="15"/>
        <v>0.40176495455506245</v>
      </c>
      <c r="BH75" s="102">
        <f t="shared" si="15"/>
        <v>0.40017966603255128</v>
      </c>
    </row>
    <row r="76" spans="1:60" ht="14.4">
      <c r="A76" s="100"/>
      <c r="B76" s="100"/>
      <c r="C76" s="75" t="s">
        <v>271</v>
      </c>
      <c r="D76" s="101">
        <f>1-D$98/D101</f>
        <v>0.24135620477083908</v>
      </c>
      <c r="E76" s="101">
        <f t="shared" si="15"/>
        <v>0.24088716161886903</v>
      </c>
      <c r="F76" s="101">
        <f t="shared" si="15"/>
        <v>0.24484052532833023</v>
      </c>
      <c r="G76" s="101">
        <f t="shared" si="15"/>
        <v>0.24537657464486751</v>
      </c>
      <c r="H76" s="101">
        <f t="shared" si="15"/>
        <v>0.24276333422674901</v>
      </c>
      <c r="I76" s="101">
        <f t="shared" si="15"/>
        <v>0.24417046368265882</v>
      </c>
      <c r="J76" s="101">
        <f t="shared" si="15"/>
        <v>0.24283034039131601</v>
      </c>
      <c r="K76" s="101">
        <f t="shared" si="15"/>
        <v>0.24182524792280891</v>
      </c>
      <c r="L76" s="101">
        <f t="shared" si="15"/>
        <v>0.24262932189761466</v>
      </c>
      <c r="M76" s="101">
        <f t="shared" si="15"/>
        <v>0.24309836504958471</v>
      </c>
      <c r="N76" s="101">
        <f t="shared" si="15"/>
        <v>0.2424283034039133</v>
      </c>
      <c r="O76" s="101">
        <f t="shared" si="15"/>
        <v>0.24249530956848031</v>
      </c>
      <c r="P76" s="101">
        <f t="shared" si="15"/>
        <v>0.24309836504958471</v>
      </c>
      <c r="Q76" s="101">
        <f t="shared" si="15"/>
        <v>0.2420932725810776</v>
      </c>
      <c r="R76" s="101">
        <f t="shared" si="15"/>
        <v>0.24283034039131601</v>
      </c>
      <c r="S76" s="101">
        <f t="shared" si="15"/>
        <v>0.2404851246314661</v>
      </c>
      <c r="T76" s="101">
        <f t="shared" si="15"/>
        <v>0.24015009380863039</v>
      </c>
      <c r="U76" s="101">
        <f t="shared" si="15"/>
        <v>0.24343339587242041</v>
      </c>
      <c r="V76" s="101">
        <f t="shared" si="15"/>
        <v>0.24216027874564461</v>
      </c>
      <c r="W76" s="101">
        <f t="shared" si="15"/>
        <v>0.2447065129991961</v>
      </c>
      <c r="X76" s="101">
        <f t="shared" si="15"/>
        <v>0.24262932189761466</v>
      </c>
      <c r="Y76" s="101">
        <f t="shared" si="15"/>
        <v>0.24189225408737614</v>
      </c>
      <c r="Z76" s="101">
        <f t="shared" si="15"/>
        <v>0.24236129723934619</v>
      </c>
      <c r="AA76" s="101">
        <f t="shared" si="15"/>
        <v>0.24122219244170473</v>
      </c>
      <c r="AB76" s="101">
        <f t="shared" si="15"/>
        <v>0.2417582417582419</v>
      </c>
      <c r="AC76" s="101">
        <f t="shared" si="15"/>
        <v>0.2443714821763604</v>
      </c>
      <c r="AD76" s="101">
        <f t="shared" si="15"/>
        <v>0.24443848834092752</v>
      </c>
      <c r="AE76" s="101">
        <f t="shared" si="15"/>
        <v>0.24350040203698742</v>
      </c>
      <c r="AF76" s="101">
        <f t="shared" si="15"/>
        <v>0.2420932725810776</v>
      </c>
      <c r="AG76" s="101">
        <f t="shared" si="15"/>
        <v>0.23914500134012329</v>
      </c>
      <c r="AH76" s="101">
        <f t="shared" si="15"/>
        <v>0.23927901366925763</v>
      </c>
      <c r="AI76" s="101">
        <f t="shared" si="15"/>
        <v>0.2424283034039133</v>
      </c>
      <c r="AJ76" s="101">
        <f t="shared" si="15"/>
        <v>0.24128919860627185</v>
      </c>
      <c r="AK76" s="101">
        <f t="shared" si="15"/>
        <v>0.24289734655588324</v>
      </c>
      <c r="AL76" s="101">
        <f t="shared" si="15"/>
        <v>0.24061913696060044</v>
      </c>
      <c r="AM76" s="101">
        <f t="shared" si="15"/>
        <v>0.23874296435272058</v>
      </c>
      <c r="AN76" s="101">
        <f t="shared" si="15"/>
        <v>0.24336638970785329</v>
      </c>
      <c r="AO76" s="101">
        <f t="shared" si="15"/>
        <v>0.24035111230233197</v>
      </c>
      <c r="AP76" s="101">
        <f t="shared" si="15"/>
        <v>0.24008308764406339</v>
      </c>
      <c r="AQ76" s="101">
        <f t="shared" si="15"/>
        <v>0.23934601983382486</v>
      </c>
      <c r="AR76" s="101">
        <f t="shared" si="15"/>
        <v>0.24041811846689909</v>
      </c>
      <c r="AS76" s="101">
        <f t="shared" si="15"/>
        <v>0.24075314928973479</v>
      </c>
      <c r="AT76" s="101">
        <f t="shared" si="15"/>
        <v>0.23988206915036192</v>
      </c>
      <c r="AU76" s="101">
        <f t="shared" si="15"/>
        <v>0.23961404449209334</v>
      </c>
      <c r="AV76" s="101">
        <f t="shared" si="15"/>
        <v>0.24001608147949627</v>
      </c>
      <c r="AW76" s="101">
        <f t="shared" si="15"/>
        <v>0.23968105065666057</v>
      </c>
      <c r="AX76" s="101">
        <f t="shared" si="15"/>
        <v>0.23941302599839198</v>
      </c>
      <c r="AY76" s="101">
        <f t="shared" si="15"/>
        <v>0.23948003216295899</v>
      </c>
      <c r="AZ76" s="101">
        <f t="shared" si="15"/>
        <v>0.24095416778343615</v>
      </c>
      <c r="BA76" s="101">
        <f t="shared" si="15"/>
        <v>0.24075314928973479</v>
      </c>
      <c r="BB76" s="101">
        <f t="shared" si="15"/>
        <v>0.24336638970785329</v>
      </c>
      <c r="BC76" s="101">
        <f t="shared" si="15"/>
        <v>0.24075314928973479</v>
      </c>
      <c r="BD76" s="101">
        <f t="shared" si="15"/>
        <v>0.24162422942910755</v>
      </c>
      <c r="BE76" s="101">
        <f t="shared" si="15"/>
        <v>0.24256231573304754</v>
      </c>
      <c r="BF76" s="101">
        <f t="shared" si="15"/>
        <v>0.23834092736531776</v>
      </c>
      <c r="BG76" s="101">
        <f t="shared" si="15"/>
        <v>0.2414232109354062</v>
      </c>
      <c r="BH76" s="102">
        <f t="shared" si="15"/>
        <v>0.23941302599839198</v>
      </c>
    </row>
    <row r="82" spans="3:9">
      <c r="C82" s="75" t="s">
        <v>272</v>
      </c>
      <c r="D82" s="75" t="s">
        <v>273</v>
      </c>
      <c r="G82" s="75" t="s">
        <v>274</v>
      </c>
      <c r="H82" s="75" t="s">
        <v>275</v>
      </c>
    </row>
    <row r="83" spans="3:9">
      <c r="D83" s="75" t="s">
        <v>276</v>
      </c>
      <c r="H83" s="99">
        <v>600</v>
      </c>
      <c r="I83" s="103" t="s">
        <v>277</v>
      </c>
    </row>
    <row r="84" spans="3:9">
      <c r="D84" s="75" t="s">
        <v>278</v>
      </c>
      <c r="H84" s="104">
        <f>H83+273.1</f>
        <v>873.1</v>
      </c>
      <c r="I84" s="75" t="s">
        <v>279</v>
      </c>
    </row>
    <row r="86" spans="3:9">
      <c r="G86" s="75" t="s">
        <v>280</v>
      </c>
      <c r="H86" s="75" t="s">
        <v>281</v>
      </c>
    </row>
    <row r="87" spans="3:9">
      <c r="H87" s="99">
        <v>200</v>
      </c>
      <c r="I87" s="103" t="s">
        <v>277</v>
      </c>
    </row>
    <row r="88" spans="3:9">
      <c r="H88" s="104">
        <f>H87+273.1</f>
        <v>473.1</v>
      </c>
      <c r="I88" s="75" t="s">
        <v>279</v>
      </c>
    </row>
    <row r="90" spans="3:9">
      <c r="G90" s="75" t="s">
        <v>282</v>
      </c>
      <c r="H90" s="75" t="s">
        <v>283</v>
      </c>
    </row>
    <row r="91" spans="3:9">
      <c r="H91" s="99">
        <v>100</v>
      </c>
      <c r="I91" s="103" t="s">
        <v>277</v>
      </c>
    </row>
    <row r="92" spans="3:9">
      <c r="H92" s="104">
        <f>H91+273.1</f>
        <v>373.1</v>
      </c>
      <c r="I92" s="75" t="s">
        <v>279</v>
      </c>
    </row>
    <row r="97" spans="1:60" s="80" customFormat="1">
      <c r="D97" s="72">
        <v>1960</v>
      </c>
      <c r="E97" s="72">
        <v>1961</v>
      </c>
      <c r="F97" s="72">
        <v>1962</v>
      </c>
      <c r="G97" s="72">
        <v>1963</v>
      </c>
      <c r="H97" s="72">
        <v>1964</v>
      </c>
      <c r="I97" s="72">
        <v>1965</v>
      </c>
      <c r="J97" s="72">
        <v>1966</v>
      </c>
      <c r="K97" s="72">
        <v>1967</v>
      </c>
      <c r="L97" s="72">
        <v>1968</v>
      </c>
      <c r="M97" s="72">
        <v>1969</v>
      </c>
      <c r="N97" s="72">
        <v>1970</v>
      </c>
      <c r="O97" s="72">
        <v>1971</v>
      </c>
      <c r="P97" s="72">
        <v>1972</v>
      </c>
      <c r="Q97" s="72">
        <v>1973</v>
      </c>
      <c r="R97" s="72">
        <v>1974</v>
      </c>
      <c r="S97" s="72">
        <v>1975</v>
      </c>
      <c r="T97" s="72">
        <v>1976</v>
      </c>
      <c r="U97" s="72">
        <v>1977</v>
      </c>
      <c r="V97" s="72">
        <v>1978</v>
      </c>
      <c r="W97" s="72">
        <v>1979</v>
      </c>
      <c r="X97" s="72">
        <v>1980</v>
      </c>
      <c r="Y97" s="72">
        <v>1981</v>
      </c>
      <c r="Z97" s="72">
        <v>1982</v>
      </c>
      <c r="AA97" s="72">
        <v>1983</v>
      </c>
      <c r="AB97" s="72">
        <v>1984</v>
      </c>
      <c r="AC97" s="72">
        <v>1985</v>
      </c>
      <c r="AD97" s="72">
        <v>1986</v>
      </c>
      <c r="AE97" s="72">
        <v>1987</v>
      </c>
      <c r="AF97" s="72">
        <v>1988</v>
      </c>
      <c r="AG97" s="72">
        <v>1989</v>
      </c>
      <c r="AH97" s="72">
        <v>1990</v>
      </c>
      <c r="AI97" s="72">
        <v>1991</v>
      </c>
      <c r="AJ97" s="72">
        <v>1992</v>
      </c>
      <c r="AK97" s="72">
        <v>1993</v>
      </c>
      <c r="AL97" s="72">
        <v>1994</v>
      </c>
      <c r="AM97" s="72">
        <v>1995</v>
      </c>
      <c r="AN97" s="72">
        <v>1996</v>
      </c>
      <c r="AO97" s="72">
        <v>1997</v>
      </c>
      <c r="AP97" s="72">
        <v>1998</v>
      </c>
      <c r="AQ97" s="72">
        <v>1999</v>
      </c>
      <c r="AR97" s="72">
        <v>2000</v>
      </c>
      <c r="AS97" s="72">
        <v>2001</v>
      </c>
      <c r="AT97" s="72">
        <v>2002</v>
      </c>
      <c r="AU97" s="72">
        <v>2003</v>
      </c>
      <c r="AV97" s="72">
        <v>2004</v>
      </c>
      <c r="AW97" s="72">
        <v>2005</v>
      </c>
      <c r="AX97" s="72">
        <v>2006</v>
      </c>
      <c r="AY97" s="72">
        <v>2007</v>
      </c>
      <c r="AZ97" s="72">
        <v>2008</v>
      </c>
      <c r="BA97" s="72">
        <v>2009</v>
      </c>
      <c r="BB97" s="72">
        <v>2010</v>
      </c>
      <c r="BC97" s="72">
        <v>2011</v>
      </c>
      <c r="BD97" s="72">
        <v>2012</v>
      </c>
      <c r="BE97" s="72">
        <v>2013</v>
      </c>
      <c r="BF97" s="72">
        <v>2014</v>
      </c>
      <c r="BG97" s="72">
        <v>2015</v>
      </c>
      <c r="BH97" s="72">
        <v>2016</v>
      </c>
    </row>
    <row r="98" spans="1:60">
      <c r="C98" s="81" t="s">
        <v>272</v>
      </c>
      <c r="D98" s="105">
        <v>283.04999999999995</v>
      </c>
      <c r="E98" s="105">
        <v>283.22499999999997</v>
      </c>
      <c r="F98" s="105">
        <v>281.75</v>
      </c>
      <c r="G98" s="105">
        <v>281.54999999999995</v>
      </c>
      <c r="H98" s="105">
        <v>282.52499999999998</v>
      </c>
      <c r="I98" s="105">
        <v>282</v>
      </c>
      <c r="J98" s="105">
        <v>282.5</v>
      </c>
      <c r="K98" s="105">
        <v>282.875</v>
      </c>
      <c r="L98" s="105">
        <v>282.57499999999999</v>
      </c>
      <c r="M98" s="105">
        <v>282.39999999999998</v>
      </c>
      <c r="N98" s="105">
        <v>282.64999999999998</v>
      </c>
      <c r="O98" s="105">
        <v>282.625</v>
      </c>
      <c r="P98" s="105">
        <v>282.39999999999998</v>
      </c>
      <c r="Q98" s="105">
        <v>282.77499999999998</v>
      </c>
      <c r="R98" s="105">
        <v>282.5</v>
      </c>
      <c r="S98" s="105">
        <v>283.375</v>
      </c>
      <c r="T98" s="105">
        <v>283.5</v>
      </c>
      <c r="U98" s="105">
        <v>282.27499999999998</v>
      </c>
      <c r="V98" s="105">
        <v>282.75</v>
      </c>
      <c r="W98" s="105">
        <v>281.79999999999995</v>
      </c>
      <c r="X98" s="105">
        <v>282.57499999999999</v>
      </c>
      <c r="Y98" s="105">
        <v>282.84999999999997</v>
      </c>
      <c r="Z98" s="105">
        <v>282.67499999999995</v>
      </c>
      <c r="AA98" s="105">
        <v>283.09999999999997</v>
      </c>
      <c r="AB98" s="105">
        <v>282.89999999999998</v>
      </c>
      <c r="AC98" s="105">
        <v>281.92499999999995</v>
      </c>
      <c r="AD98" s="105">
        <v>281.89999999999998</v>
      </c>
      <c r="AE98" s="105">
        <v>282.25</v>
      </c>
      <c r="AF98" s="105">
        <v>282.77499999999998</v>
      </c>
      <c r="AG98" s="105">
        <v>283.875</v>
      </c>
      <c r="AH98" s="105">
        <v>283.82499999999999</v>
      </c>
      <c r="AI98" s="105">
        <v>282.64999999999998</v>
      </c>
      <c r="AJ98" s="105">
        <v>283.07499999999999</v>
      </c>
      <c r="AK98" s="105">
        <v>282.47499999999997</v>
      </c>
      <c r="AL98" s="105">
        <v>283.32499999999999</v>
      </c>
      <c r="AM98" s="105">
        <v>284.02499999999998</v>
      </c>
      <c r="AN98" s="105">
        <v>282.29999999999995</v>
      </c>
      <c r="AO98" s="105">
        <v>283.42499999999995</v>
      </c>
      <c r="AP98" s="105">
        <v>283.52499999999998</v>
      </c>
      <c r="AQ98" s="105">
        <v>283.79999999999995</v>
      </c>
      <c r="AR98" s="105">
        <v>283.39999999999998</v>
      </c>
      <c r="AS98" s="105">
        <v>283.27499999999998</v>
      </c>
      <c r="AT98" s="105">
        <v>283.59999999999997</v>
      </c>
      <c r="AU98" s="105">
        <v>283.7</v>
      </c>
      <c r="AV98" s="105">
        <v>283.54999999999995</v>
      </c>
      <c r="AW98" s="105">
        <v>283.67499999999995</v>
      </c>
      <c r="AX98" s="105">
        <v>283.77499999999998</v>
      </c>
      <c r="AY98" s="105">
        <v>283.75</v>
      </c>
      <c r="AZ98" s="105">
        <v>283.2</v>
      </c>
      <c r="BA98" s="105">
        <v>283.27499999999998</v>
      </c>
      <c r="BB98" s="105">
        <v>282.29999999999995</v>
      </c>
      <c r="BC98" s="105">
        <v>283.27499999999998</v>
      </c>
      <c r="BD98" s="105">
        <v>282.95</v>
      </c>
      <c r="BE98" s="105">
        <v>282.59999999999997</v>
      </c>
      <c r="BF98" s="105">
        <v>284.17499999999995</v>
      </c>
      <c r="BG98" s="105">
        <v>283.02499999999998</v>
      </c>
      <c r="BH98" s="106">
        <v>283.77499999999998</v>
      </c>
    </row>
    <row r="99" spans="1:60">
      <c r="C99" s="75" t="s">
        <v>274</v>
      </c>
      <c r="D99" s="105">
        <f t="shared" ref="D99:BH99" si="16">$H$84</f>
        <v>873.1</v>
      </c>
      <c r="E99" s="105">
        <f t="shared" si="16"/>
        <v>873.1</v>
      </c>
      <c r="F99" s="105">
        <f t="shared" si="16"/>
        <v>873.1</v>
      </c>
      <c r="G99" s="105">
        <f t="shared" si="16"/>
        <v>873.1</v>
      </c>
      <c r="H99" s="105">
        <f t="shared" si="16"/>
        <v>873.1</v>
      </c>
      <c r="I99" s="105">
        <f t="shared" si="16"/>
        <v>873.1</v>
      </c>
      <c r="J99" s="105">
        <f t="shared" si="16"/>
        <v>873.1</v>
      </c>
      <c r="K99" s="105">
        <f t="shared" si="16"/>
        <v>873.1</v>
      </c>
      <c r="L99" s="105">
        <f t="shared" si="16"/>
        <v>873.1</v>
      </c>
      <c r="M99" s="105">
        <f t="shared" si="16"/>
        <v>873.1</v>
      </c>
      <c r="N99" s="105">
        <f t="shared" si="16"/>
        <v>873.1</v>
      </c>
      <c r="O99" s="105">
        <f t="shared" si="16"/>
        <v>873.1</v>
      </c>
      <c r="P99" s="105">
        <f t="shared" si="16"/>
        <v>873.1</v>
      </c>
      <c r="Q99" s="105">
        <f t="shared" si="16"/>
        <v>873.1</v>
      </c>
      <c r="R99" s="105">
        <f t="shared" si="16"/>
        <v>873.1</v>
      </c>
      <c r="S99" s="105">
        <f t="shared" si="16"/>
        <v>873.1</v>
      </c>
      <c r="T99" s="105">
        <f t="shared" si="16"/>
        <v>873.1</v>
      </c>
      <c r="U99" s="105">
        <f t="shared" si="16"/>
        <v>873.1</v>
      </c>
      <c r="V99" s="105">
        <f t="shared" si="16"/>
        <v>873.1</v>
      </c>
      <c r="W99" s="105">
        <f t="shared" si="16"/>
        <v>873.1</v>
      </c>
      <c r="X99" s="105">
        <f t="shared" si="16"/>
        <v>873.1</v>
      </c>
      <c r="Y99" s="105">
        <f t="shared" si="16"/>
        <v>873.1</v>
      </c>
      <c r="Z99" s="105">
        <f t="shared" si="16"/>
        <v>873.1</v>
      </c>
      <c r="AA99" s="105">
        <f t="shared" si="16"/>
        <v>873.1</v>
      </c>
      <c r="AB99" s="105">
        <f t="shared" si="16"/>
        <v>873.1</v>
      </c>
      <c r="AC99" s="105">
        <f t="shared" si="16"/>
        <v>873.1</v>
      </c>
      <c r="AD99" s="105">
        <f t="shared" si="16"/>
        <v>873.1</v>
      </c>
      <c r="AE99" s="105">
        <f t="shared" si="16"/>
        <v>873.1</v>
      </c>
      <c r="AF99" s="105">
        <f t="shared" si="16"/>
        <v>873.1</v>
      </c>
      <c r="AG99" s="105">
        <f t="shared" si="16"/>
        <v>873.1</v>
      </c>
      <c r="AH99" s="105">
        <f t="shared" si="16"/>
        <v>873.1</v>
      </c>
      <c r="AI99" s="105">
        <f t="shared" si="16"/>
        <v>873.1</v>
      </c>
      <c r="AJ99" s="105">
        <f t="shared" si="16"/>
        <v>873.1</v>
      </c>
      <c r="AK99" s="105">
        <f t="shared" si="16"/>
        <v>873.1</v>
      </c>
      <c r="AL99" s="105">
        <f t="shared" si="16"/>
        <v>873.1</v>
      </c>
      <c r="AM99" s="105">
        <f t="shared" si="16"/>
        <v>873.1</v>
      </c>
      <c r="AN99" s="105">
        <f t="shared" si="16"/>
        <v>873.1</v>
      </c>
      <c r="AO99" s="105">
        <f t="shared" si="16"/>
        <v>873.1</v>
      </c>
      <c r="AP99" s="105">
        <f t="shared" si="16"/>
        <v>873.1</v>
      </c>
      <c r="AQ99" s="105">
        <f t="shared" si="16"/>
        <v>873.1</v>
      </c>
      <c r="AR99" s="105">
        <f t="shared" si="16"/>
        <v>873.1</v>
      </c>
      <c r="AS99" s="105">
        <f t="shared" si="16"/>
        <v>873.1</v>
      </c>
      <c r="AT99" s="105">
        <f t="shared" si="16"/>
        <v>873.1</v>
      </c>
      <c r="AU99" s="105">
        <f t="shared" si="16"/>
        <v>873.1</v>
      </c>
      <c r="AV99" s="105">
        <f t="shared" si="16"/>
        <v>873.1</v>
      </c>
      <c r="AW99" s="105">
        <f t="shared" si="16"/>
        <v>873.1</v>
      </c>
      <c r="AX99" s="105">
        <f t="shared" si="16"/>
        <v>873.1</v>
      </c>
      <c r="AY99" s="105">
        <f t="shared" si="16"/>
        <v>873.1</v>
      </c>
      <c r="AZ99" s="105">
        <f t="shared" si="16"/>
        <v>873.1</v>
      </c>
      <c r="BA99" s="105">
        <f t="shared" si="16"/>
        <v>873.1</v>
      </c>
      <c r="BB99" s="105">
        <f t="shared" si="16"/>
        <v>873.1</v>
      </c>
      <c r="BC99" s="105">
        <f t="shared" si="16"/>
        <v>873.1</v>
      </c>
      <c r="BD99" s="105">
        <f t="shared" si="16"/>
        <v>873.1</v>
      </c>
      <c r="BE99" s="105">
        <f t="shared" si="16"/>
        <v>873.1</v>
      </c>
      <c r="BF99" s="105">
        <f t="shared" si="16"/>
        <v>873.1</v>
      </c>
      <c r="BG99" s="105">
        <f t="shared" si="16"/>
        <v>873.1</v>
      </c>
      <c r="BH99" s="105">
        <f t="shared" si="16"/>
        <v>873.1</v>
      </c>
    </row>
    <row r="100" spans="1:60">
      <c r="C100" s="75" t="s">
        <v>280</v>
      </c>
      <c r="D100" s="105">
        <f t="shared" ref="D100:BH100" si="17">$H$88</f>
        <v>473.1</v>
      </c>
      <c r="E100" s="105">
        <f t="shared" si="17"/>
        <v>473.1</v>
      </c>
      <c r="F100" s="105">
        <f t="shared" si="17"/>
        <v>473.1</v>
      </c>
      <c r="G100" s="105">
        <f t="shared" si="17"/>
        <v>473.1</v>
      </c>
      <c r="H100" s="105">
        <f t="shared" si="17"/>
        <v>473.1</v>
      </c>
      <c r="I100" s="105">
        <f t="shared" si="17"/>
        <v>473.1</v>
      </c>
      <c r="J100" s="105">
        <f t="shared" si="17"/>
        <v>473.1</v>
      </c>
      <c r="K100" s="105">
        <f t="shared" si="17"/>
        <v>473.1</v>
      </c>
      <c r="L100" s="105">
        <f t="shared" si="17"/>
        <v>473.1</v>
      </c>
      <c r="M100" s="105">
        <f t="shared" si="17"/>
        <v>473.1</v>
      </c>
      <c r="N100" s="105">
        <f t="shared" si="17"/>
        <v>473.1</v>
      </c>
      <c r="O100" s="105">
        <f t="shared" si="17"/>
        <v>473.1</v>
      </c>
      <c r="P100" s="105">
        <f t="shared" si="17"/>
        <v>473.1</v>
      </c>
      <c r="Q100" s="105">
        <f t="shared" si="17"/>
        <v>473.1</v>
      </c>
      <c r="R100" s="105">
        <f t="shared" si="17"/>
        <v>473.1</v>
      </c>
      <c r="S100" s="105">
        <f t="shared" si="17"/>
        <v>473.1</v>
      </c>
      <c r="T100" s="105">
        <f t="shared" si="17"/>
        <v>473.1</v>
      </c>
      <c r="U100" s="105">
        <f t="shared" si="17"/>
        <v>473.1</v>
      </c>
      <c r="V100" s="105">
        <f t="shared" si="17"/>
        <v>473.1</v>
      </c>
      <c r="W100" s="105">
        <f t="shared" si="17"/>
        <v>473.1</v>
      </c>
      <c r="X100" s="105">
        <f t="shared" si="17"/>
        <v>473.1</v>
      </c>
      <c r="Y100" s="105">
        <f t="shared" si="17"/>
        <v>473.1</v>
      </c>
      <c r="Z100" s="105">
        <f t="shared" si="17"/>
        <v>473.1</v>
      </c>
      <c r="AA100" s="105">
        <f t="shared" si="17"/>
        <v>473.1</v>
      </c>
      <c r="AB100" s="105">
        <f t="shared" si="17"/>
        <v>473.1</v>
      </c>
      <c r="AC100" s="105">
        <f t="shared" si="17"/>
        <v>473.1</v>
      </c>
      <c r="AD100" s="105">
        <f t="shared" si="17"/>
        <v>473.1</v>
      </c>
      <c r="AE100" s="105">
        <f t="shared" si="17"/>
        <v>473.1</v>
      </c>
      <c r="AF100" s="105">
        <f t="shared" si="17"/>
        <v>473.1</v>
      </c>
      <c r="AG100" s="105">
        <f t="shared" si="17"/>
        <v>473.1</v>
      </c>
      <c r="AH100" s="105">
        <f t="shared" si="17"/>
        <v>473.1</v>
      </c>
      <c r="AI100" s="105">
        <f t="shared" si="17"/>
        <v>473.1</v>
      </c>
      <c r="AJ100" s="105">
        <f t="shared" si="17"/>
        <v>473.1</v>
      </c>
      <c r="AK100" s="105">
        <f t="shared" si="17"/>
        <v>473.1</v>
      </c>
      <c r="AL100" s="105">
        <f t="shared" si="17"/>
        <v>473.1</v>
      </c>
      <c r="AM100" s="105">
        <f t="shared" si="17"/>
        <v>473.1</v>
      </c>
      <c r="AN100" s="105">
        <f t="shared" si="17"/>
        <v>473.1</v>
      </c>
      <c r="AO100" s="105">
        <f t="shared" si="17"/>
        <v>473.1</v>
      </c>
      <c r="AP100" s="105">
        <f t="shared" si="17"/>
        <v>473.1</v>
      </c>
      <c r="AQ100" s="105">
        <f t="shared" si="17"/>
        <v>473.1</v>
      </c>
      <c r="AR100" s="105">
        <f t="shared" si="17"/>
        <v>473.1</v>
      </c>
      <c r="AS100" s="105">
        <f t="shared" si="17"/>
        <v>473.1</v>
      </c>
      <c r="AT100" s="105">
        <f t="shared" si="17"/>
        <v>473.1</v>
      </c>
      <c r="AU100" s="105">
        <f t="shared" si="17"/>
        <v>473.1</v>
      </c>
      <c r="AV100" s="105">
        <f t="shared" si="17"/>
        <v>473.1</v>
      </c>
      <c r="AW100" s="105">
        <f t="shared" si="17"/>
        <v>473.1</v>
      </c>
      <c r="AX100" s="105">
        <f t="shared" si="17"/>
        <v>473.1</v>
      </c>
      <c r="AY100" s="105">
        <f t="shared" si="17"/>
        <v>473.1</v>
      </c>
      <c r="AZ100" s="105">
        <f t="shared" si="17"/>
        <v>473.1</v>
      </c>
      <c r="BA100" s="105">
        <f t="shared" si="17"/>
        <v>473.1</v>
      </c>
      <c r="BB100" s="105">
        <f t="shared" si="17"/>
        <v>473.1</v>
      </c>
      <c r="BC100" s="105">
        <f t="shared" si="17"/>
        <v>473.1</v>
      </c>
      <c r="BD100" s="105">
        <f t="shared" si="17"/>
        <v>473.1</v>
      </c>
      <c r="BE100" s="105">
        <f t="shared" si="17"/>
        <v>473.1</v>
      </c>
      <c r="BF100" s="105">
        <f t="shared" si="17"/>
        <v>473.1</v>
      </c>
      <c r="BG100" s="105">
        <f t="shared" si="17"/>
        <v>473.1</v>
      </c>
      <c r="BH100" s="105">
        <f t="shared" si="17"/>
        <v>473.1</v>
      </c>
    </row>
    <row r="101" spans="1:60">
      <c r="C101" s="75" t="s">
        <v>282</v>
      </c>
      <c r="D101" s="105">
        <f>$H$92</f>
        <v>373.1</v>
      </c>
      <c r="E101" s="105">
        <f t="shared" ref="E101:BH101" si="18">$H$92</f>
        <v>373.1</v>
      </c>
      <c r="F101" s="105">
        <f t="shared" si="18"/>
        <v>373.1</v>
      </c>
      <c r="G101" s="105">
        <f t="shared" si="18"/>
        <v>373.1</v>
      </c>
      <c r="H101" s="105">
        <f t="shared" si="18"/>
        <v>373.1</v>
      </c>
      <c r="I101" s="105">
        <f t="shared" si="18"/>
        <v>373.1</v>
      </c>
      <c r="J101" s="105">
        <f t="shared" si="18"/>
        <v>373.1</v>
      </c>
      <c r="K101" s="105">
        <f t="shared" si="18"/>
        <v>373.1</v>
      </c>
      <c r="L101" s="105">
        <f t="shared" si="18"/>
        <v>373.1</v>
      </c>
      <c r="M101" s="105">
        <f t="shared" si="18"/>
        <v>373.1</v>
      </c>
      <c r="N101" s="105">
        <f t="shared" si="18"/>
        <v>373.1</v>
      </c>
      <c r="O101" s="105">
        <f t="shared" si="18"/>
        <v>373.1</v>
      </c>
      <c r="P101" s="105">
        <f t="shared" si="18"/>
        <v>373.1</v>
      </c>
      <c r="Q101" s="105">
        <f t="shared" si="18"/>
        <v>373.1</v>
      </c>
      <c r="R101" s="105">
        <f t="shared" si="18"/>
        <v>373.1</v>
      </c>
      <c r="S101" s="105">
        <f t="shared" si="18"/>
        <v>373.1</v>
      </c>
      <c r="T101" s="105">
        <f t="shared" si="18"/>
        <v>373.1</v>
      </c>
      <c r="U101" s="105">
        <f t="shared" si="18"/>
        <v>373.1</v>
      </c>
      <c r="V101" s="105">
        <f t="shared" si="18"/>
        <v>373.1</v>
      </c>
      <c r="W101" s="105">
        <f t="shared" si="18"/>
        <v>373.1</v>
      </c>
      <c r="X101" s="105">
        <f t="shared" si="18"/>
        <v>373.1</v>
      </c>
      <c r="Y101" s="105">
        <f t="shared" si="18"/>
        <v>373.1</v>
      </c>
      <c r="Z101" s="105">
        <f t="shared" si="18"/>
        <v>373.1</v>
      </c>
      <c r="AA101" s="105">
        <f t="shared" si="18"/>
        <v>373.1</v>
      </c>
      <c r="AB101" s="105">
        <f t="shared" si="18"/>
        <v>373.1</v>
      </c>
      <c r="AC101" s="105">
        <f t="shared" si="18"/>
        <v>373.1</v>
      </c>
      <c r="AD101" s="105">
        <f t="shared" si="18"/>
        <v>373.1</v>
      </c>
      <c r="AE101" s="105">
        <f t="shared" si="18"/>
        <v>373.1</v>
      </c>
      <c r="AF101" s="105">
        <f t="shared" si="18"/>
        <v>373.1</v>
      </c>
      <c r="AG101" s="105">
        <f t="shared" si="18"/>
        <v>373.1</v>
      </c>
      <c r="AH101" s="105">
        <f t="shared" si="18"/>
        <v>373.1</v>
      </c>
      <c r="AI101" s="105">
        <f t="shared" si="18"/>
        <v>373.1</v>
      </c>
      <c r="AJ101" s="105">
        <f t="shared" si="18"/>
        <v>373.1</v>
      </c>
      <c r="AK101" s="105">
        <f t="shared" si="18"/>
        <v>373.1</v>
      </c>
      <c r="AL101" s="105">
        <f t="shared" si="18"/>
        <v>373.1</v>
      </c>
      <c r="AM101" s="105">
        <f t="shared" si="18"/>
        <v>373.1</v>
      </c>
      <c r="AN101" s="105">
        <f t="shared" si="18"/>
        <v>373.1</v>
      </c>
      <c r="AO101" s="105">
        <f t="shared" si="18"/>
        <v>373.1</v>
      </c>
      <c r="AP101" s="105">
        <f t="shared" si="18"/>
        <v>373.1</v>
      </c>
      <c r="AQ101" s="105">
        <f t="shared" si="18"/>
        <v>373.1</v>
      </c>
      <c r="AR101" s="105">
        <f t="shared" si="18"/>
        <v>373.1</v>
      </c>
      <c r="AS101" s="105">
        <f t="shared" si="18"/>
        <v>373.1</v>
      </c>
      <c r="AT101" s="105">
        <f t="shared" si="18"/>
        <v>373.1</v>
      </c>
      <c r="AU101" s="105">
        <f t="shared" si="18"/>
        <v>373.1</v>
      </c>
      <c r="AV101" s="105">
        <f t="shared" si="18"/>
        <v>373.1</v>
      </c>
      <c r="AW101" s="105">
        <f t="shared" si="18"/>
        <v>373.1</v>
      </c>
      <c r="AX101" s="105">
        <f t="shared" si="18"/>
        <v>373.1</v>
      </c>
      <c r="AY101" s="105">
        <f t="shared" si="18"/>
        <v>373.1</v>
      </c>
      <c r="AZ101" s="105">
        <f t="shared" si="18"/>
        <v>373.1</v>
      </c>
      <c r="BA101" s="105">
        <f t="shared" si="18"/>
        <v>373.1</v>
      </c>
      <c r="BB101" s="105">
        <f t="shared" si="18"/>
        <v>373.1</v>
      </c>
      <c r="BC101" s="105">
        <f t="shared" si="18"/>
        <v>373.1</v>
      </c>
      <c r="BD101" s="105">
        <f t="shared" si="18"/>
        <v>373.1</v>
      </c>
      <c r="BE101" s="105">
        <f t="shared" si="18"/>
        <v>373.1</v>
      </c>
      <c r="BF101" s="105">
        <f t="shared" si="18"/>
        <v>373.1</v>
      </c>
      <c r="BG101" s="105">
        <f t="shared" si="18"/>
        <v>373.1</v>
      </c>
      <c r="BH101" s="105">
        <f t="shared" si="18"/>
        <v>373.1</v>
      </c>
    </row>
    <row r="104" spans="1:60">
      <c r="A104" s="75">
        <v>1</v>
      </c>
      <c r="C104" s="75" t="s">
        <v>249</v>
      </c>
    </row>
    <row r="105" spans="1:60">
      <c r="A105" s="75">
        <v>41868</v>
      </c>
      <c r="C105" s="75" t="s">
        <v>284</v>
      </c>
    </row>
    <row r="106" spans="1:60">
      <c r="A106" s="80" t="s">
        <v>285</v>
      </c>
      <c r="B106" s="80"/>
      <c r="D106" s="75">
        <v>1960</v>
      </c>
      <c r="E106" s="75">
        <v>1961</v>
      </c>
      <c r="F106" s="75">
        <v>1962</v>
      </c>
      <c r="G106" s="75">
        <v>1963</v>
      </c>
      <c r="H106" s="75">
        <v>1964</v>
      </c>
      <c r="I106" s="75">
        <v>1965</v>
      </c>
      <c r="J106" s="75">
        <v>1966</v>
      </c>
      <c r="K106" s="75">
        <v>1967</v>
      </c>
      <c r="L106" s="75">
        <v>1968</v>
      </c>
      <c r="M106" s="75">
        <v>1969</v>
      </c>
      <c r="N106" s="75">
        <v>1970</v>
      </c>
      <c r="O106" s="75">
        <v>1971</v>
      </c>
      <c r="P106" s="75">
        <v>1972</v>
      </c>
      <c r="Q106" s="75">
        <v>1973</v>
      </c>
      <c r="R106" s="75">
        <v>1974</v>
      </c>
      <c r="S106" s="75">
        <v>1975</v>
      </c>
      <c r="T106" s="75">
        <v>1976</v>
      </c>
      <c r="U106" s="75">
        <v>1977</v>
      </c>
      <c r="V106" s="75">
        <v>1978</v>
      </c>
      <c r="W106" s="75">
        <v>1979</v>
      </c>
      <c r="X106" s="75">
        <v>1980</v>
      </c>
      <c r="Y106" s="75">
        <v>1981</v>
      </c>
      <c r="Z106" s="75">
        <v>1982</v>
      </c>
      <c r="AA106" s="75">
        <v>1983</v>
      </c>
      <c r="AB106" s="75">
        <v>1984</v>
      </c>
      <c r="AC106" s="75">
        <v>1985</v>
      </c>
      <c r="AD106" s="75">
        <v>1986</v>
      </c>
      <c r="AE106" s="75">
        <v>1987</v>
      </c>
      <c r="AF106" s="75">
        <v>1988</v>
      </c>
      <c r="AG106" s="75">
        <v>1989</v>
      </c>
      <c r="AH106" s="75">
        <v>1990</v>
      </c>
      <c r="AI106" s="75">
        <v>1991</v>
      </c>
      <c r="AJ106" s="75">
        <v>1992</v>
      </c>
      <c r="AK106" s="75">
        <v>1993</v>
      </c>
      <c r="AL106" s="75">
        <v>1994</v>
      </c>
      <c r="AM106" s="75">
        <v>1995</v>
      </c>
      <c r="AN106" s="75">
        <v>1996</v>
      </c>
      <c r="AO106" s="75">
        <v>1997</v>
      </c>
      <c r="AP106" s="75">
        <v>1998</v>
      </c>
      <c r="AQ106" s="75">
        <v>1999</v>
      </c>
      <c r="AR106" s="75">
        <v>2000</v>
      </c>
      <c r="AS106" s="75">
        <v>2001</v>
      </c>
      <c r="AT106" s="75">
        <v>2002</v>
      </c>
      <c r="AU106" s="75">
        <v>2003</v>
      </c>
      <c r="AV106" s="75">
        <v>2004</v>
      </c>
      <c r="AW106" s="75">
        <v>2005</v>
      </c>
      <c r="AX106" s="75">
        <v>2006</v>
      </c>
      <c r="AY106" s="75">
        <v>2007</v>
      </c>
      <c r="AZ106" s="75">
        <v>2008</v>
      </c>
      <c r="BA106" s="75">
        <v>2009</v>
      </c>
      <c r="BB106" s="75">
        <v>2010</v>
      </c>
      <c r="BC106" s="75">
        <v>2011</v>
      </c>
      <c r="BD106" s="75">
        <v>2012</v>
      </c>
      <c r="BE106" s="75">
        <v>2013</v>
      </c>
      <c r="BF106" s="75">
        <v>2014</v>
      </c>
      <c r="BG106" s="75">
        <v>2015</v>
      </c>
      <c r="BH106" s="75">
        <v>2016</v>
      </c>
    </row>
    <row r="107" spans="1:60">
      <c r="A107" s="107" t="s">
        <v>286</v>
      </c>
      <c r="B107" s="107"/>
      <c r="D107" s="108">
        <f>D159</f>
        <v>1.7124999999999999</v>
      </c>
      <c r="E107" s="108">
        <f t="shared" ref="E107:BH108" si="19">E159</f>
        <v>1.6744000000000001</v>
      </c>
      <c r="F107" s="108">
        <f t="shared" si="19"/>
        <v>1.5043</v>
      </c>
      <c r="G107" s="108">
        <f t="shared" si="19"/>
        <v>2.1101000000000001</v>
      </c>
      <c r="H107" s="108">
        <f t="shared" si="19"/>
        <v>2.9842</v>
      </c>
      <c r="I107" s="108">
        <f t="shared" si="19"/>
        <v>3.4906999999999999</v>
      </c>
      <c r="J107" s="108">
        <f t="shared" si="19"/>
        <v>3.395</v>
      </c>
      <c r="K107" s="108">
        <f t="shared" si="19"/>
        <v>3.4716</v>
      </c>
      <c r="L107" s="108">
        <f t="shared" si="19"/>
        <v>4.2160000000000002</v>
      </c>
      <c r="M107" s="108">
        <f t="shared" si="19"/>
        <v>4.9370000000000003</v>
      </c>
      <c r="N107" s="108">
        <f t="shared" si="19"/>
        <v>5.5140000000000002</v>
      </c>
      <c r="O107" s="108">
        <f t="shared" si="19"/>
        <v>4.3613</v>
      </c>
      <c r="P107" s="108">
        <f t="shared" si="19"/>
        <v>4.9103999999999992</v>
      </c>
      <c r="Q107" s="108">
        <f t="shared" si="19"/>
        <v>5.2933999999999992</v>
      </c>
      <c r="R107" s="108">
        <f t="shared" si="19"/>
        <v>5.2578000000000005</v>
      </c>
      <c r="S107" s="108">
        <f t="shared" si="19"/>
        <v>5.5618999999999996</v>
      </c>
      <c r="T107" s="108">
        <f t="shared" si="19"/>
        <v>6.7561</v>
      </c>
      <c r="U107" s="108">
        <f t="shared" si="19"/>
        <v>6.2693000000000003</v>
      </c>
      <c r="V107" s="108">
        <f t="shared" si="19"/>
        <v>7.2000999999999999</v>
      </c>
      <c r="W107" s="108">
        <f t="shared" si="19"/>
        <v>7.3849</v>
      </c>
      <c r="X107" s="108">
        <f t="shared" si="19"/>
        <v>4.5786999999999995</v>
      </c>
      <c r="Y107" s="108">
        <f t="shared" si="19"/>
        <v>5.0377999999999998</v>
      </c>
      <c r="Z107" s="108">
        <f t="shared" si="19"/>
        <v>4.6686000000000005</v>
      </c>
      <c r="AA107" s="108">
        <f t="shared" si="19"/>
        <v>4.4908999999999999</v>
      </c>
      <c r="AB107" s="108">
        <f t="shared" si="19"/>
        <v>4.8256999999999994</v>
      </c>
      <c r="AC107" s="108">
        <f t="shared" si="19"/>
        <v>4.5368999999999993</v>
      </c>
      <c r="AD107" s="108">
        <f t="shared" si="19"/>
        <v>4.1646999999999998</v>
      </c>
      <c r="AE107" s="108">
        <f t="shared" si="19"/>
        <v>4.4571999999999994</v>
      </c>
      <c r="AF107" s="108">
        <f t="shared" si="19"/>
        <v>4.9420999999999999</v>
      </c>
      <c r="AG107" s="108">
        <f t="shared" si="19"/>
        <v>5.1126000000000005</v>
      </c>
      <c r="AH107" s="108">
        <f t="shared" si="19"/>
        <v>4.6716000000000006</v>
      </c>
      <c r="AI107" s="108">
        <f t="shared" si="19"/>
        <v>3.9343000000000004</v>
      </c>
      <c r="AJ107" s="108">
        <f t="shared" si="19"/>
        <v>4.1203000000000003</v>
      </c>
      <c r="AK107" s="108">
        <f t="shared" si="19"/>
        <v>4.2948000000000004</v>
      </c>
      <c r="AL107" s="108">
        <f t="shared" si="19"/>
        <v>4.3765000000000001</v>
      </c>
      <c r="AM107" s="108">
        <f t="shared" si="19"/>
        <v>4.5210919999999994</v>
      </c>
      <c r="AN107" s="108">
        <f t="shared" si="19"/>
        <v>4.2333020000000001</v>
      </c>
      <c r="AO107" s="108">
        <f t="shared" si="19"/>
        <v>4.5128999999999992</v>
      </c>
      <c r="AP107" s="108">
        <f t="shared" si="19"/>
        <v>3.888979</v>
      </c>
      <c r="AQ107" s="108">
        <f t="shared" si="19"/>
        <v>3.6622919999999999</v>
      </c>
      <c r="AR107" s="108">
        <f t="shared" si="19"/>
        <v>3.6037440000000003</v>
      </c>
      <c r="AS107" s="108">
        <f t="shared" si="19"/>
        <v>3.2718000000000003</v>
      </c>
      <c r="AT107" s="108">
        <f t="shared" si="19"/>
        <v>2.7113969999999998</v>
      </c>
      <c r="AU107" s="108">
        <f t="shared" si="19"/>
        <v>2.6384949999999998</v>
      </c>
      <c r="AV107" s="108">
        <f t="shared" si="19"/>
        <v>3.0985859999999996</v>
      </c>
      <c r="AW107" s="108">
        <f t="shared" si="19"/>
        <v>2.6890000000000001</v>
      </c>
      <c r="AX107" s="108">
        <f t="shared" si="19"/>
        <v>2.702</v>
      </c>
      <c r="AY107" s="108">
        <f t="shared" si="19"/>
        <v>3.03</v>
      </c>
      <c r="AZ107" s="108">
        <f t="shared" si="19"/>
        <v>3.0430000000000001</v>
      </c>
      <c r="BA107" s="108">
        <f t="shared" si="19"/>
        <v>2.12</v>
      </c>
      <c r="BB107" s="108">
        <f t="shared" si="19"/>
        <v>2.3849999999999998</v>
      </c>
      <c r="BC107" s="108">
        <f t="shared" si="19"/>
        <v>2.532</v>
      </c>
      <c r="BD107" s="108">
        <f t="shared" si="19"/>
        <v>2</v>
      </c>
      <c r="BE107" s="108">
        <f t="shared" si="19"/>
        <v>1.9</v>
      </c>
      <c r="BF107" s="108">
        <f t="shared" si="19"/>
        <v>2</v>
      </c>
      <c r="BG107" s="108">
        <f t="shared" si="19"/>
        <v>1.9</v>
      </c>
      <c r="BH107" s="108">
        <f t="shared" si="19"/>
        <v>1.5</v>
      </c>
    </row>
    <row r="108" spans="1:60">
      <c r="A108" s="109" t="s">
        <v>287</v>
      </c>
      <c r="B108" s="109"/>
      <c r="D108" s="108">
        <f>D160</f>
        <v>18.722099999999998</v>
      </c>
      <c r="E108" s="108">
        <f t="shared" si="19"/>
        <v>18.744400000000002</v>
      </c>
      <c r="F108" s="108">
        <f t="shared" si="19"/>
        <v>17.425800000000002</v>
      </c>
      <c r="G108" s="108">
        <f t="shared" si="19"/>
        <v>18.911200000000001</v>
      </c>
      <c r="H108" s="108">
        <f t="shared" si="19"/>
        <v>21.817899999999998</v>
      </c>
      <c r="I108" s="108">
        <f t="shared" si="19"/>
        <v>22.2425</v>
      </c>
      <c r="J108" s="108">
        <f t="shared" si="19"/>
        <v>20.238599999999998</v>
      </c>
      <c r="K108" s="108">
        <f t="shared" si="19"/>
        <v>19.778199999999998</v>
      </c>
      <c r="L108" s="108">
        <f t="shared" si="19"/>
        <v>20.978400000000001</v>
      </c>
      <c r="M108" s="108">
        <f t="shared" si="19"/>
        <v>21.208599999999997</v>
      </c>
      <c r="N108" s="108">
        <f t="shared" si="19"/>
        <v>22.454999999999998</v>
      </c>
      <c r="O108" s="108">
        <f t="shared" si="19"/>
        <v>19.519800000000004</v>
      </c>
      <c r="P108" s="108">
        <f t="shared" si="19"/>
        <v>20.123900000000003</v>
      </c>
      <c r="Q108" s="108">
        <f t="shared" si="19"/>
        <v>21.0307</v>
      </c>
      <c r="R108" s="108">
        <f t="shared" si="19"/>
        <v>16.895900000000001</v>
      </c>
      <c r="S108" s="108">
        <f t="shared" si="19"/>
        <v>14.5099</v>
      </c>
      <c r="T108" s="108">
        <f t="shared" si="19"/>
        <v>15.496099999999998</v>
      </c>
      <c r="U108" s="108">
        <f t="shared" si="19"/>
        <v>14.1213</v>
      </c>
      <c r="V108" s="108">
        <f t="shared" si="19"/>
        <v>13.099800000000002</v>
      </c>
      <c r="W108" s="108">
        <f t="shared" si="19"/>
        <v>14.0566</v>
      </c>
      <c r="X108" s="108">
        <f t="shared" si="19"/>
        <v>6.6886000000000001</v>
      </c>
      <c r="Y108" s="108">
        <f t="shared" si="19"/>
        <v>10.534600000000001</v>
      </c>
      <c r="Z108" s="108">
        <f t="shared" si="19"/>
        <v>9.0358000000000001</v>
      </c>
      <c r="AA108" s="108">
        <f t="shared" si="19"/>
        <v>10.4955</v>
      </c>
      <c r="AB108" s="108">
        <f t="shared" si="19"/>
        <v>10.295299999999999</v>
      </c>
      <c r="AC108" s="108">
        <f t="shared" si="19"/>
        <v>11.185</v>
      </c>
      <c r="AD108" s="108">
        <f t="shared" si="19"/>
        <v>10.5603</v>
      </c>
      <c r="AE108" s="108">
        <f t="shared" si="19"/>
        <v>12.9565</v>
      </c>
      <c r="AF108" s="108">
        <f t="shared" si="19"/>
        <v>14.007899999999999</v>
      </c>
      <c r="AG108" s="108">
        <f t="shared" si="19"/>
        <v>13.6273</v>
      </c>
      <c r="AH108" s="108">
        <f t="shared" si="19"/>
        <v>13.1691</v>
      </c>
      <c r="AI108" s="108">
        <f t="shared" si="19"/>
        <v>12.540100000000001</v>
      </c>
      <c r="AJ108" s="108">
        <f t="shared" si="19"/>
        <v>12.0916</v>
      </c>
      <c r="AK108" s="108">
        <f t="shared" si="19"/>
        <v>12.3299</v>
      </c>
      <c r="AL108" s="108">
        <f t="shared" si="19"/>
        <v>12.9093</v>
      </c>
      <c r="AM108" s="108">
        <f t="shared" si="19"/>
        <v>13.082508000000001</v>
      </c>
      <c r="AN108" s="108">
        <f t="shared" si="19"/>
        <v>13.758436</v>
      </c>
      <c r="AO108" s="108">
        <f t="shared" si="19"/>
        <v>13.9876</v>
      </c>
      <c r="AP108" s="108">
        <f t="shared" si="19"/>
        <v>13.425998999999999</v>
      </c>
      <c r="AQ108" s="108">
        <f t="shared" si="19"/>
        <v>12.633471</v>
      </c>
      <c r="AR108" s="108">
        <f t="shared" si="19"/>
        <v>11.550868000000001</v>
      </c>
      <c r="AS108" s="108">
        <f t="shared" si="19"/>
        <v>10.270799999999999</v>
      </c>
      <c r="AT108" s="108">
        <f t="shared" si="19"/>
        <v>8.9557160000000007</v>
      </c>
      <c r="AU108" s="108">
        <f t="shared" si="19"/>
        <v>10.629528000000001</v>
      </c>
      <c r="AV108" s="108">
        <f t="shared" si="19"/>
        <v>10.667153000000001</v>
      </c>
      <c r="AW108" s="108">
        <f t="shared" si="19"/>
        <v>10.549723</v>
      </c>
      <c r="AX108" s="108">
        <f t="shared" si="19"/>
        <v>11.202999999999999</v>
      </c>
      <c r="AY108" s="108">
        <f t="shared" si="19"/>
        <v>11.362</v>
      </c>
      <c r="AZ108" s="108">
        <f t="shared" si="19"/>
        <v>10.478</v>
      </c>
      <c r="BA108" s="108">
        <f t="shared" si="19"/>
        <v>7.9550000000000001</v>
      </c>
      <c r="BB108" s="108">
        <f t="shared" si="19"/>
        <v>7.3230000000000004</v>
      </c>
      <c r="BC108" s="108">
        <f t="shared" si="19"/>
        <v>6.9459999999999997</v>
      </c>
      <c r="BD108" s="108">
        <f t="shared" si="19"/>
        <v>7.5</v>
      </c>
      <c r="BE108" s="108">
        <f t="shared" si="19"/>
        <v>9.9</v>
      </c>
      <c r="BF108" s="108">
        <f t="shared" si="19"/>
        <v>10.1</v>
      </c>
      <c r="BG108" s="108">
        <f t="shared" si="19"/>
        <v>9.1</v>
      </c>
      <c r="BH108" s="108">
        <f t="shared" si="19"/>
        <v>6.2</v>
      </c>
    </row>
    <row r="109" spans="1:60" ht="14.4">
      <c r="A109" s="109" t="s">
        <v>288</v>
      </c>
      <c r="B109" s="109"/>
      <c r="D109" s="110">
        <f>D107/D110</f>
        <v>8.3803940375637417E-2</v>
      </c>
      <c r="E109" s="110">
        <f t="shared" ref="E109:BB109" si="20">E107/E110</f>
        <v>8.2002860109311029E-2</v>
      </c>
      <c r="F109" s="110">
        <f t="shared" si="20"/>
        <v>7.9466035572976351E-2</v>
      </c>
      <c r="G109" s="110">
        <f t="shared" si="20"/>
        <v>0.10037913925399476</v>
      </c>
      <c r="H109" s="110">
        <f t="shared" si="20"/>
        <v>0.12032045673551836</v>
      </c>
      <c r="I109" s="110">
        <f t="shared" si="20"/>
        <v>0.13564966657858329</v>
      </c>
      <c r="J109" s="110">
        <f t="shared" si="20"/>
        <v>0.14365141154965813</v>
      </c>
      <c r="K109" s="110">
        <f t="shared" si="20"/>
        <v>0.14931741348312677</v>
      </c>
      <c r="L109" s="110">
        <f t="shared" si="20"/>
        <v>0.1673387736957419</v>
      </c>
      <c r="M109" s="110">
        <f t="shared" si="20"/>
        <v>0.18882718315892544</v>
      </c>
      <c r="N109" s="110">
        <f t="shared" si="20"/>
        <v>0.19714684114555403</v>
      </c>
      <c r="O109" s="110">
        <f t="shared" si="20"/>
        <v>0.18262559094849062</v>
      </c>
      <c r="P109" s="110">
        <f t="shared" si="20"/>
        <v>0.19614688647176071</v>
      </c>
      <c r="Q109" s="110">
        <f t="shared" si="20"/>
        <v>0.20108569713684418</v>
      </c>
      <c r="R109" s="110">
        <f t="shared" si="20"/>
        <v>0.23733281573732606</v>
      </c>
      <c r="S109" s="110">
        <f t="shared" si="20"/>
        <v>0.27710021024521964</v>
      </c>
      <c r="T109" s="110">
        <f t="shared" si="20"/>
        <v>0.30361492346824137</v>
      </c>
      <c r="U109" s="110">
        <f t="shared" si="20"/>
        <v>0.30746030033446786</v>
      </c>
      <c r="V109" s="110">
        <f t="shared" si="20"/>
        <v>0.35468647628806049</v>
      </c>
      <c r="W109" s="110">
        <f t="shared" si="20"/>
        <v>0.34442086607746664</v>
      </c>
      <c r="X109" s="110">
        <f t="shared" si="20"/>
        <v>0.40637064780382171</v>
      </c>
      <c r="Y109" s="110">
        <f t="shared" si="20"/>
        <v>0.3235082582004058</v>
      </c>
      <c r="Z109" s="110">
        <f t="shared" si="20"/>
        <v>0.3406643121917049</v>
      </c>
      <c r="AA109" s="110">
        <f t="shared" si="20"/>
        <v>0.2996650296268617</v>
      </c>
      <c r="AB109" s="110">
        <f t="shared" si="20"/>
        <v>0.31913894583691554</v>
      </c>
      <c r="AC109" s="110">
        <f t="shared" si="20"/>
        <v>0.28857199193481697</v>
      </c>
      <c r="AD109" s="110">
        <f t="shared" si="20"/>
        <v>0.28283191850594225</v>
      </c>
      <c r="AE109" s="110">
        <f t="shared" si="20"/>
        <v>0.25595938829771958</v>
      </c>
      <c r="AF109" s="110">
        <f t="shared" si="20"/>
        <v>0.2607968337730871</v>
      </c>
      <c r="AG109" s="110">
        <f t="shared" si="20"/>
        <v>0.27281895847896737</v>
      </c>
      <c r="AH109" s="110">
        <f t="shared" si="20"/>
        <v>0.26185071213573458</v>
      </c>
      <c r="AI109" s="110">
        <f t="shared" si="20"/>
        <v>0.23881294614674889</v>
      </c>
      <c r="AJ109" s="110">
        <f t="shared" si="20"/>
        <v>0.25415281367390624</v>
      </c>
      <c r="AK109" s="110">
        <f t="shared" si="20"/>
        <v>0.25833849633376843</v>
      </c>
      <c r="AL109" s="110">
        <f t="shared" si="20"/>
        <v>0.25318469495192586</v>
      </c>
      <c r="AM109" s="110">
        <f t="shared" si="20"/>
        <v>0.2568276943352496</v>
      </c>
      <c r="AN109" s="110">
        <f t="shared" si="20"/>
        <v>0.23529144321688103</v>
      </c>
      <c r="AO109" s="110">
        <f t="shared" si="20"/>
        <v>0.24393394773114238</v>
      </c>
      <c r="AP109" s="110">
        <f t="shared" si="20"/>
        <v>0.2246020179754199</v>
      </c>
      <c r="AQ109" s="110">
        <f t="shared" si="20"/>
        <v>0.22473890912625569</v>
      </c>
      <c r="AR109" s="110">
        <f t="shared" si="20"/>
        <v>0.23779849988901067</v>
      </c>
      <c r="AS109" s="110">
        <f t="shared" si="20"/>
        <v>0.24159319480749636</v>
      </c>
      <c r="AT109" s="110">
        <f t="shared" si="20"/>
        <v>0.23239656631422012</v>
      </c>
      <c r="AU109" s="110">
        <f t="shared" si="20"/>
        <v>0.198861201853509</v>
      </c>
      <c r="AV109" s="110">
        <f t="shared" si="20"/>
        <v>0.22509405415866157</v>
      </c>
      <c r="AW109" s="110">
        <f t="shared" si="20"/>
        <v>0.2031162673318265</v>
      </c>
      <c r="AX109" s="110">
        <f t="shared" si="20"/>
        <v>0.19431859043509531</v>
      </c>
      <c r="AY109" s="110">
        <f t="shared" si="20"/>
        <v>0.21053362979433018</v>
      </c>
      <c r="AZ109" s="110">
        <f t="shared" si="20"/>
        <v>0.22505731824569189</v>
      </c>
      <c r="BA109" s="110">
        <f t="shared" si="20"/>
        <v>0.21042183622828786</v>
      </c>
      <c r="BB109" s="110">
        <f t="shared" si="20"/>
        <v>0.2456736711990111</v>
      </c>
      <c r="BC109" s="110">
        <f>BC107/BC110</f>
        <v>0.26714496729267778</v>
      </c>
      <c r="BD109" s="110">
        <f>BD107/BD110</f>
        <v>0.21052631578947367</v>
      </c>
      <c r="BE109" s="110">
        <f>BE107/BE110</f>
        <v>0.16101694915254236</v>
      </c>
      <c r="BF109" s="110">
        <f>BF107/BF110</f>
        <v>0.16528925619834711</v>
      </c>
      <c r="BG109" s="110">
        <f t="shared" ref="BG109:BH109" si="21">BG107/BG110</f>
        <v>0.17272727272727273</v>
      </c>
      <c r="BH109" s="110">
        <f t="shared" si="21"/>
        <v>0.19480519480519481</v>
      </c>
    </row>
    <row r="110" spans="1:60">
      <c r="A110" s="109" t="s">
        <v>289</v>
      </c>
      <c r="B110" s="109"/>
      <c r="D110" s="111">
        <f>SUM(D107:D108)</f>
        <v>20.434599999999996</v>
      </c>
      <c r="E110" s="111">
        <f t="shared" ref="E110:BA110" si="22">SUM(E107:E108)</f>
        <v>20.418800000000001</v>
      </c>
      <c r="F110" s="111">
        <f t="shared" si="22"/>
        <v>18.930100000000003</v>
      </c>
      <c r="G110" s="111">
        <f t="shared" si="22"/>
        <v>21.0213</v>
      </c>
      <c r="H110" s="111">
        <f t="shared" si="22"/>
        <v>24.802099999999999</v>
      </c>
      <c r="I110" s="111">
        <f t="shared" si="22"/>
        <v>25.7332</v>
      </c>
      <c r="J110" s="111">
        <f t="shared" si="22"/>
        <v>23.633599999999998</v>
      </c>
      <c r="K110" s="111">
        <f t="shared" si="22"/>
        <v>23.249799999999997</v>
      </c>
      <c r="L110" s="111">
        <f t="shared" si="22"/>
        <v>25.194400000000002</v>
      </c>
      <c r="M110" s="111">
        <f t="shared" si="22"/>
        <v>26.145599999999998</v>
      </c>
      <c r="N110" s="111">
        <f t="shared" si="22"/>
        <v>27.968999999999998</v>
      </c>
      <c r="O110" s="111">
        <f t="shared" si="22"/>
        <v>23.881100000000004</v>
      </c>
      <c r="P110" s="111">
        <f t="shared" si="22"/>
        <v>25.034300000000002</v>
      </c>
      <c r="Q110" s="111">
        <f t="shared" si="22"/>
        <v>26.324099999999998</v>
      </c>
      <c r="R110" s="111">
        <f t="shared" si="22"/>
        <v>22.153700000000001</v>
      </c>
      <c r="S110" s="111">
        <f t="shared" si="22"/>
        <v>20.0718</v>
      </c>
      <c r="T110" s="111">
        <f t="shared" si="22"/>
        <v>22.252199999999998</v>
      </c>
      <c r="U110" s="111">
        <f t="shared" si="22"/>
        <v>20.390599999999999</v>
      </c>
      <c r="V110" s="111">
        <f t="shared" si="22"/>
        <v>20.299900000000001</v>
      </c>
      <c r="W110" s="111">
        <f t="shared" si="22"/>
        <v>21.441499999999998</v>
      </c>
      <c r="X110" s="111">
        <f t="shared" si="22"/>
        <v>11.267299999999999</v>
      </c>
      <c r="Y110" s="111">
        <f t="shared" si="22"/>
        <v>15.572400000000002</v>
      </c>
      <c r="Z110" s="111">
        <f t="shared" si="22"/>
        <v>13.7044</v>
      </c>
      <c r="AA110" s="111">
        <f t="shared" si="22"/>
        <v>14.9864</v>
      </c>
      <c r="AB110" s="111">
        <f t="shared" si="22"/>
        <v>15.120999999999999</v>
      </c>
      <c r="AC110" s="111">
        <f t="shared" si="22"/>
        <v>15.7219</v>
      </c>
      <c r="AD110" s="111">
        <f t="shared" si="22"/>
        <v>14.725</v>
      </c>
      <c r="AE110" s="111">
        <f t="shared" si="22"/>
        <v>17.413699999999999</v>
      </c>
      <c r="AF110" s="111">
        <f t="shared" si="22"/>
        <v>18.95</v>
      </c>
      <c r="AG110" s="111">
        <f t="shared" si="22"/>
        <v>18.739899999999999</v>
      </c>
      <c r="AH110" s="111">
        <f t="shared" si="22"/>
        <v>17.840700000000002</v>
      </c>
      <c r="AI110" s="111">
        <f t="shared" si="22"/>
        <v>16.474400000000003</v>
      </c>
      <c r="AJ110" s="111">
        <f t="shared" si="22"/>
        <v>16.2119</v>
      </c>
      <c r="AK110" s="111">
        <f t="shared" si="22"/>
        <v>16.624700000000001</v>
      </c>
      <c r="AL110" s="111">
        <f t="shared" si="22"/>
        <v>17.285800000000002</v>
      </c>
      <c r="AM110" s="111">
        <f t="shared" si="22"/>
        <v>17.6036</v>
      </c>
      <c r="AN110" s="111">
        <f t="shared" si="22"/>
        <v>17.991737999999998</v>
      </c>
      <c r="AO110" s="111">
        <f t="shared" si="22"/>
        <v>18.500499999999999</v>
      </c>
      <c r="AP110" s="111">
        <f t="shared" si="22"/>
        <v>17.314978</v>
      </c>
      <c r="AQ110" s="111">
        <f t="shared" si="22"/>
        <v>16.295763000000001</v>
      </c>
      <c r="AR110" s="111">
        <f t="shared" si="22"/>
        <v>15.154612000000002</v>
      </c>
      <c r="AS110" s="111">
        <f t="shared" si="22"/>
        <v>13.5426</v>
      </c>
      <c r="AT110" s="111">
        <f t="shared" si="22"/>
        <v>11.667113000000001</v>
      </c>
      <c r="AU110" s="111">
        <f t="shared" si="22"/>
        <v>13.268022999999999</v>
      </c>
      <c r="AV110" s="111">
        <f t="shared" si="22"/>
        <v>13.765739</v>
      </c>
      <c r="AW110" s="111">
        <f t="shared" si="22"/>
        <v>13.238723</v>
      </c>
      <c r="AX110" s="111">
        <f t="shared" si="22"/>
        <v>13.904999999999999</v>
      </c>
      <c r="AY110" s="111">
        <f t="shared" si="22"/>
        <v>14.391999999999999</v>
      </c>
      <c r="AZ110" s="111">
        <f t="shared" si="22"/>
        <v>13.521000000000001</v>
      </c>
      <c r="BA110" s="111">
        <f t="shared" si="22"/>
        <v>10.074999999999999</v>
      </c>
      <c r="BB110" s="111">
        <f>SUM(BB107:BB108)</f>
        <v>9.7080000000000002</v>
      </c>
      <c r="BC110" s="111">
        <f>SUM(BC107:BC108)</f>
        <v>9.4779999999999998</v>
      </c>
      <c r="BD110" s="111">
        <f>SUM(BD107:BD108)</f>
        <v>9.5</v>
      </c>
      <c r="BE110" s="111">
        <f>SUM(BE107:BE108)</f>
        <v>11.8</v>
      </c>
      <c r="BF110" s="111">
        <f>SUM(BF107:BF108)</f>
        <v>12.1</v>
      </c>
      <c r="BG110" s="111">
        <f t="shared" ref="BG110:BH110" si="23">SUM(BG107:BG108)</f>
        <v>11</v>
      </c>
      <c r="BH110" s="111">
        <f t="shared" si="23"/>
        <v>7.7</v>
      </c>
    </row>
    <row r="111" spans="1:60">
      <c r="A111" s="109" t="s">
        <v>290</v>
      </c>
      <c r="B111" s="109"/>
      <c r="D111" s="111">
        <f>1.3*D107/D110+8.6*(1-D107/D110)</f>
        <v>7.988231235257846</v>
      </c>
      <c r="E111" s="111">
        <f t="shared" ref="E111:BH111" si="24">1.3*E107/E110+8.6*(1-E107/E110)</f>
        <v>8.0013791212020298</v>
      </c>
      <c r="F111" s="111">
        <f t="shared" si="24"/>
        <v>8.0198979403172714</v>
      </c>
      <c r="G111" s="111">
        <f t="shared" si="24"/>
        <v>7.8672322834458379</v>
      </c>
      <c r="H111" s="111">
        <f t="shared" si="24"/>
        <v>7.7216606658307159</v>
      </c>
      <c r="I111" s="111">
        <f t="shared" si="24"/>
        <v>7.6097574339763412</v>
      </c>
      <c r="J111" s="111">
        <f t="shared" si="24"/>
        <v>7.5513446956874954</v>
      </c>
      <c r="K111" s="111">
        <f t="shared" si="24"/>
        <v>7.5099828815731744</v>
      </c>
      <c r="L111" s="111">
        <f t="shared" si="24"/>
        <v>7.3784269520210835</v>
      </c>
      <c r="M111" s="111">
        <f t="shared" si="24"/>
        <v>7.2215615629398444</v>
      </c>
      <c r="N111" s="111">
        <f t="shared" si="24"/>
        <v>7.1608280596374554</v>
      </c>
      <c r="O111" s="111">
        <f t="shared" si="24"/>
        <v>7.2668331860760178</v>
      </c>
      <c r="P111" s="111">
        <f t="shared" si="24"/>
        <v>7.1681277287561462</v>
      </c>
      <c r="Q111" s="111">
        <f t="shared" si="24"/>
        <v>7.132074410901037</v>
      </c>
      <c r="R111" s="111">
        <f t="shared" si="24"/>
        <v>6.8674704451175197</v>
      </c>
      <c r="S111" s="111">
        <f t="shared" si="24"/>
        <v>6.5771684652098976</v>
      </c>
      <c r="T111" s="111">
        <f t="shared" si="24"/>
        <v>6.3836110586818373</v>
      </c>
      <c r="U111" s="111">
        <f t="shared" si="24"/>
        <v>6.3555398075583849</v>
      </c>
      <c r="V111" s="111">
        <f t="shared" si="24"/>
        <v>6.0107887230971588</v>
      </c>
      <c r="W111" s="111">
        <f t="shared" si="24"/>
        <v>6.0857276776344937</v>
      </c>
      <c r="X111" s="111">
        <f t="shared" si="24"/>
        <v>5.6334942710321005</v>
      </c>
      <c r="Y111" s="111">
        <f t="shared" si="24"/>
        <v>6.2383897151370364</v>
      </c>
      <c r="Z111" s="111">
        <f t="shared" si="24"/>
        <v>6.1131505210005539</v>
      </c>
      <c r="AA111" s="111">
        <f t="shared" si="24"/>
        <v>6.4124452837239092</v>
      </c>
      <c r="AB111" s="111">
        <f t="shared" si="24"/>
        <v>6.2702856953905153</v>
      </c>
      <c r="AC111" s="111">
        <f t="shared" si="24"/>
        <v>6.4934244588758361</v>
      </c>
      <c r="AD111" s="111">
        <f t="shared" si="24"/>
        <v>6.5353269949066215</v>
      </c>
      <c r="AE111" s="111">
        <f t="shared" si="24"/>
        <v>6.7314964654266474</v>
      </c>
      <c r="AF111" s="111">
        <f t="shared" si="24"/>
        <v>6.6961831134564642</v>
      </c>
      <c r="AG111" s="111">
        <f t="shared" si="24"/>
        <v>6.6084216031035385</v>
      </c>
      <c r="AH111" s="111">
        <f t="shared" si="24"/>
        <v>6.6884898014091378</v>
      </c>
      <c r="AI111" s="111">
        <f t="shared" si="24"/>
        <v>6.856665493128733</v>
      </c>
      <c r="AJ111" s="111">
        <f t="shared" si="24"/>
        <v>6.7446844601804843</v>
      </c>
      <c r="AK111" s="111">
        <f t="shared" si="24"/>
        <v>6.7141289767634902</v>
      </c>
      <c r="AL111" s="111">
        <f t="shared" si="24"/>
        <v>6.7517517268509408</v>
      </c>
      <c r="AM111" s="111">
        <f t="shared" si="24"/>
        <v>6.7251578313526768</v>
      </c>
      <c r="AN111" s="111">
        <f t="shared" si="24"/>
        <v>6.8823724645167683</v>
      </c>
      <c r="AO111" s="111">
        <f t="shared" si="24"/>
        <v>6.8192821815626603</v>
      </c>
      <c r="AP111" s="111">
        <f t="shared" si="24"/>
        <v>6.9604052687794349</v>
      </c>
      <c r="AQ111" s="111">
        <f t="shared" si="24"/>
        <v>6.9594059633783338</v>
      </c>
      <c r="AR111" s="111">
        <f t="shared" si="24"/>
        <v>6.8640709508102216</v>
      </c>
      <c r="AS111" s="111">
        <f t="shared" si="24"/>
        <v>6.8363696779052772</v>
      </c>
      <c r="AT111" s="111">
        <f t="shared" si="24"/>
        <v>6.9035050659061925</v>
      </c>
      <c r="AU111" s="111">
        <f t="shared" si="24"/>
        <v>7.1483132264693836</v>
      </c>
      <c r="AV111" s="111">
        <f t="shared" si="24"/>
        <v>6.9568134046417702</v>
      </c>
      <c r="AW111" s="111">
        <f t="shared" si="24"/>
        <v>7.1172512484776655</v>
      </c>
      <c r="AX111" s="111">
        <f t="shared" si="24"/>
        <v>7.1814742898238046</v>
      </c>
      <c r="AY111" s="111">
        <f t="shared" si="24"/>
        <v>7.0631045025013899</v>
      </c>
      <c r="AZ111" s="111">
        <f t="shared" si="24"/>
        <v>6.9570815768064493</v>
      </c>
      <c r="BA111" s="111">
        <f t="shared" si="24"/>
        <v>7.0639205955334976</v>
      </c>
      <c r="BB111" s="111">
        <f t="shared" si="24"/>
        <v>6.8065822002472194</v>
      </c>
      <c r="BC111" s="111">
        <f t="shared" si="24"/>
        <v>6.6498417387634516</v>
      </c>
      <c r="BD111" s="111">
        <f t="shared" si="24"/>
        <v>7.0631578947368423</v>
      </c>
      <c r="BE111" s="111">
        <f t="shared" si="24"/>
        <v>7.4245762711864396</v>
      </c>
      <c r="BF111" s="111">
        <f t="shared" si="24"/>
        <v>7.3933884297520658</v>
      </c>
      <c r="BG111" s="111">
        <f t="shared" si="24"/>
        <v>7.3390909090909089</v>
      </c>
      <c r="BH111" s="111">
        <f t="shared" si="24"/>
        <v>7.1779220779220783</v>
      </c>
    </row>
    <row r="112" spans="1:60">
      <c r="A112" s="109" t="s">
        <v>291</v>
      </c>
      <c r="B112" s="109"/>
      <c r="D112" s="112">
        <f>D239</f>
        <v>37.238066700388231</v>
      </c>
      <c r="E112" s="112">
        <f t="shared" ref="E112:P112" si="25">E239</f>
        <v>35.106025711391133</v>
      </c>
      <c r="F112" s="112">
        <f t="shared" si="25"/>
        <v>35.038997153216897</v>
      </c>
      <c r="G112" s="112">
        <f t="shared" si="25"/>
        <v>32.524804152013807</v>
      </c>
      <c r="H112" s="112">
        <f t="shared" si="25"/>
        <v>30.819585856605492</v>
      </c>
      <c r="I112" s="112">
        <f t="shared" si="25"/>
        <v>29.53314511992291</v>
      </c>
      <c r="J112" s="113">
        <f t="shared" si="25"/>
        <v>29.2</v>
      </c>
      <c r="K112" s="113">
        <f t="shared" si="25"/>
        <v>28.9</v>
      </c>
      <c r="L112" s="113">
        <f t="shared" si="25"/>
        <v>28.6</v>
      </c>
      <c r="M112" s="113">
        <f t="shared" si="25"/>
        <v>28.3</v>
      </c>
      <c r="N112" s="112">
        <f t="shared" si="25"/>
        <v>28</v>
      </c>
      <c r="O112" s="112">
        <f t="shared" si="25"/>
        <v>27.71893463868917</v>
      </c>
      <c r="P112" s="114">
        <f t="shared" si="25"/>
        <v>24.903930207754961</v>
      </c>
      <c r="Q112" s="114">
        <f t="shared" ref="Q112:BA112" si="26">Q240</f>
        <v>31.7</v>
      </c>
      <c r="R112" s="112">
        <f t="shared" si="26"/>
        <v>31</v>
      </c>
      <c r="S112" s="112">
        <f t="shared" si="26"/>
        <v>33</v>
      </c>
      <c r="T112" s="112">
        <f t="shared" si="26"/>
        <v>33.5</v>
      </c>
      <c r="U112" s="112">
        <f t="shared" si="26"/>
        <v>31.2</v>
      </c>
      <c r="V112" s="112">
        <f t="shared" si="26"/>
        <v>29.2</v>
      </c>
      <c r="W112" s="112">
        <f t="shared" si="26"/>
        <v>30.2</v>
      </c>
      <c r="X112" s="112">
        <f t="shared" si="26"/>
        <v>27.8</v>
      </c>
      <c r="Y112" s="112">
        <f t="shared" si="26"/>
        <v>26.3</v>
      </c>
      <c r="Z112" s="112">
        <f t="shared" si="26"/>
        <v>25</v>
      </c>
      <c r="AA112" s="112">
        <f t="shared" si="26"/>
        <v>24.5</v>
      </c>
      <c r="AB112" s="112">
        <f t="shared" si="26"/>
        <v>23.7</v>
      </c>
      <c r="AC112" s="112">
        <f t="shared" si="26"/>
        <v>24</v>
      </c>
      <c r="AD112" s="112">
        <f t="shared" si="26"/>
        <v>22.5</v>
      </c>
      <c r="AE112" s="112">
        <f t="shared" si="26"/>
        <v>22.6</v>
      </c>
      <c r="AF112" s="112">
        <f t="shared" si="26"/>
        <v>21.4</v>
      </c>
      <c r="AG112" s="112">
        <f t="shared" si="26"/>
        <v>22.4</v>
      </c>
      <c r="AH112" s="112">
        <f t="shared" si="26"/>
        <v>21.6</v>
      </c>
      <c r="AI112" s="112">
        <f t="shared" si="26"/>
        <v>22</v>
      </c>
      <c r="AJ112" s="112">
        <f t="shared" si="26"/>
        <v>21</v>
      </c>
      <c r="AK112" s="112">
        <f t="shared" si="26"/>
        <v>20.3</v>
      </c>
      <c r="AL112" s="112">
        <f t="shared" si="26"/>
        <v>20</v>
      </c>
      <c r="AM112" s="112">
        <f t="shared" si="26"/>
        <v>19.8</v>
      </c>
      <c r="AN112" s="112">
        <f t="shared" si="26"/>
        <v>19.5</v>
      </c>
      <c r="AO112" s="112">
        <f t="shared" si="26"/>
        <v>19.399999999999999</v>
      </c>
      <c r="AP112" s="112">
        <f t="shared" si="26"/>
        <v>20</v>
      </c>
      <c r="AQ112" s="112">
        <f t="shared" si="26"/>
        <v>20.2</v>
      </c>
      <c r="AR112" s="112">
        <f t="shared" si="26"/>
        <v>19.8</v>
      </c>
      <c r="AS112" s="112">
        <f t="shared" si="26"/>
        <v>20</v>
      </c>
      <c r="AT112" s="112">
        <f t="shared" si="26"/>
        <v>19</v>
      </c>
      <c r="AU112" s="112">
        <f t="shared" si="26"/>
        <v>20.5</v>
      </c>
      <c r="AV112" s="112">
        <f t="shared" si="26"/>
        <v>19.3</v>
      </c>
      <c r="AW112" s="112">
        <f t="shared" si="26"/>
        <v>19.8</v>
      </c>
      <c r="AX112" s="112">
        <f t="shared" si="26"/>
        <v>19.399999999999999</v>
      </c>
      <c r="AY112" s="112">
        <f t="shared" si="26"/>
        <v>18.600000000000001</v>
      </c>
      <c r="AZ112" s="112">
        <f t="shared" si="26"/>
        <v>18.7</v>
      </c>
      <c r="BA112" s="112">
        <f t="shared" si="26"/>
        <v>19.2</v>
      </c>
      <c r="BB112" s="112">
        <f>BB240</f>
        <v>19.399999999999999</v>
      </c>
      <c r="BC112" s="112">
        <f>BC240</f>
        <v>19</v>
      </c>
      <c r="BD112" s="112">
        <f>BD240</f>
        <v>19.600000000000001</v>
      </c>
      <c r="BE112" s="112">
        <f>BE240</f>
        <v>19</v>
      </c>
      <c r="BF112" s="112">
        <f>BF240</f>
        <v>18.5</v>
      </c>
      <c r="BG112" s="112">
        <f t="shared" ref="BG112:BH112" si="27">BG240</f>
        <v>18</v>
      </c>
      <c r="BH112" s="112">
        <f t="shared" si="27"/>
        <v>17.8</v>
      </c>
    </row>
    <row r="113" spans="1:60">
      <c r="A113" s="109" t="s">
        <v>292</v>
      </c>
      <c r="B113" s="109"/>
      <c r="D113" s="104">
        <v>820</v>
      </c>
      <c r="E113" s="104">
        <v>784</v>
      </c>
      <c r="F113" s="104">
        <v>796</v>
      </c>
      <c r="G113" s="104">
        <v>899</v>
      </c>
      <c r="H113" s="104">
        <v>1010</v>
      </c>
      <c r="I113" s="104">
        <v>1085</v>
      </c>
      <c r="J113" s="104">
        <v>1056</v>
      </c>
      <c r="K113" s="104">
        <v>1017</v>
      </c>
      <c r="L113" s="104">
        <v>1109</v>
      </c>
      <c r="M113" s="104">
        <v>1171</v>
      </c>
      <c r="N113" s="104">
        <v>1184</v>
      </c>
      <c r="O113" s="104">
        <v>1076</v>
      </c>
      <c r="P113" s="104">
        <v>1052</v>
      </c>
      <c r="Q113" s="104">
        <v>1119</v>
      </c>
      <c r="R113" s="104">
        <v>1044</v>
      </c>
      <c r="S113" s="104">
        <v>1001</v>
      </c>
      <c r="T113" s="104">
        <v>1132</v>
      </c>
      <c r="U113" s="104">
        <v>1105</v>
      </c>
      <c r="V113" s="104">
        <v>1237</v>
      </c>
      <c r="W113" s="104">
        <v>1261</v>
      </c>
      <c r="X113" s="104">
        <v>865</v>
      </c>
      <c r="Y113" s="104">
        <v>962</v>
      </c>
      <c r="Z113" s="104">
        <v>892</v>
      </c>
      <c r="AA113" s="104">
        <v>861</v>
      </c>
      <c r="AB113" s="104">
        <v>784</v>
      </c>
      <c r="AC113" s="104">
        <v>773</v>
      </c>
      <c r="AD113" s="104">
        <v>740</v>
      </c>
      <c r="AE113" s="104">
        <v>793</v>
      </c>
      <c r="AF113" s="104">
        <v>844</v>
      </c>
      <c r="AG113" s="104">
        <v>857</v>
      </c>
      <c r="AH113" s="104">
        <v>780</v>
      </c>
      <c r="AI113" s="104">
        <v>771</v>
      </c>
      <c r="AJ113" s="104">
        <v>731</v>
      </c>
      <c r="AK113" s="104">
        <v>783</v>
      </c>
      <c r="AL113" s="104">
        <v>823</v>
      </c>
      <c r="AM113" s="104">
        <v>838</v>
      </c>
      <c r="AN113" s="104">
        <v>862</v>
      </c>
      <c r="AO113" s="104">
        <v>835</v>
      </c>
      <c r="AP113" s="104">
        <v>823</v>
      </c>
      <c r="AQ113" s="104">
        <v>841</v>
      </c>
      <c r="AR113" s="104">
        <v>546</v>
      </c>
      <c r="AS113" s="104">
        <v>456</v>
      </c>
      <c r="AT113" s="104">
        <v>438</v>
      </c>
      <c r="AU113" s="104">
        <v>467</v>
      </c>
      <c r="AV113" s="104">
        <v>465</v>
      </c>
      <c r="AW113" s="104">
        <v>432</v>
      </c>
      <c r="AX113" s="104">
        <v>504</v>
      </c>
      <c r="AY113" s="104">
        <v>425</v>
      </c>
      <c r="AZ113" s="104">
        <v>400</v>
      </c>
      <c r="BA113" s="104">
        <v>311</v>
      </c>
      <c r="BB113" s="104">
        <v>330</v>
      </c>
      <c r="BC113" s="104">
        <v>331</v>
      </c>
      <c r="BD113" s="104">
        <v>308</v>
      </c>
      <c r="BE113" s="104">
        <v>327</v>
      </c>
      <c r="BF113" s="104">
        <v>326</v>
      </c>
      <c r="BG113" s="104">
        <v>317</v>
      </c>
      <c r="BH113" s="104">
        <v>245</v>
      </c>
    </row>
    <row r="114" spans="1:60" ht="14.4">
      <c r="A114" s="109" t="s">
        <v>293</v>
      </c>
      <c r="B114" s="109"/>
      <c r="D114" s="115">
        <v>0.3000813828993843</v>
      </c>
      <c r="E114" s="115">
        <v>0.30376820271778882</v>
      </c>
      <c r="F114" s="115">
        <v>0.30625265620825398</v>
      </c>
      <c r="G114" s="115">
        <v>0.30406770905126068</v>
      </c>
      <c r="H114" s="115">
        <v>0.31112012028402342</v>
      </c>
      <c r="I114" s="115">
        <v>0.30948699382940298</v>
      </c>
      <c r="J114" s="115">
        <v>0.30833634776479746</v>
      </c>
      <c r="K114" s="115">
        <v>0.31663569624760507</v>
      </c>
      <c r="L114" s="115">
        <v>0.34390228607201828</v>
      </c>
      <c r="M114" s="115">
        <v>0.33220532683282805</v>
      </c>
      <c r="N114" s="115">
        <v>0.32727862367450172</v>
      </c>
      <c r="O114" s="115">
        <v>0.31480608985188885</v>
      </c>
      <c r="P114" s="115">
        <v>0.32641313426698498</v>
      </c>
      <c r="Q114" s="115">
        <v>0.33403696725366427</v>
      </c>
      <c r="R114" s="115">
        <v>0.32438080159464472</v>
      </c>
      <c r="S114" s="115">
        <v>0.33906581474279279</v>
      </c>
      <c r="T114" s="115">
        <v>0.33322305255682266</v>
      </c>
      <c r="U114" s="115">
        <v>0.33166756000119746</v>
      </c>
      <c r="V114" s="115">
        <v>0.34245227525291827</v>
      </c>
      <c r="W114" s="115">
        <v>0.33902684670243638</v>
      </c>
      <c r="X114" s="115">
        <v>0.34307413103242029</v>
      </c>
      <c r="Y114" s="115">
        <v>0.34715383590157711</v>
      </c>
      <c r="Z114" s="115">
        <v>0.34453790250025773</v>
      </c>
      <c r="AA114" s="115">
        <v>0.34862028352391633</v>
      </c>
      <c r="AB114" s="115">
        <v>0.35070609372810929</v>
      </c>
      <c r="AC114" s="115">
        <v>0.35370366447963364</v>
      </c>
      <c r="AD114" s="115">
        <v>0.35395717028129392</v>
      </c>
      <c r="AE114" s="115">
        <v>0.35628176980542325</v>
      </c>
      <c r="AF114" s="115">
        <v>0.36110224232786814</v>
      </c>
      <c r="AG114" s="115">
        <v>0.35917118680650967</v>
      </c>
      <c r="AH114" s="115">
        <v>0.36136445799780997</v>
      </c>
      <c r="AI114" s="115">
        <v>0.36566137684001582</v>
      </c>
      <c r="AJ114" s="115">
        <v>0.35784260653502409</v>
      </c>
      <c r="AK114" s="115">
        <v>0.36391032161757803</v>
      </c>
      <c r="AL114" s="115">
        <v>0.36874213035560394</v>
      </c>
      <c r="AM114" s="115">
        <v>0.38004230674981454</v>
      </c>
      <c r="AN114" s="115">
        <v>0.38668507963288795</v>
      </c>
      <c r="AO114" s="115">
        <v>0.39124185266013856</v>
      </c>
      <c r="AP114" s="115">
        <v>0.39253459217729186</v>
      </c>
      <c r="AQ114" s="115">
        <v>0.4053305949382881</v>
      </c>
      <c r="AR114" s="115">
        <v>0.40700887823513399</v>
      </c>
      <c r="AS114" s="115">
        <v>0.40159332857779889</v>
      </c>
      <c r="AT114" s="115">
        <v>0.41101109409935832</v>
      </c>
      <c r="AU114" s="115">
        <v>0.40550334416672568</v>
      </c>
      <c r="AV114" s="115">
        <v>0.40821994255516875</v>
      </c>
      <c r="AW114" s="115">
        <v>0.40320494576205557</v>
      </c>
      <c r="AX114" s="115">
        <v>0.40017094835584571</v>
      </c>
      <c r="AY114" s="115">
        <v>0.41763043907610037</v>
      </c>
      <c r="AZ114" s="115">
        <v>0.43321873057904453</v>
      </c>
      <c r="BA114" s="115">
        <v>0.42911089077319114</v>
      </c>
      <c r="BB114" s="115">
        <v>0.43437540324598106</v>
      </c>
      <c r="BC114" s="115">
        <v>0.431112378360269</v>
      </c>
      <c r="BD114" s="115">
        <v>0.41637355771956719</v>
      </c>
      <c r="BE114" s="115">
        <v>0.42416705748010364</v>
      </c>
      <c r="BF114" s="115">
        <v>0.43599128824026706</v>
      </c>
      <c r="BG114" s="115">
        <v>0.44512135226919347</v>
      </c>
      <c r="BH114" s="115">
        <v>0.46507199671781213</v>
      </c>
    </row>
    <row r="115" spans="1:60">
      <c r="A115" s="109" t="s">
        <v>294</v>
      </c>
      <c r="B115" s="109"/>
      <c r="D115" s="105">
        <f>(1-D114)*D113*$A$105/(D114*1000000*D110)</f>
        <v>3.9186675429449593</v>
      </c>
      <c r="E115" s="105">
        <f t="shared" ref="E115:BA115" si="28">(1-E114)*E113*$A$105/(E114*1000000*E110)</f>
        <v>3.6845088593917543</v>
      </c>
      <c r="F115" s="105">
        <f t="shared" si="28"/>
        <v>3.9880798407908906</v>
      </c>
      <c r="G115" s="105">
        <f t="shared" si="28"/>
        <v>4.0980667036965013</v>
      </c>
      <c r="H115" s="105">
        <f t="shared" si="28"/>
        <v>3.7751180553660788</v>
      </c>
      <c r="I115" s="105">
        <f t="shared" si="28"/>
        <v>3.9386520774552194</v>
      </c>
      <c r="J115" s="105">
        <f t="shared" si="28"/>
        <v>4.1964928024790193</v>
      </c>
      <c r="K115" s="105">
        <f t="shared" si="28"/>
        <v>3.9525408069797865</v>
      </c>
      <c r="L115" s="105">
        <f t="shared" si="28"/>
        <v>3.5159541518034301</v>
      </c>
      <c r="M115" s="105">
        <f t="shared" si="28"/>
        <v>3.7694401873448991</v>
      </c>
      <c r="N115" s="105">
        <f t="shared" si="28"/>
        <v>3.6431291452275798</v>
      </c>
      <c r="O115" s="105">
        <f t="shared" si="28"/>
        <v>4.1059204315379763</v>
      </c>
      <c r="P115" s="105">
        <f t="shared" si="28"/>
        <v>3.63068430333646</v>
      </c>
      <c r="Q115" s="105">
        <f t="shared" si="28"/>
        <v>3.5482512173496747</v>
      </c>
      <c r="R115" s="105">
        <f t="shared" si="28"/>
        <v>4.109446049001134</v>
      </c>
      <c r="S115" s="105">
        <f t="shared" si="28"/>
        <v>4.0700915846314647</v>
      </c>
      <c r="T115" s="105">
        <f t="shared" si="28"/>
        <v>4.2618800821445868</v>
      </c>
      <c r="U115" s="105">
        <f t="shared" si="28"/>
        <v>4.5719769715376266</v>
      </c>
      <c r="V115" s="105">
        <f t="shared" si="28"/>
        <v>4.8987495878312837</v>
      </c>
      <c r="W115" s="105">
        <f t="shared" si="28"/>
        <v>4.8005596180869352</v>
      </c>
      <c r="X115" s="105">
        <f t="shared" si="28"/>
        <v>6.1546995526760622</v>
      </c>
      <c r="Y115" s="105">
        <f t="shared" si="28"/>
        <v>4.8639670603363765</v>
      </c>
      <c r="Z115" s="105">
        <f t="shared" si="28"/>
        <v>5.1843894909976376</v>
      </c>
      <c r="AA115" s="105">
        <f t="shared" si="28"/>
        <v>4.4943783093924026</v>
      </c>
      <c r="AB115" s="105">
        <f t="shared" si="28"/>
        <v>4.0189793957059567</v>
      </c>
      <c r="AC115" s="105">
        <f t="shared" si="28"/>
        <v>3.7613938838793932</v>
      </c>
      <c r="AD115" s="105">
        <f t="shared" si="28"/>
        <v>3.8403360401321032</v>
      </c>
      <c r="AE115" s="105">
        <f t="shared" si="28"/>
        <v>3.4448201448209006</v>
      </c>
      <c r="AF115" s="105">
        <f t="shared" si="28"/>
        <v>3.2992606437846494</v>
      </c>
      <c r="AG115" s="105">
        <f t="shared" si="28"/>
        <v>3.416145100793873</v>
      </c>
      <c r="AH115" s="105">
        <f t="shared" si="28"/>
        <v>3.2349872785720795</v>
      </c>
      <c r="AI115" s="105">
        <f t="shared" si="28"/>
        <v>3.399139999147105</v>
      </c>
      <c r="AJ115" s="105">
        <f t="shared" si="28"/>
        <v>3.3877793369872031</v>
      </c>
      <c r="AK115" s="105">
        <f t="shared" si="28"/>
        <v>3.4467845321650055</v>
      </c>
      <c r="AL115" s="105">
        <f t="shared" si="28"/>
        <v>3.4125310512539726</v>
      </c>
      <c r="AM115" s="105">
        <f t="shared" si="28"/>
        <v>3.2512835793174317</v>
      </c>
      <c r="AN115" s="105">
        <f t="shared" si="28"/>
        <v>3.1815772915522587</v>
      </c>
      <c r="AO115" s="105">
        <f t="shared" si="28"/>
        <v>2.9402530214857245</v>
      </c>
      <c r="AP115" s="105">
        <f t="shared" si="28"/>
        <v>3.0796667462797793</v>
      </c>
      <c r="AQ115" s="105">
        <f t="shared" si="28"/>
        <v>3.1700763382630788</v>
      </c>
      <c r="AR115" s="105">
        <f t="shared" si="28"/>
        <v>2.1977300424161617</v>
      </c>
      <c r="AS115" s="105">
        <f t="shared" si="28"/>
        <v>2.1006560255712352</v>
      </c>
      <c r="AT115" s="105">
        <f t="shared" si="28"/>
        <v>2.2524050468980836</v>
      </c>
      <c r="AU115" s="105">
        <f t="shared" si="28"/>
        <v>2.1604680898884703</v>
      </c>
      <c r="AV115" s="105">
        <f t="shared" si="28"/>
        <v>2.0502260426459387</v>
      </c>
      <c r="AW115" s="105">
        <f t="shared" si="28"/>
        <v>2.0221773042422826</v>
      </c>
      <c r="AX115" s="105">
        <f t="shared" si="28"/>
        <v>2.2746977521736116</v>
      </c>
      <c r="AY115" s="105">
        <f t="shared" si="28"/>
        <v>1.7240764425525603</v>
      </c>
      <c r="AZ115" s="105">
        <f t="shared" si="28"/>
        <v>1.62047247331275</v>
      </c>
      <c r="BA115" s="105">
        <f t="shared" si="28"/>
        <v>1.7194112770851846</v>
      </c>
      <c r="BB115" s="105">
        <f>(1-BB114)*BB113*$A$105/(BB114*1000000*BB110)</f>
        <v>1.8532305445541672</v>
      </c>
      <c r="BC115" s="105">
        <f>(1-BC114)*BC113*$A$105/(BC114*1000000*BC110)</f>
        <v>1.9294320850775286</v>
      </c>
      <c r="BD115" s="105">
        <f>(1-BD114)*BD113*$A$105/(BD114*1000000*BD110)</f>
        <v>1.9026598139475777</v>
      </c>
      <c r="BE115" s="105">
        <f>(1-BE114)*BE113*$A$105/(BE114*1000000*BE110)</f>
        <v>1.5750978220609009</v>
      </c>
      <c r="BF115" s="105">
        <f>(1-BF114)*BF113*$A$105/(BF114*1000000*BF110)</f>
        <v>1.4592256196163562</v>
      </c>
      <c r="BG115" s="105">
        <f t="shared" ref="BG115:BH115" si="29">(1-BG114)*BG113*$A$105/(BG114*1000000*BG110)</f>
        <v>1.504071139294936</v>
      </c>
      <c r="BH115" s="105">
        <f t="shared" si="29"/>
        <v>1.5322608952469869</v>
      </c>
    </row>
    <row r="116" spans="1:60">
      <c r="A116" s="109" t="s">
        <v>295</v>
      </c>
      <c r="B116" s="109"/>
      <c r="D116" s="105">
        <f>D115+D112</f>
        <v>41.15673424333319</v>
      </c>
      <c r="E116" s="105">
        <f t="shared" ref="E116:BH116" si="30">E115+E112</f>
        <v>38.790534570782889</v>
      </c>
      <c r="F116" s="105">
        <f t="shared" si="30"/>
        <v>39.027076994007786</v>
      </c>
      <c r="G116" s="105">
        <f t="shared" si="30"/>
        <v>36.62287085571031</v>
      </c>
      <c r="H116" s="105">
        <f t="shared" si="30"/>
        <v>34.594703911971571</v>
      </c>
      <c r="I116" s="105">
        <f t="shared" si="30"/>
        <v>33.47179719737813</v>
      </c>
      <c r="J116" s="105">
        <f t="shared" si="30"/>
        <v>33.396492802479017</v>
      </c>
      <c r="K116" s="105">
        <f t="shared" si="30"/>
        <v>32.852540806979782</v>
      </c>
      <c r="L116" s="105">
        <f t="shared" si="30"/>
        <v>32.115954151803429</v>
      </c>
      <c r="M116" s="105">
        <f t="shared" si="30"/>
        <v>32.069440187344902</v>
      </c>
      <c r="N116" s="105">
        <f t="shared" si="30"/>
        <v>31.643129145227579</v>
      </c>
      <c r="O116" s="105">
        <f t="shared" si="30"/>
        <v>31.824855070227144</v>
      </c>
      <c r="P116" s="105">
        <f t="shared" si="30"/>
        <v>28.534614511091419</v>
      </c>
      <c r="Q116" s="105">
        <f t="shared" si="30"/>
        <v>35.248251217349676</v>
      </c>
      <c r="R116" s="105">
        <f t="shared" si="30"/>
        <v>35.109446049001136</v>
      </c>
      <c r="S116" s="105">
        <f t="shared" si="30"/>
        <v>37.070091584631463</v>
      </c>
      <c r="T116" s="105">
        <f t="shared" si="30"/>
        <v>37.761880082144586</v>
      </c>
      <c r="U116" s="105">
        <f t="shared" si="30"/>
        <v>35.771976971537626</v>
      </c>
      <c r="V116" s="105">
        <f t="shared" si="30"/>
        <v>34.098749587831286</v>
      </c>
      <c r="W116" s="105">
        <f t="shared" si="30"/>
        <v>35.000559618086932</v>
      </c>
      <c r="X116" s="105">
        <f t="shared" si="30"/>
        <v>33.954699552676061</v>
      </c>
      <c r="Y116" s="105">
        <f t="shared" si="30"/>
        <v>31.163967060336375</v>
      </c>
      <c r="Z116" s="105">
        <f t="shared" si="30"/>
        <v>30.184389490997638</v>
      </c>
      <c r="AA116" s="105">
        <f t="shared" si="30"/>
        <v>28.994378309392403</v>
      </c>
      <c r="AB116" s="105">
        <f t="shared" si="30"/>
        <v>27.718979395705958</v>
      </c>
      <c r="AC116" s="105">
        <f t="shared" si="30"/>
        <v>27.761393883879393</v>
      </c>
      <c r="AD116" s="105">
        <f t="shared" si="30"/>
        <v>26.340336040132105</v>
      </c>
      <c r="AE116" s="105">
        <f t="shared" si="30"/>
        <v>26.044820144820903</v>
      </c>
      <c r="AF116" s="105">
        <f t="shared" si="30"/>
        <v>24.699260643784648</v>
      </c>
      <c r="AG116" s="105">
        <f t="shared" si="30"/>
        <v>25.816145100793872</v>
      </c>
      <c r="AH116" s="105">
        <f t="shared" si="30"/>
        <v>24.834987278572079</v>
      </c>
      <c r="AI116" s="105">
        <f t="shared" si="30"/>
        <v>25.399139999147106</v>
      </c>
      <c r="AJ116" s="105">
        <f t="shared" si="30"/>
        <v>24.387779336987204</v>
      </c>
      <c r="AK116" s="105">
        <f t="shared" si="30"/>
        <v>23.746784532165005</v>
      </c>
      <c r="AL116" s="105">
        <f t="shared" si="30"/>
        <v>23.412531051253971</v>
      </c>
      <c r="AM116" s="105">
        <f t="shared" si="30"/>
        <v>23.051283579317431</v>
      </c>
      <c r="AN116" s="105">
        <f t="shared" si="30"/>
        <v>22.681577291552259</v>
      </c>
      <c r="AO116" s="105">
        <f t="shared" si="30"/>
        <v>22.340253021485722</v>
      </c>
      <c r="AP116" s="105">
        <f t="shared" si="30"/>
        <v>23.079666746279781</v>
      </c>
      <c r="AQ116" s="105">
        <f t="shared" si="30"/>
        <v>23.370076338263079</v>
      </c>
      <c r="AR116" s="105">
        <f t="shared" si="30"/>
        <v>21.997730042416162</v>
      </c>
      <c r="AS116" s="105">
        <f t="shared" si="30"/>
        <v>22.100656025571237</v>
      </c>
      <c r="AT116" s="105">
        <f t="shared" si="30"/>
        <v>21.252405046898083</v>
      </c>
      <c r="AU116" s="105">
        <f t="shared" si="30"/>
        <v>22.660468089888472</v>
      </c>
      <c r="AV116" s="105">
        <f t="shared" si="30"/>
        <v>21.350226042645939</v>
      </c>
      <c r="AW116" s="105">
        <f t="shared" si="30"/>
        <v>21.822177304242285</v>
      </c>
      <c r="AX116" s="105">
        <f t="shared" si="30"/>
        <v>21.674697752173611</v>
      </c>
      <c r="AY116" s="105">
        <f t="shared" si="30"/>
        <v>20.324076442552563</v>
      </c>
      <c r="AZ116" s="105">
        <f t="shared" si="30"/>
        <v>20.320472473312748</v>
      </c>
      <c r="BA116" s="105">
        <f t="shared" si="30"/>
        <v>20.919411277085185</v>
      </c>
      <c r="BB116" s="105">
        <f t="shared" si="30"/>
        <v>21.253230544554167</v>
      </c>
      <c r="BC116" s="105">
        <f t="shared" si="30"/>
        <v>20.929432085077529</v>
      </c>
      <c r="BD116" s="105">
        <f t="shared" si="30"/>
        <v>21.502659813947581</v>
      </c>
      <c r="BE116" s="105">
        <f t="shared" si="30"/>
        <v>20.575097822060901</v>
      </c>
      <c r="BF116" s="105">
        <f t="shared" si="30"/>
        <v>19.959225619616355</v>
      </c>
      <c r="BG116" s="105">
        <f t="shared" si="30"/>
        <v>19.504071139294936</v>
      </c>
      <c r="BH116" s="105">
        <f t="shared" si="30"/>
        <v>19.332260895246989</v>
      </c>
    </row>
    <row r="117" spans="1:60" s="80" customFormat="1">
      <c r="A117" s="116" t="s">
        <v>296</v>
      </c>
      <c r="B117" s="116"/>
      <c r="D117" s="117">
        <f>D111/D112</f>
        <v>0.21451788299134669</v>
      </c>
      <c r="E117" s="117">
        <f>E111/E112</f>
        <v>0.22792039141604564</v>
      </c>
      <c r="F117" s="117">
        <f t="shared" ref="F117:BB117" si="31">F111/F112</f>
        <v>0.22888491657590068</v>
      </c>
      <c r="G117" s="117">
        <f t="shared" si="31"/>
        <v>0.24188407858433578</v>
      </c>
      <c r="H117" s="117">
        <f t="shared" si="31"/>
        <v>0.25054394636441069</v>
      </c>
      <c r="I117" s="117">
        <f t="shared" si="31"/>
        <v>0.25766837236860485</v>
      </c>
      <c r="J117" s="117">
        <f t="shared" si="31"/>
        <v>0.25860769505779096</v>
      </c>
      <c r="K117" s="117">
        <f t="shared" si="31"/>
        <v>0.2598609993623936</v>
      </c>
      <c r="L117" s="117">
        <f t="shared" si="31"/>
        <v>0.25798695636437352</v>
      </c>
      <c r="M117" s="117">
        <f t="shared" si="31"/>
        <v>0.25517885381412875</v>
      </c>
      <c r="N117" s="117">
        <f t="shared" si="31"/>
        <v>0.25574385927276627</v>
      </c>
      <c r="O117" s="117">
        <f t="shared" si="31"/>
        <v>0.26216134497222748</v>
      </c>
      <c r="P117" s="117">
        <f t="shared" si="31"/>
        <v>0.28783118443385403</v>
      </c>
      <c r="Q117" s="117">
        <f t="shared" si="31"/>
        <v>0.22498657447637341</v>
      </c>
      <c r="R117" s="117">
        <f t="shared" si="31"/>
        <v>0.22153130468121032</v>
      </c>
      <c r="S117" s="117">
        <f t="shared" si="31"/>
        <v>0.19930813530939084</v>
      </c>
      <c r="T117" s="117">
        <f t="shared" si="31"/>
        <v>0.19055555399050261</v>
      </c>
      <c r="U117" s="117">
        <f t="shared" si="31"/>
        <v>0.20370319896020464</v>
      </c>
      <c r="V117" s="117">
        <f t="shared" si="31"/>
        <v>0.20584892887319037</v>
      </c>
      <c r="W117" s="117">
        <f t="shared" si="31"/>
        <v>0.20151416151107596</v>
      </c>
      <c r="X117" s="117">
        <f t="shared" si="31"/>
        <v>0.20264367881410433</v>
      </c>
      <c r="Y117" s="117">
        <f t="shared" si="31"/>
        <v>0.23720112985311925</v>
      </c>
      <c r="Z117" s="117">
        <f t="shared" si="31"/>
        <v>0.24452602084002215</v>
      </c>
      <c r="AA117" s="117">
        <f t="shared" si="31"/>
        <v>0.26173246056015959</v>
      </c>
      <c r="AB117" s="117">
        <f t="shared" si="31"/>
        <v>0.26456901668314409</v>
      </c>
      <c r="AC117" s="117">
        <f t="shared" si="31"/>
        <v>0.27055935245315982</v>
      </c>
      <c r="AD117" s="117">
        <f t="shared" si="31"/>
        <v>0.29045897755140537</v>
      </c>
      <c r="AE117" s="117">
        <f t="shared" si="31"/>
        <v>0.29785382590383391</v>
      </c>
      <c r="AF117" s="117">
        <f t="shared" si="31"/>
        <v>0.31290575296525536</v>
      </c>
      <c r="AG117" s="117">
        <f t="shared" si="31"/>
        <v>0.29501882156712228</v>
      </c>
      <c r="AH117" s="117">
        <f t="shared" si="31"/>
        <v>0.30965230562079338</v>
      </c>
      <c r="AI117" s="117">
        <f t="shared" si="31"/>
        <v>0.31166661332403334</v>
      </c>
      <c r="AJ117" s="117">
        <f t="shared" si="31"/>
        <v>0.32117545048478496</v>
      </c>
      <c r="AK117" s="117">
        <f t="shared" si="31"/>
        <v>0.33074526979130492</v>
      </c>
      <c r="AL117" s="117">
        <f t="shared" si="31"/>
        <v>0.33758758634254704</v>
      </c>
      <c r="AM117" s="117">
        <f t="shared" si="31"/>
        <v>0.33965443592690286</v>
      </c>
      <c r="AN117" s="117">
        <f t="shared" si="31"/>
        <v>0.35294217766752656</v>
      </c>
      <c r="AO117" s="117">
        <f t="shared" si="31"/>
        <v>0.35150939080219901</v>
      </c>
      <c r="AP117" s="117">
        <f t="shared" si="31"/>
        <v>0.34802026343897174</v>
      </c>
      <c r="AQ117" s="117">
        <f t="shared" si="31"/>
        <v>0.34452504769199671</v>
      </c>
      <c r="AR117" s="117">
        <f t="shared" si="31"/>
        <v>0.34667025004092028</v>
      </c>
      <c r="AS117" s="117">
        <f t="shared" si="31"/>
        <v>0.34181848389526387</v>
      </c>
      <c r="AT117" s="117">
        <f t="shared" si="31"/>
        <v>0.36334237188979962</v>
      </c>
      <c r="AU117" s="117">
        <f t="shared" si="31"/>
        <v>0.34869820616923825</v>
      </c>
      <c r="AV117" s="117">
        <f t="shared" si="31"/>
        <v>0.36045665309024716</v>
      </c>
      <c r="AW117" s="117">
        <f t="shared" si="31"/>
        <v>0.35945713376149824</v>
      </c>
      <c r="AX117" s="117">
        <f t="shared" si="31"/>
        <v>0.37017908710431985</v>
      </c>
      <c r="AY117" s="117">
        <f t="shared" si="31"/>
        <v>0.37973680120975212</v>
      </c>
      <c r="AZ117" s="117">
        <f t="shared" si="31"/>
        <v>0.37203644795756413</v>
      </c>
      <c r="BA117" s="117">
        <f t="shared" si="31"/>
        <v>0.3679125310173697</v>
      </c>
      <c r="BB117" s="117">
        <f t="shared" si="31"/>
        <v>0.35085475259006288</v>
      </c>
      <c r="BC117" s="117">
        <f>BC111/BC112</f>
        <v>0.34999167046123431</v>
      </c>
      <c r="BD117" s="117">
        <f>BD111/BD112</f>
        <v>0.36036519871106337</v>
      </c>
      <c r="BE117" s="117">
        <f>BE111/BE112</f>
        <v>0.39076717216770734</v>
      </c>
      <c r="BF117" s="117">
        <f>BF111/BF112</f>
        <v>0.399642617824436</v>
      </c>
      <c r="BG117" s="117">
        <f t="shared" ref="BG117:BH117" si="32">BG111/BG112</f>
        <v>0.40772727272727272</v>
      </c>
      <c r="BH117" s="117">
        <f t="shared" si="32"/>
        <v>0.40325404932146508</v>
      </c>
    </row>
    <row r="118" spans="1:60" ht="14.4">
      <c r="A118" s="109" t="s">
        <v>297</v>
      </c>
      <c r="D118" s="94">
        <f>D111/D116</f>
        <v>0.19409293235047742</v>
      </c>
      <c r="E118" s="94">
        <f t="shared" ref="E118:BB118" si="33">E111/E116</f>
        <v>0.20627143218667282</v>
      </c>
      <c r="F118" s="94">
        <f t="shared" si="33"/>
        <v>0.2054957367560129</v>
      </c>
      <c r="G118" s="94">
        <f t="shared" si="33"/>
        <v>0.21481746514198144</v>
      </c>
      <c r="H118" s="94">
        <f t="shared" si="33"/>
        <v>0.22320354830840505</v>
      </c>
      <c r="I118" s="94">
        <f t="shared" si="33"/>
        <v>0.22734833714194524</v>
      </c>
      <c r="J118" s="94">
        <f t="shared" si="33"/>
        <v>0.22611190762902386</v>
      </c>
      <c r="K118" s="94">
        <f t="shared" si="33"/>
        <v>0.22859671419927494</v>
      </c>
      <c r="L118" s="94">
        <f t="shared" si="33"/>
        <v>0.22974335176670307</v>
      </c>
      <c r="M118" s="94">
        <f t="shared" si="33"/>
        <v>0.22518514575722418</v>
      </c>
      <c r="N118" s="94">
        <f t="shared" si="33"/>
        <v>0.2262996186872831</v>
      </c>
      <c r="O118" s="94">
        <f t="shared" si="33"/>
        <v>0.22833829627944799</v>
      </c>
      <c r="P118" s="94">
        <f t="shared" si="33"/>
        <v>0.25120815022645188</v>
      </c>
      <c r="Q118" s="94">
        <f t="shared" si="33"/>
        <v>0.20233839026290562</v>
      </c>
      <c r="R118" s="94">
        <f t="shared" si="33"/>
        <v>0.19560178863354352</v>
      </c>
      <c r="S118" s="94">
        <f t="shared" si="33"/>
        <v>0.17742520139703846</v>
      </c>
      <c r="T118" s="94">
        <f t="shared" si="33"/>
        <v>0.16904907925122825</v>
      </c>
      <c r="U118" s="94">
        <f t="shared" si="33"/>
        <v>0.17766811749362474</v>
      </c>
      <c r="V118" s="94">
        <f t="shared" si="33"/>
        <v>0.17627592787866364</v>
      </c>
      <c r="W118" s="94">
        <f t="shared" si="33"/>
        <v>0.17387515354153441</v>
      </c>
      <c r="X118" s="94">
        <f t="shared" si="33"/>
        <v>0.16591206358025659</v>
      </c>
      <c r="Y118" s="94">
        <f t="shared" si="33"/>
        <v>0.2001795760808926</v>
      </c>
      <c r="Z118" s="94">
        <f t="shared" si="33"/>
        <v>0.20252688969653582</v>
      </c>
      <c r="AA118" s="94">
        <f t="shared" si="33"/>
        <v>0.22116167538748951</v>
      </c>
      <c r="AB118" s="94">
        <f t="shared" si="33"/>
        <v>0.226209111305226</v>
      </c>
      <c r="AC118" s="94">
        <f t="shared" si="33"/>
        <v>0.23390124019120187</v>
      </c>
      <c r="AD118" s="94">
        <f t="shared" si="33"/>
        <v>0.24811099543109114</v>
      </c>
      <c r="AE118" s="94">
        <f t="shared" si="33"/>
        <v>0.25845816665258203</v>
      </c>
      <c r="AF118" s="94">
        <f t="shared" si="33"/>
        <v>0.27110864612627583</v>
      </c>
      <c r="AG118" s="94">
        <f t="shared" si="33"/>
        <v>0.25598018516328852</v>
      </c>
      <c r="AH118" s="94">
        <f t="shared" si="33"/>
        <v>0.26931722277063719</v>
      </c>
      <c r="AI118" s="94">
        <f t="shared" si="33"/>
        <v>0.26995660063131971</v>
      </c>
      <c r="AJ118" s="94">
        <f t="shared" si="33"/>
        <v>0.27656000847733203</v>
      </c>
      <c r="AK118" s="94">
        <f t="shared" si="33"/>
        <v>0.28273844686926797</v>
      </c>
      <c r="AL118" s="94">
        <f t="shared" si="33"/>
        <v>0.28838196571187541</v>
      </c>
      <c r="AM118" s="94">
        <f t="shared" si="33"/>
        <v>0.291747650763655</v>
      </c>
      <c r="AN118" s="94">
        <f t="shared" si="33"/>
        <v>0.30343447353990255</v>
      </c>
      <c r="AO118" s="94">
        <f t="shared" si="33"/>
        <v>0.30524641663656271</v>
      </c>
      <c r="AP118" s="94">
        <f t="shared" si="33"/>
        <v>0.30158170589275884</v>
      </c>
      <c r="AQ118" s="94">
        <f t="shared" si="33"/>
        <v>0.29779132351330495</v>
      </c>
      <c r="AR118" s="94">
        <f t="shared" si="33"/>
        <v>0.3120354208172787</v>
      </c>
      <c r="AS118" s="94">
        <f t="shared" si="33"/>
        <v>0.30932881223052189</v>
      </c>
      <c r="AT118" s="94">
        <f t="shared" si="33"/>
        <v>0.32483406234127843</v>
      </c>
      <c r="AU118" s="94">
        <f t="shared" si="33"/>
        <v>0.31545302586485829</v>
      </c>
      <c r="AV118" s="94">
        <f t="shared" si="33"/>
        <v>0.32584261125600761</v>
      </c>
      <c r="AW118" s="94">
        <f t="shared" si="33"/>
        <v>0.32614762263406477</v>
      </c>
      <c r="AX118" s="94">
        <f t="shared" si="33"/>
        <v>0.33132984699192047</v>
      </c>
      <c r="AY118" s="94">
        <f t="shared" si="33"/>
        <v>0.34752400791572269</v>
      </c>
      <c r="AZ118" s="94">
        <f t="shared" si="33"/>
        <v>0.34236810123107686</v>
      </c>
      <c r="BA118" s="94">
        <f t="shared" si="33"/>
        <v>0.3376730110598864</v>
      </c>
      <c r="BB118" s="94">
        <f t="shared" si="33"/>
        <v>0.32026106271130189</v>
      </c>
      <c r="BC118" s="94">
        <f>BC111/BC116</f>
        <v>0.31772681225806987</v>
      </c>
      <c r="BD118" s="94">
        <f>BD111/BD116</f>
        <v>0.32847833504557256</v>
      </c>
      <c r="BE118" s="94">
        <f>BE111/BE116</f>
        <v>0.36085253812138418</v>
      </c>
      <c r="BF118" s="94">
        <f>BF111/BF116</f>
        <v>0.3704246131916904</v>
      </c>
      <c r="BG118" s="94">
        <f t="shared" ref="BG118:BH118" si="34">BG111/BG116</f>
        <v>0.3762850769296473</v>
      </c>
      <c r="BH118" s="94">
        <f t="shared" si="34"/>
        <v>0.37129242755495995</v>
      </c>
    </row>
    <row r="119" spans="1:60">
      <c r="K119" s="111"/>
    </row>
    <row r="120" spans="1:60">
      <c r="K120" s="111"/>
    </row>
    <row r="121" spans="1:60">
      <c r="K121" s="111"/>
    </row>
    <row r="122" spans="1:60">
      <c r="K122" s="111"/>
      <c r="Z122" s="81" t="s">
        <v>298</v>
      </c>
    </row>
    <row r="124" spans="1:60">
      <c r="Z124" s="82" t="s">
        <v>299</v>
      </c>
    </row>
    <row r="147" spans="3:60">
      <c r="C147" s="75" t="s">
        <v>300</v>
      </c>
    </row>
    <row r="148" spans="3:60">
      <c r="C148" s="118" t="s">
        <v>301</v>
      </c>
    </row>
    <row r="149" spans="3:60">
      <c r="C149" s="118"/>
      <c r="BB149" s="91"/>
    </row>
    <row r="150" spans="3:60">
      <c r="D150" s="119" t="s">
        <v>302</v>
      </c>
    </row>
    <row r="151" spans="3:60" s="80" customFormat="1">
      <c r="D151" s="80">
        <v>1960</v>
      </c>
      <c r="E151" s="80">
        <v>1961</v>
      </c>
      <c r="F151" s="80">
        <v>1962</v>
      </c>
      <c r="G151" s="80">
        <v>1963</v>
      </c>
      <c r="H151" s="80">
        <v>1964</v>
      </c>
      <c r="I151" s="80">
        <v>1965</v>
      </c>
      <c r="J151" s="80">
        <v>1966</v>
      </c>
      <c r="K151" s="80">
        <v>1967</v>
      </c>
      <c r="L151" s="80">
        <v>1968</v>
      </c>
      <c r="M151" s="80">
        <v>1969</v>
      </c>
      <c r="N151" s="80">
        <v>1970</v>
      </c>
      <c r="O151" s="80">
        <v>1971</v>
      </c>
      <c r="P151" s="80">
        <v>1972</v>
      </c>
      <c r="Q151" s="80">
        <v>1973</v>
      </c>
      <c r="R151" s="80">
        <v>1974</v>
      </c>
      <c r="S151" s="80">
        <v>1975</v>
      </c>
      <c r="T151" s="80">
        <v>1976</v>
      </c>
      <c r="U151" s="80">
        <v>1977</v>
      </c>
      <c r="V151" s="80">
        <v>1978</v>
      </c>
      <c r="W151" s="80">
        <v>1979</v>
      </c>
      <c r="X151" s="80">
        <v>1980</v>
      </c>
      <c r="Y151" s="80">
        <v>1981</v>
      </c>
      <c r="Z151" s="80">
        <v>1982</v>
      </c>
      <c r="AA151" s="80">
        <v>1983</v>
      </c>
      <c r="AB151" s="80">
        <v>1984</v>
      </c>
      <c r="AC151" s="80">
        <v>1985</v>
      </c>
      <c r="AD151" s="80">
        <v>1986</v>
      </c>
      <c r="AE151" s="80">
        <v>1987</v>
      </c>
      <c r="AF151" s="80">
        <v>1988</v>
      </c>
      <c r="AG151" s="80">
        <v>1989</v>
      </c>
      <c r="AH151" s="80">
        <v>1990</v>
      </c>
      <c r="AI151" s="80">
        <v>1991</v>
      </c>
      <c r="AJ151" s="80">
        <v>1992</v>
      </c>
      <c r="AK151" s="80">
        <v>1993</v>
      </c>
      <c r="AL151" s="80">
        <v>1994</v>
      </c>
      <c r="AM151" s="80">
        <v>1995</v>
      </c>
      <c r="AN151" s="80">
        <v>1996</v>
      </c>
      <c r="AO151" s="80">
        <v>1997</v>
      </c>
      <c r="AP151" s="80">
        <v>1998</v>
      </c>
      <c r="AQ151" s="80">
        <v>1999</v>
      </c>
      <c r="AR151" s="80">
        <v>2000</v>
      </c>
      <c r="AS151" s="80">
        <v>2001</v>
      </c>
      <c r="AT151" s="80">
        <v>2002</v>
      </c>
      <c r="AU151" s="80">
        <v>2003</v>
      </c>
      <c r="AV151" s="80">
        <v>2004</v>
      </c>
      <c r="AW151" s="80">
        <v>2005</v>
      </c>
      <c r="AX151" s="80">
        <v>2006</v>
      </c>
      <c r="AY151" s="80">
        <v>2007</v>
      </c>
      <c r="AZ151" s="80">
        <v>2008</v>
      </c>
      <c r="BA151" s="80">
        <v>2009</v>
      </c>
      <c r="BB151" s="80">
        <v>2010</v>
      </c>
      <c r="BC151" s="80">
        <v>2011</v>
      </c>
      <c r="BD151" s="80">
        <v>2012</v>
      </c>
      <c r="BE151" s="80">
        <v>2013</v>
      </c>
      <c r="BF151" s="80">
        <v>2014</v>
      </c>
      <c r="BG151" s="80">
        <v>2015</v>
      </c>
      <c r="BH151" s="80">
        <v>2016</v>
      </c>
    </row>
    <row r="152" spans="3:60">
      <c r="C152" s="119" t="s">
        <v>82</v>
      </c>
      <c r="D152" s="91">
        <v>0</v>
      </c>
      <c r="E152" s="91">
        <v>71.5</v>
      </c>
      <c r="F152" s="91">
        <v>438.4</v>
      </c>
      <c r="G152" s="91">
        <v>1528.3</v>
      </c>
      <c r="H152" s="91">
        <v>3037.6</v>
      </c>
      <c r="I152" s="91">
        <v>4756.8999999999996</v>
      </c>
      <c r="J152" s="91">
        <v>5641.2</v>
      </c>
      <c r="K152" s="91">
        <v>5914.4</v>
      </c>
      <c r="L152" s="91">
        <v>6573</v>
      </c>
      <c r="M152" s="91">
        <v>7036.6</v>
      </c>
      <c r="N152" s="91">
        <v>9085</v>
      </c>
      <c r="O152" s="91">
        <v>9345.1</v>
      </c>
      <c r="P152" s="91">
        <v>10766.6</v>
      </c>
      <c r="Q152" s="91">
        <v>12578</v>
      </c>
      <c r="R152" s="91">
        <v>10707.2</v>
      </c>
      <c r="S152" s="91">
        <v>10063.799999999999</v>
      </c>
      <c r="T152" s="91">
        <v>11470.4</v>
      </c>
      <c r="U152" s="91">
        <v>10842.6</v>
      </c>
      <c r="V152" s="91">
        <v>11336.1</v>
      </c>
      <c r="W152" s="91">
        <v>12893.9</v>
      </c>
      <c r="X152" s="91">
        <v>6688.6</v>
      </c>
      <c r="Y152" s="91">
        <v>10534.6</v>
      </c>
      <c r="Z152" s="91">
        <v>9035.7999999999993</v>
      </c>
      <c r="AA152" s="91">
        <v>10495.5</v>
      </c>
      <c r="AB152" s="91">
        <v>10295.299999999999</v>
      </c>
      <c r="AC152" s="91">
        <v>11185</v>
      </c>
      <c r="AD152" s="91">
        <v>10560.3</v>
      </c>
      <c r="AE152" s="91">
        <v>12956.5</v>
      </c>
      <c r="AF152" s="91">
        <v>14007.9</v>
      </c>
      <c r="AG152" s="91">
        <v>13627.3</v>
      </c>
      <c r="AH152" s="91">
        <v>13169.1</v>
      </c>
      <c r="AI152" s="91">
        <v>12540.1</v>
      </c>
      <c r="AJ152" s="91">
        <v>12091.6</v>
      </c>
      <c r="AK152" s="91">
        <v>12329.9</v>
      </c>
      <c r="AL152" s="91">
        <v>12909.3</v>
      </c>
      <c r="AM152" s="91">
        <v>13082.508</v>
      </c>
      <c r="AN152" s="91">
        <v>13758.436</v>
      </c>
      <c r="AO152" s="91">
        <v>13987.6</v>
      </c>
      <c r="AP152" s="91">
        <v>13425.999</v>
      </c>
      <c r="AQ152" s="91">
        <v>12633.471</v>
      </c>
      <c r="AR152" s="91">
        <v>11550.868</v>
      </c>
      <c r="AS152" s="91">
        <v>10270.799999999999</v>
      </c>
      <c r="AT152" s="91">
        <v>8955.7160000000003</v>
      </c>
      <c r="AU152" s="91">
        <v>10629.528</v>
      </c>
      <c r="AV152" s="91">
        <v>10667.153</v>
      </c>
      <c r="AW152" s="91">
        <v>10549.723</v>
      </c>
      <c r="AX152" s="91">
        <v>11203</v>
      </c>
      <c r="AY152" s="91">
        <v>11362</v>
      </c>
      <c r="AZ152" s="91">
        <v>10478</v>
      </c>
      <c r="BA152" s="91">
        <v>7955</v>
      </c>
      <c r="BB152" s="91">
        <v>7323</v>
      </c>
      <c r="BC152" s="120">
        <v>6946</v>
      </c>
      <c r="BD152" s="120">
        <v>7500</v>
      </c>
      <c r="BE152" s="120">
        <v>9900</v>
      </c>
      <c r="BF152" s="120">
        <v>10100</v>
      </c>
      <c r="BG152" s="121">
        <v>9100</v>
      </c>
      <c r="BH152" s="121">
        <v>6200</v>
      </c>
    </row>
    <row r="153" spans="3:60">
      <c r="C153" s="119" t="s">
        <v>22</v>
      </c>
      <c r="D153" s="91">
        <v>1712.5</v>
      </c>
      <c r="E153" s="91">
        <v>1674.4</v>
      </c>
      <c r="F153" s="91">
        <v>1504.3</v>
      </c>
      <c r="G153" s="91">
        <v>2110.1</v>
      </c>
      <c r="H153" s="91">
        <v>2984.2</v>
      </c>
      <c r="I153" s="91">
        <v>3490.7</v>
      </c>
      <c r="J153" s="91">
        <v>3395</v>
      </c>
      <c r="K153" s="91">
        <v>3471.6</v>
      </c>
      <c r="L153" s="91">
        <v>4216</v>
      </c>
      <c r="M153" s="91">
        <v>4937</v>
      </c>
      <c r="N153" s="91">
        <v>5514</v>
      </c>
      <c r="O153" s="91">
        <v>4361.3</v>
      </c>
      <c r="P153" s="91">
        <v>4910.3999999999996</v>
      </c>
      <c r="Q153" s="91">
        <v>5293.4</v>
      </c>
      <c r="R153" s="91">
        <v>5257.8</v>
      </c>
      <c r="S153" s="91">
        <v>5561.9</v>
      </c>
      <c r="T153" s="91">
        <v>6756.1</v>
      </c>
      <c r="U153" s="91">
        <v>6269.3</v>
      </c>
      <c r="V153" s="91">
        <v>7200.1</v>
      </c>
      <c r="W153" s="91">
        <v>7384.9</v>
      </c>
      <c r="X153" s="91">
        <v>4578.7</v>
      </c>
      <c r="Y153" s="91">
        <v>5037.8</v>
      </c>
      <c r="Z153" s="91">
        <v>4668.6000000000004</v>
      </c>
      <c r="AA153" s="91">
        <v>4490.8999999999996</v>
      </c>
      <c r="AB153" s="91">
        <v>4825.7</v>
      </c>
      <c r="AC153" s="91">
        <v>4536.8999999999996</v>
      </c>
      <c r="AD153" s="91">
        <v>4164.7</v>
      </c>
      <c r="AE153" s="91">
        <v>4457.2</v>
      </c>
      <c r="AF153" s="91">
        <v>4942.1000000000004</v>
      </c>
      <c r="AG153" s="91">
        <v>5112.6000000000004</v>
      </c>
      <c r="AH153" s="91">
        <v>4671.6000000000004</v>
      </c>
      <c r="AI153" s="91">
        <v>3934.3</v>
      </c>
      <c r="AJ153" s="91">
        <v>4120.3</v>
      </c>
      <c r="AK153" s="91">
        <v>4294.8</v>
      </c>
      <c r="AL153" s="91">
        <v>4376.5</v>
      </c>
      <c r="AM153" s="91">
        <v>4521.0919999999996</v>
      </c>
      <c r="AN153" s="91">
        <v>4233.3019999999997</v>
      </c>
      <c r="AO153" s="91">
        <v>4512.8999999999996</v>
      </c>
      <c r="AP153" s="91">
        <v>3888.9789999999998</v>
      </c>
      <c r="AQ153" s="91">
        <v>3662.2919999999999</v>
      </c>
      <c r="AR153" s="91">
        <v>3603.7440000000001</v>
      </c>
      <c r="AS153" s="91">
        <v>3271.8</v>
      </c>
      <c r="AT153" s="91">
        <v>2711.3969999999999</v>
      </c>
      <c r="AU153" s="91">
        <v>2638.4949999999999</v>
      </c>
      <c r="AV153" s="91">
        <v>3098.5859999999998</v>
      </c>
      <c r="AW153" s="91">
        <v>2689</v>
      </c>
      <c r="AX153" s="91">
        <v>2702</v>
      </c>
      <c r="AY153" s="91">
        <v>3030</v>
      </c>
      <c r="AZ153" s="91">
        <v>3043</v>
      </c>
      <c r="BA153" s="91">
        <v>2120</v>
      </c>
      <c r="BB153" s="91">
        <v>2385</v>
      </c>
      <c r="BC153" s="120">
        <v>2532</v>
      </c>
      <c r="BD153" s="122">
        <v>2000</v>
      </c>
      <c r="BE153" s="122">
        <v>1900</v>
      </c>
      <c r="BF153" s="122">
        <v>2000</v>
      </c>
      <c r="BG153" s="123">
        <v>1900</v>
      </c>
      <c r="BH153" s="123">
        <v>1500</v>
      </c>
    </row>
    <row r="154" spans="3:60">
      <c r="C154" s="119" t="s">
        <v>23</v>
      </c>
      <c r="D154" s="91">
        <v>18722.099999999999</v>
      </c>
      <c r="E154" s="91">
        <v>18672.900000000001</v>
      </c>
      <c r="F154" s="91">
        <v>16987.400000000001</v>
      </c>
      <c r="G154" s="91">
        <v>17382.900000000001</v>
      </c>
      <c r="H154" s="91">
        <v>18780.3</v>
      </c>
      <c r="I154" s="91">
        <v>17485.599999999999</v>
      </c>
      <c r="J154" s="91">
        <v>14597.4</v>
      </c>
      <c r="K154" s="91">
        <v>13863.8</v>
      </c>
      <c r="L154" s="91">
        <v>14405.4</v>
      </c>
      <c r="M154" s="91">
        <v>14172</v>
      </c>
      <c r="N154" s="91">
        <v>13370</v>
      </c>
      <c r="O154" s="91">
        <v>10174.700000000001</v>
      </c>
      <c r="P154" s="91">
        <v>9357.2999999999993</v>
      </c>
      <c r="Q154" s="91">
        <v>8452.7000000000007</v>
      </c>
      <c r="R154" s="91">
        <v>6188.7</v>
      </c>
      <c r="S154" s="91">
        <v>4446.1000000000004</v>
      </c>
      <c r="T154" s="91">
        <v>4025.7</v>
      </c>
      <c r="U154" s="91">
        <v>3278.7</v>
      </c>
      <c r="V154" s="91">
        <v>1763.7</v>
      </c>
      <c r="W154" s="91">
        <v>1162.7</v>
      </c>
      <c r="X154" s="91">
        <v>0</v>
      </c>
      <c r="Y154" s="91">
        <v>0</v>
      </c>
      <c r="Z154" s="91">
        <v>0</v>
      </c>
      <c r="AA154" s="91">
        <v>0</v>
      </c>
      <c r="AB154" s="91">
        <v>0</v>
      </c>
      <c r="AC154" s="91">
        <v>0</v>
      </c>
      <c r="AD154" s="91">
        <v>0</v>
      </c>
      <c r="AE154" s="91">
        <v>0</v>
      </c>
      <c r="AF154" s="91">
        <v>0</v>
      </c>
      <c r="AG154" s="91">
        <v>0</v>
      </c>
      <c r="AH154" s="91">
        <v>0</v>
      </c>
      <c r="AI154" s="91">
        <v>0</v>
      </c>
      <c r="AJ154" s="91">
        <v>0</v>
      </c>
      <c r="AK154" s="91">
        <v>0</v>
      </c>
      <c r="AL154" s="91">
        <v>0</v>
      </c>
      <c r="AM154" s="91">
        <v>0</v>
      </c>
      <c r="AN154" s="91">
        <v>0</v>
      </c>
      <c r="AO154" s="91">
        <v>0</v>
      </c>
      <c r="AP154" s="91">
        <v>0</v>
      </c>
      <c r="AQ154" s="91">
        <v>0</v>
      </c>
      <c r="AR154" s="91">
        <v>0</v>
      </c>
      <c r="AS154" s="91">
        <v>0</v>
      </c>
      <c r="AT154" s="91">
        <v>0</v>
      </c>
      <c r="AU154" s="91">
        <v>0</v>
      </c>
      <c r="AV154" s="91">
        <v>0</v>
      </c>
      <c r="AW154" s="91">
        <v>0</v>
      </c>
      <c r="AX154" s="91">
        <v>0</v>
      </c>
      <c r="AY154" s="91">
        <v>0</v>
      </c>
      <c r="AZ154" s="91">
        <v>0</v>
      </c>
      <c r="BA154" s="91">
        <v>0</v>
      </c>
      <c r="BB154" s="91">
        <v>0</v>
      </c>
      <c r="BC154" s="120">
        <v>0</v>
      </c>
      <c r="BD154" s="120">
        <v>0</v>
      </c>
      <c r="BE154" s="120">
        <v>0</v>
      </c>
      <c r="BF154" s="120">
        <v>0</v>
      </c>
      <c r="BG154" s="121"/>
      <c r="BH154" s="121"/>
    </row>
    <row r="155" spans="3:60" s="80" customFormat="1">
      <c r="C155" s="119" t="s">
        <v>303</v>
      </c>
      <c r="D155" s="93">
        <f t="shared" ref="D155:BA155" si="35">+D152+D153+D154</f>
        <v>20434.599999999999</v>
      </c>
      <c r="E155" s="93">
        <f t="shared" si="35"/>
        <v>20418.800000000003</v>
      </c>
      <c r="F155" s="93">
        <f t="shared" si="35"/>
        <v>18930.100000000002</v>
      </c>
      <c r="G155" s="93">
        <f t="shared" si="35"/>
        <v>21021.300000000003</v>
      </c>
      <c r="H155" s="93">
        <f t="shared" si="35"/>
        <v>24802.1</v>
      </c>
      <c r="I155" s="93">
        <f t="shared" si="35"/>
        <v>25733.199999999997</v>
      </c>
      <c r="J155" s="93">
        <f t="shared" si="35"/>
        <v>23633.599999999999</v>
      </c>
      <c r="K155" s="93">
        <f t="shared" si="35"/>
        <v>23249.8</v>
      </c>
      <c r="L155" s="93">
        <f t="shared" si="35"/>
        <v>25194.400000000001</v>
      </c>
      <c r="M155" s="93">
        <f t="shared" si="35"/>
        <v>26145.599999999999</v>
      </c>
      <c r="N155" s="93">
        <f t="shared" si="35"/>
        <v>27969</v>
      </c>
      <c r="O155" s="93">
        <f t="shared" si="35"/>
        <v>23881.100000000002</v>
      </c>
      <c r="P155" s="93">
        <f t="shared" si="35"/>
        <v>25034.3</v>
      </c>
      <c r="Q155" s="93">
        <f t="shared" si="35"/>
        <v>26324.100000000002</v>
      </c>
      <c r="R155" s="93">
        <f t="shared" si="35"/>
        <v>22153.7</v>
      </c>
      <c r="S155" s="93">
        <f t="shared" si="35"/>
        <v>20071.8</v>
      </c>
      <c r="T155" s="93">
        <f t="shared" si="35"/>
        <v>22252.2</v>
      </c>
      <c r="U155" s="93">
        <f t="shared" si="35"/>
        <v>20390.600000000002</v>
      </c>
      <c r="V155" s="93">
        <f t="shared" si="35"/>
        <v>20299.900000000001</v>
      </c>
      <c r="W155" s="93">
        <f t="shared" si="35"/>
        <v>21441.5</v>
      </c>
      <c r="X155" s="93">
        <f t="shared" si="35"/>
        <v>11267.3</v>
      </c>
      <c r="Y155" s="93">
        <f t="shared" si="35"/>
        <v>15572.400000000001</v>
      </c>
      <c r="Z155" s="93">
        <f t="shared" si="35"/>
        <v>13704.4</v>
      </c>
      <c r="AA155" s="93">
        <f t="shared" si="35"/>
        <v>14986.4</v>
      </c>
      <c r="AB155" s="93">
        <f t="shared" si="35"/>
        <v>15121</v>
      </c>
      <c r="AC155" s="93">
        <f t="shared" si="35"/>
        <v>15721.9</v>
      </c>
      <c r="AD155" s="93">
        <f t="shared" si="35"/>
        <v>14725</v>
      </c>
      <c r="AE155" s="93">
        <f t="shared" si="35"/>
        <v>17413.7</v>
      </c>
      <c r="AF155" s="93">
        <f t="shared" si="35"/>
        <v>18950</v>
      </c>
      <c r="AG155" s="93">
        <f t="shared" si="35"/>
        <v>18739.900000000001</v>
      </c>
      <c r="AH155" s="93">
        <f t="shared" si="35"/>
        <v>17840.7</v>
      </c>
      <c r="AI155" s="93">
        <f t="shared" si="35"/>
        <v>16474.400000000001</v>
      </c>
      <c r="AJ155" s="93">
        <f t="shared" si="35"/>
        <v>16211.900000000001</v>
      </c>
      <c r="AK155" s="93">
        <f t="shared" si="35"/>
        <v>16624.7</v>
      </c>
      <c r="AL155" s="93">
        <f t="shared" si="35"/>
        <v>17285.8</v>
      </c>
      <c r="AM155" s="93">
        <f t="shared" si="35"/>
        <v>17603.599999999999</v>
      </c>
      <c r="AN155" s="93">
        <f t="shared" si="35"/>
        <v>17991.737999999998</v>
      </c>
      <c r="AO155" s="93">
        <f t="shared" si="35"/>
        <v>18500.5</v>
      </c>
      <c r="AP155" s="93">
        <f t="shared" si="35"/>
        <v>17314.977999999999</v>
      </c>
      <c r="AQ155" s="93">
        <f t="shared" si="35"/>
        <v>16295.762999999999</v>
      </c>
      <c r="AR155" s="93">
        <f t="shared" si="35"/>
        <v>15154.612000000001</v>
      </c>
      <c r="AS155" s="93">
        <f t="shared" si="35"/>
        <v>13542.599999999999</v>
      </c>
      <c r="AT155" s="93">
        <f t="shared" si="35"/>
        <v>11667.113000000001</v>
      </c>
      <c r="AU155" s="93">
        <f t="shared" si="35"/>
        <v>13268.023000000001</v>
      </c>
      <c r="AV155" s="93">
        <f t="shared" si="35"/>
        <v>13765.739</v>
      </c>
      <c r="AW155" s="93">
        <f t="shared" si="35"/>
        <v>13238.723</v>
      </c>
      <c r="AX155" s="93">
        <f t="shared" si="35"/>
        <v>13905</v>
      </c>
      <c r="AY155" s="93">
        <f t="shared" si="35"/>
        <v>14392</v>
      </c>
      <c r="AZ155" s="93">
        <f t="shared" si="35"/>
        <v>13521</v>
      </c>
      <c r="BA155" s="93">
        <f t="shared" si="35"/>
        <v>10075</v>
      </c>
      <c r="BB155" s="93">
        <f>+BB152+BB153+BB154</f>
        <v>9708</v>
      </c>
      <c r="BC155" s="124">
        <f>+BC152+BC153+BC154</f>
        <v>9478</v>
      </c>
      <c r="BD155" s="124">
        <f>+BD152+BD153+BD154</f>
        <v>9500</v>
      </c>
      <c r="BE155" s="124">
        <f>+BE152+BE153+BE154</f>
        <v>11800</v>
      </c>
      <c r="BF155" s="124">
        <f>+BF152+BF153+BF154</f>
        <v>12100</v>
      </c>
      <c r="BG155" s="125">
        <f t="shared" ref="BG155:BH155" si="36">+BG152+BG153+BG154</f>
        <v>11000</v>
      </c>
      <c r="BH155" s="125">
        <f t="shared" si="36"/>
        <v>7700</v>
      </c>
    </row>
    <row r="156" spans="3:60" s="80" customFormat="1">
      <c r="C156" s="119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124"/>
      <c r="BD156" s="124"/>
      <c r="BE156" s="124"/>
      <c r="BF156" s="124"/>
      <c r="BG156" s="125"/>
      <c r="BH156" s="125"/>
    </row>
    <row r="157" spans="3:60" s="80" customFormat="1">
      <c r="D157" s="80">
        <v>1960</v>
      </c>
      <c r="E157" s="80">
        <v>1961</v>
      </c>
      <c r="F157" s="80">
        <v>1962</v>
      </c>
      <c r="G157" s="80">
        <v>1963</v>
      </c>
      <c r="H157" s="80">
        <v>1964</v>
      </c>
      <c r="I157" s="80">
        <v>1965</v>
      </c>
      <c r="J157" s="80">
        <v>1966</v>
      </c>
      <c r="K157" s="80">
        <v>1967</v>
      </c>
      <c r="L157" s="80">
        <v>1968</v>
      </c>
      <c r="M157" s="80">
        <v>1969</v>
      </c>
      <c r="N157" s="80">
        <v>1970</v>
      </c>
      <c r="O157" s="80">
        <v>1971</v>
      </c>
      <c r="P157" s="80">
        <v>1972</v>
      </c>
      <c r="Q157" s="80">
        <v>1973</v>
      </c>
      <c r="R157" s="80">
        <v>1974</v>
      </c>
      <c r="S157" s="80">
        <v>1975</v>
      </c>
      <c r="T157" s="80">
        <v>1976</v>
      </c>
      <c r="U157" s="80">
        <v>1977</v>
      </c>
      <c r="V157" s="80">
        <v>1978</v>
      </c>
      <c r="W157" s="80">
        <v>1979</v>
      </c>
      <c r="X157" s="80">
        <v>1980</v>
      </c>
      <c r="Y157" s="80">
        <v>1981</v>
      </c>
      <c r="Z157" s="80">
        <v>1982</v>
      </c>
      <c r="AA157" s="80">
        <v>1983</v>
      </c>
      <c r="AB157" s="80">
        <v>1984</v>
      </c>
      <c r="AC157" s="80">
        <v>1985</v>
      </c>
      <c r="AD157" s="80">
        <v>1986</v>
      </c>
      <c r="AE157" s="80">
        <v>1987</v>
      </c>
      <c r="AF157" s="80">
        <v>1988</v>
      </c>
      <c r="AG157" s="80">
        <v>1989</v>
      </c>
      <c r="AH157" s="80">
        <v>1990</v>
      </c>
      <c r="AI157" s="80">
        <v>1991</v>
      </c>
      <c r="AJ157" s="80">
        <v>1992</v>
      </c>
      <c r="AK157" s="80">
        <v>1993</v>
      </c>
      <c r="AL157" s="80">
        <v>1994</v>
      </c>
      <c r="AM157" s="80">
        <v>1995</v>
      </c>
      <c r="AN157" s="80">
        <v>1996</v>
      </c>
      <c r="AO157" s="80">
        <v>1997</v>
      </c>
      <c r="AP157" s="80">
        <v>1998</v>
      </c>
      <c r="AQ157" s="80">
        <v>1999</v>
      </c>
      <c r="AR157" s="80">
        <v>2000</v>
      </c>
      <c r="AS157" s="80">
        <v>2001</v>
      </c>
      <c r="AT157" s="80">
        <v>2002</v>
      </c>
      <c r="AU157" s="80">
        <v>2003</v>
      </c>
      <c r="AV157" s="80">
        <v>2004</v>
      </c>
      <c r="AW157" s="80">
        <v>2005</v>
      </c>
      <c r="AX157" s="80">
        <v>2006</v>
      </c>
      <c r="AY157" s="80">
        <v>2007</v>
      </c>
      <c r="AZ157" s="80">
        <v>2008</v>
      </c>
      <c r="BA157" s="80">
        <v>2009</v>
      </c>
      <c r="BB157" s="80">
        <v>2010</v>
      </c>
      <c r="BC157" s="126">
        <v>2011</v>
      </c>
      <c r="BD157" s="126">
        <v>2012</v>
      </c>
      <c r="BE157" s="126">
        <v>2013</v>
      </c>
      <c r="BF157" s="126">
        <v>2014</v>
      </c>
      <c r="BG157" s="127">
        <v>2015</v>
      </c>
      <c r="BH157" s="127">
        <v>2016</v>
      </c>
    </row>
    <row r="158" spans="3:60">
      <c r="D158" s="119" t="s">
        <v>304</v>
      </c>
      <c r="E158" s="91"/>
      <c r="F158" s="91"/>
      <c r="G158" s="91"/>
      <c r="BC158" s="122"/>
      <c r="BD158" s="122"/>
      <c r="BE158" s="122"/>
      <c r="BF158" s="122"/>
      <c r="BG158" s="123"/>
      <c r="BH158" s="123"/>
    </row>
    <row r="159" spans="3:60">
      <c r="C159" s="119" t="s">
        <v>305</v>
      </c>
      <c r="D159" s="128">
        <f t="shared" ref="D159:BA159" si="37">D153/1000</f>
        <v>1.7124999999999999</v>
      </c>
      <c r="E159" s="128">
        <f t="shared" si="37"/>
        <v>1.6744000000000001</v>
      </c>
      <c r="F159" s="128">
        <f t="shared" si="37"/>
        <v>1.5043</v>
      </c>
      <c r="G159" s="128">
        <f t="shared" si="37"/>
        <v>2.1101000000000001</v>
      </c>
      <c r="H159" s="128">
        <f t="shared" si="37"/>
        <v>2.9842</v>
      </c>
      <c r="I159" s="128">
        <f t="shared" si="37"/>
        <v>3.4906999999999999</v>
      </c>
      <c r="J159" s="128">
        <f t="shared" si="37"/>
        <v>3.395</v>
      </c>
      <c r="K159" s="128">
        <f t="shared" si="37"/>
        <v>3.4716</v>
      </c>
      <c r="L159" s="128">
        <f t="shared" si="37"/>
        <v>4.2160000000000002</v>
      </c>
      <c r="M159" s="128">
        <f t="shared" si="37"/>
        <v>4.9370000000000003</v>
      </c>
      <c r="N159" s="128">
        <f t="shared" si="37"/>
        <v>5.5140000000000002</v>
      </c>
      <c r="O159" s="128">
        <f t="shared" si="37"/>
        <v>4.3613</v>
      </c>
      <c r="P159" s="128">
        <f t="shared" si="37"/>
        <v>4.9103999999999992</v>
      </c>
      <c r="Q159" s="128">
        <f t="shared" si="37"/>
        <v>5.2933999999999992</v>
      </c>
      <c r="R159" s="128">
        <f t="shared" si="37"/>
        <v>5.2578000000000005</v>
      </c>
      <c r="S159" s="128">
        <f t="shared" si="37"/>
        <v>5.5618999999999996</v>
      </c>
      <c r="T159" s="128">
        <f t="shared" si="37"/>
        <v>6.7561</v>
      </c>
      <c r="U159" s="128">
        <f t="shared" si="37"/>
        <v>6.2693000000000003</v>
      </c>
      <c r="V159" s="128">
        <f t="shared" si="37"/>
        <v>7.2000999999999999</v>
      </c>
      <c r="W159" s="128">
        <f t="shared" si="37"/>
        <v>7.3849</v>
      </c>
      <c r="X159" s="128">
        <f t="shared" si="37"/>
        <v>4.5786999999999995</v>
      </c>
      <c r="Y159" s="128">
        <f t="shared" si="37"/>
        <v>5.0377999999999998</v>
      </c>
      <c r="Z159" s="128">
        <f t="shared" si="37"/>
        <v>4.6686000000000005</v>
      </c>
      <c r="AA159" s="128">
        <f t="shared" si="37"/>
        <v>4.4908999999999999</v>
      </c>
      <c r="AB159" s="128">
        <f t="shared" si="37"/>
        <v>4.8256999999999994</v>
      </c>
      <c r="AC159" s="128">
        <f t="shared" si="37"/>
        <v>4.5368999999999993</v>
      </c>
      <c r="AD159" s="128">
        <f t="shared" si="37"/>
        <v>4.1646999999999998</v>
      </c>
      <c r="AE159" s="128">
        <f t="shared" si="37"/>
        <v>4.4571999999999994</v>
      </c>
      <c r="AF159" s="128">
        <f t="shared" si="37"/>
        <v>4.9420999999999999</v>
      </c>
      <c r="AG159" s="128">
        <f t="shared" si="37"/>
        <v>5.1126000000000005</v>
      </c>
      <c r="AH159" s="128">
        <f t="shared" si="37"/>
        <v>4.6716000000000006</v>
      </c>
      <c r="AI159" s="128">
        <f t="shared" si="37"/>
        <v>3.9343000000000004</v>
      </c>
      <c r="AJ159" s="128">
        <f t="shared" si="37"/>
        <v>4.1203000000000003</v>
      </c>
      <c r="AK159" s="128">
        <f t="shared" si="37"/>
        <v>4.2948000000000004</v>
      </c>
      <c r="AL159" s="128">
        <f t="shared" si="37"/>
        <v>4.3765000000000001</v>
      </c>
      <c r="AM159" s="128">
        <f t="shared" si="37"/>
        <v>4.5210919999999994</v>
      </c>
      <c r="AN159" s="128">
        <f t="shared" si="37"/>
        <v>4.2333020000000001</v>
      </c>
      <c r="AO159" s="128">
        <f t="shared" si="37"/>
        <v>4.5128999999999992</v>
      </c>
      <c r="AP159" s="128">
        <f t="shared" si="37"/>
        <v>3.888979</v>
      </c>
      <c r="AQ159" s="128">
        <f t="shared" si="37"/>
        <v>3.6622919999999999</v>
      </c>
      <c r="AR159" s="128">
        <f t="shared" si="37"/>
        <v>3.6037440000000003</v>
      </c>
      <c r="AS159" s="128">
        <f t="shared" si="37"/>
        <v>3.2718000000000003</v>
      </c>
      <c r="AT159" s="128">
        <f t="shared" si="37"/>
        <v>2.7113969999999998</v>
      </c>
      <c r="AU159" s="128">
        <f t="shared" si="37"/>
        <v>2.6384949999999998</v>
      </c>
      <c r="AV159" s="128">
        <f t="shared" si="37"/>
        <v>3.0985859999999996</v>
      </c>
      <c r="AW159" s="128">
        <f t="shared" si="37"/>
        <v>2.6890000000000001</v>
      </c>
      <c r="AX159" s="128">
        <f t="shared" si="37"/>
        <v>2.702</v>
      </c>
      <c r="AY159" s="128">
        <f t="shared" si="37"/>
        <v>3.03</v>
      </c>
      <c r="AZ159" s="128">
        <f t="shared" si="37"/>
        <v>3.0430000000000001</v>
      </c>
      <c r="BA159" s="128">
        <f t="shared" si="37"/>
        <v>2.12</v>
      </c>
      <c r="BB159" s="128">
        <f>BB153/1000</f>
        <v>2.3849999999999998</v>
      </c>
      <c r="BC159" s="129">
        <f>BC153/1000</f>
        <v>2.532</v>
      </c>
      <c r="BD159" s="129">
        <f>BD153/1000</f>
        <v>2</v>
      </c>
      <c r="BE159" s="129">
        <f>BE153/1000</f>
        <v>1.9</v>
      </c>
      <c r="BF159" s="129">
        <f>BF153/1000</f>
        <v>2</v>
      </c>
      <c r="BG159" s="130">
        <f t="shared" ref="BG159:BH159" si="38">BG153/1000</f>
        <v>1.9</v>
      </c>
      <c r="BH159" s="130">
        <f t="shared" si="38"/>
        <v>1.5</v>
      </c>
    </row>
    <row r="160" spans="3:60">
      <c r="C160" s="119" t="s">
        <v>306</v>
      </c>
      <c r="D160" s="128">
        <f>(D152+D154)/1000</f>
        <v>18.722099999999998</v>
      </c>
      <c r="E160" s="128">
        <f t="shared" ref="E160:BA160" si="39">(E152+E154)/1000</f>
        <v>18.744400000000002</v>
      </c>
      <c r="F160" s="128">
        <f t="shared" si="39"/>
        <v>17.425800000000002</v>
      </c>
      <c r="G160" s="128">
        <f t="shared" si="39"/>
        <v>18.911200000000001</v>
      </c>
      <c r="H160" s="128">
        <f t="shared" si="39"/>
        <v>21.817899999999998</v>
      </c>
      <c r="I160" s="128">
        <f t="shared" si="39"/>
        <v>22.2425</v>
      </c>
      <c r="J160" s="128">
        <f t="shared" si="39"/>
        <v>20.238599999999998</v>
      </c>
      <c r="K160" s="128">
        <f t="shared" si="39"/>
        <v>19.778199999999998</v>
      </c>
      <c r="L160" s="128">
        <f t="shared" si="39"/>
        <v>20.978400000000001</v>
      </c>
      <c r="M160" s="128">
        <f t="shared" si="39"/>
        <v>21.208599999999997</v>
      </c>
      <c r="N160" s="128">
        <f t="shared" si="39"/>
        <v>22.454999999999998</v>
      </c>
      <c r="O160" s="128">
        <f t="shared" si="39"/>
        <v>19.519800000000004</v>
      </c>
      <c r="P160" s="128">
        <f t="shared" si="39"/>
        <v>20.123900000000003</v>
      </c>
      <c r="Q160" s="128">
        <f t="shared" si="39"/>
        <v>21.0307</v>
      </c>
      <c r="R160" s="128">
        <f t="shared" si="39"/>
        <v>16.895900000000001</v>
      </c>
      <c r="S160" s="128">
        <f t="shared" si="39"/>
        <v>14.5099</v>
      </c>
      <c r="T160" s="128">
        <f t="shared" si="39"/>
        <v>15.496099999999998</v>
      </c>
      <c r="U160" s="128">
        <f t="shared" si="39"/>
        <v>14.1213</v>
      </c>
      <c r="V160" s="128">
        <f t="shared" si="39"/>
        <v>13.099800000000002</v>
      </c>
      <c r="W160" s="128">
        <f t="shared" si="39"/>
        <v>14.0566</v>
      </c>
      <c r="X160" s="128">
        <f t="shared" si="39"/>
        <v>6.6886000000000001</v>
      </c>
      <c r="Y160" s="128">
        <f t="shared" si="39"/>
        <v>10.534600000000001</v>
      </c>
      <c r="Z160" s="128">
        <f t="shared" si="39"/>
        <v>9.0358000000000001</v>
      </c>
      <c r="AA160" s="128">
        <f t="shared" si="39"/>
        <v>10.4955</v>
      </c>
      <c r="AB160" s="128">
        <f t="shared" si="39"/>
        <v>10.295299999999999</v>
      </c>
      <c r="AC160" s="128">
        <f t="shared" si="39"/>
        <v>11.185</v>
      </c>
      <c r="AD160" s="128">
        <f t="shared" si="39"/>
        <v>10.5603</v>
      </c>
      <c r="AE160" s="128">
        <f t="shared" si="39"/>
        <v>12.9565</v>
      </c>
      <c r="AF160" s="128">
        <f t="shared" si="39"/>
        <v>14.007899999999999</v>
      </c>
      <c r="AG160" s="128">
        <f t="shared" si="39"/>
        <v>13.6273</v>
      </c>
      <c r="AH160" s="128">
        <f t="shared" si="39"/>
        <v>13.1691</v>
      </c>
      <c r="AI160" s="128">
        <f t="shared" si="39"/>
        <v>12.540100000000001</v>
      </c>
      <c r="AJ160" s="128">
        <f t="shared" si="39"/>
        <v>12.0916</v>
      </c>
      <c r="AK160" s="128">
        <f t="shared" si="39"/>
        <v>12.3299</v>
      </c>
      <c r="AL160" s="128">
        <f t="shared" si="39"/>
        <v>12.9093</v>
      </c>
      <c r="AM160" s="128">
        <f t="shared" si="39"/>
        <v>13.082508000000001</v>
      </c>
      <c r="AN160" s="128">
        <f t="shared" si="39"/>
        <v>13.758436</v>
      </c>
      <c r="AO160" s="128">
        <f t="shared" si="39"/>
        <v>13.9876</v>
      </c>
      <c r="AP160" s="128">
        <f t="shared" si="39"/>
        <v>13.425998999999999</v>
      </c>
      <c r="AQ160" s="128">
        <f t="shared" si="39"/>
        <v>12.633471</v>
      </c>
      <c r="AR160" s="128">
        <f t="shared" si="39"/>
        <v>11.550868000000001</v>
      </c>
      <c r="AS160" s="128">
        <f t="shared" si="39"/>
        <v>10.270799999999999</v>
      </c>
      <c r="AT160" s="128">
        <f t="shared" si="39"/>
        <v>8.9557160000000007</v>
      </c>
      <c r="AU160" s="128">
        <f t="shared" si="39"/>
        <v>10.629528000000001</v>
      </c>
      <c r="AV160" s="128">
        <f t="shared" si="39"/>
        <v>10.667153000000001</v>
      </c>
      <c r="AW160" s="128">
        <f t="shared" si="39"/>
        <v>10.549723</v>
      </c>
      <c r="AX160" s="128">
        <f t="shared" si="39"/>
        <v>11.202999999999999</v>
      </c>
      <c r="AY160" s="128">
        <f t="shared" si="39"/>
        <v>11.362</v>
      </c>
      <c r="AZ160" s="128">
        <f t="shared" si="39"/>
        <v>10.478</v>
      </c>
      <c r="BA160" s="128">
        <f t="shared" si="39"/>
        <v>7.9550000000000001</v>
      </c>
      <c r="BB160" s="128">
        <f>(BB152+BB154)/1000</f>
        <v>7.3230000000000004</v>
      </c>
      <c r="BC160" s="129">
        <f>(BC152+BC154)/1000</f>
        <v>6.9459999999999997</v>
      </c>
      <c r="BD160" s="129">
        <f>(BD152+BD154)/1000</f>
        <v>7.5</v>
      </c>
      <c r="BE160" s="129">
        <f>(BE152+BE154)/1000</f>
        <v>9.9</v>
      </c>
      <c r="BF160" s="129">
        <f>(BF152+BF154)/1000</f>
        <v>10.1</v>
      </c>
      <c r="BG160" s="130">
        <f t="shared" ref="BG160:BH160" si="40">(BG152+BG154)/1000</f>
        <v>9.1</v>
      </c>
      <c r="BH160" s="130">
        <f t="shared" si="40"/>
        <v>6.2</v>
      </c>
    </row>
    <row r="161" spans="1:60" s="80" customFormat="1">
      <c r="C161" s="119" t="s">
        <v>261</v>
      </c>
      <c r="D161" s="131">
        <f t="shared" ref="D161:BA161" si="41">D160+D159</f>
        <v>20.434599999999996</v>
      </c>
      <c r="E161" s="131">
        <f t="shared" si="41"/>
        <v>20.418800000000001</v>
      </c>
      <c r="F161" s="131">
        <f t="shared" si="41"/>
        <v>18.930100000000003</v>
      </c>
      <c r="G161" s="131">
        <f t="shared" si="41"/>
        <v>21.0213</v>
      </c>
      <c r="H161" s="131">
        <f t="shared" si="41"/>
        <v>24.802099999999999</v>
      </c>
      <c r="I161" s="131">
        <f t="shared" si="41"/>
        <v>25.7332</v>
      </c>
      <c r="J161" s="131">
        <f t="shared" si="41"/>
        <v>23.633599999999998</v>
      </c>
      <c r="K161" s="131">
        <f t="shared" si="41"/>
        <v>23.249799999999997</v>
      </c>
      <c r="L161" s="131">
        <f t="shared" si="41"/>
        <v>25.194400000000002</v>
      </c>
      <c r="M161" s="131">
        <f t="shared" si="41"/>
        <v>26.145599999999998</v>
      </c>
      <c r="N161" s="131">
        <f t="shared" si="41"/>
        <v>27.968999999999998</v>
      </c>
      <c r="O161" s="131">
        <f t="shared" si="41"/>
        <v>23.881100000000004</v>
      </c>
      <c r="P161" s="131">
        <f t="shared" si="41"/>
        <v>25.034300000000002</v>
      </c>
      <c r="Q161" s="131">
        <f t="shared" si="41"/>
        <v>26.324099999999998</v>
      </c>
      <c r="R161" s="131">
        <f t="shared" si="41"/>
        <v>22.153700000000001</v>
      </c>
      <c r="S161" s="131">
        <f t="shared" si="41"/>
        <v>20.0718</v>
      </c>
      <c r="T161" s="131">
        <f t="shared" si="41"/>
        <v>22.252199999999998</v>
      </c>
      <c r="U161" s="131">
        <f t="shared" si="41"/>
        <v>20.390599999999999</v>
      </c>
      <c r="V161" s="131">
        <f t="shared" si="41"/>
        <v>20.299900000000001</v>
      </c>
      <c r="W161" s="131">
        <f t="shared" si="41"/>
        <v>21.441499999999998</v>
      </c>
      <c r="X161" s="131">
        <f t="shared" si="41"/>
        <v>11.267299999999999</v>
      </c>
      <c r="Y161" s="131">
        <f t="shared" si="41"/>
        <v>15.572400000000002</v>
      </c>
      <c r="Z161" s="131">
        <f t="shared" si="41"/>
        <v>13.7044</v>
      </c>
      <c r="AA161" s="131">
        <f t="shared" si="41"/>
        <v>14.9864</v>
      </c>
      <c r="AB161" s="131">
        <f t="shared" si="41"/>
        <v>15.120999999999999</v>
      </c>
      <c r="AC161" s="131">
        <f t="shared" si="41"/>
        <v>15.7219</v>
      </c>
      <c r="AD161" s="131">
        <f t="shared" si="41"/>
        <v>14.725</v>
      </c>
      <c r="AE161" s="131">
        <f t="shared" si="41"/>
        <v>17.413699999999999</v>
      </c>
      <c r="AF161" s="131">
        <f t="shared" si="41"/>
        <v>18.95</v>
      </c>
      <c r="AG161" s="131">
        <f t="shared" si="41"/>
        <v>18.739899999999999</v>
      </c>
      <c r="AH161" s="131">
        <f t="shared" si="41"/>
        <v>17.840700000000002</v>
      </c>
      <c r="AI161" s="131">
        <f t="shared" si="41"/>
        <v>16.474400000000003</v>
      </c>
      <c r="AJ161" s="131">
        <f t="shared" si="41"/>
        <v>16.2119</v>
      </c>
      <c r="AK161" s="131">
        <f t="shared" si="41"/>
        <v>16.624700000000001</v>
      </c>
      <c r="AL161" s="131">
        <f t="shared" si="41"/>
        <v>17.285800000000002</v>
      </c>
      <c r="AM161" s="131">
        <f t="shared" si="41"/>
        <v>17.6036</v>
      </c>
      <c r="AN161" s="131">
        <f t="shared" si="41"/>
        <v>17.991737999999998</v>
      </c>
      <c r="AO161" s="131">
        <f t="shared" si="41"/>
        <v>18.500499999999999</v>
      </c>
      <c r="AP161" s="131">
        <f t="shared" si="41"/>
        <v>17.314978</v>
      </c>
      <c r="AQ161" s="131">
        <f t="shared" si="41"/>
        <v>16.295763000000001</v>
      </c>
      <c r="AR161" s="131">
        <f t="shared" si="41"/>
        <v>15.154612000000002</v>
      </c>
      <c r="AS161" s="131">
        <f t="shared" si="41"/>
        <v>13.5426</v>
      </c>
      <c r="AT161" s="131">
        <f t="shared" si="41"/>
        <v>11.667113000000001</v>
      </c>
      <c r="AU161" s="131">
        <f t="shared" si="41"/>
        <v>13.268022999999999</v>
      </c>
      <c r="AV161" s="131">
        <f t="shared" si="41"/>
        <v>13.765739</v>
      </c>
      <c r="AW161" s="131">
        <f t="shared" si="41"/>
        <v>13.238723</v>
      </c>
      <c r="AX161" s="131">
        <f t="shared" si="41"/>
        <v>13.904999999999999</v>
      </c>
      <c r="AY161" s="131">
        <f t="shared" si="41"/>
        <v>14.391999999999999</v>
      </c>
      <c r="AZ161" s="131">
        <f t="shared" si="41"/>
        <v>13.521000000000001</v>
      </c>
      <c r="BA161" s="131">
        <f t="shared" si="41"/>
        <v>10.074999999999999</v>
      </c>
      <c r="BB161" s="131">
        <f>BB160+BB159</f>
        <v>9.7080000000000002</v>
      </c>
      <c r="BC161" s="132">
        <f>BC160+BC159</f>
        <v>9.4779999999999998</v>
      </c>
      <c r="BD161" s="132">
        <f>BD160+BD159</f>
        <v>9.5</v>
      </c>
      <c r="BE161" s="132">
        <f>BE160+BE159</f>
        <v>11.8</v>
      </c>
      <c r="BF161" s="132">
        <f>BF160+BF159</f>
        <v>12.1</v>
      </c>
      <c r="BG161" s="133">
        <f t="shared" ref="BG161:BH161" si="42">BG160+BG159</f>
        <v>11</v>
      </c>
      <c r="BH161" s="133">
        <f t="shared" si="42"/>
        <v>7.7</v>
      </c>
    </row>
    <row r="162" spans="1:60">
      <c r="D162" s="91"/>
      <c r="E162" s="91"/>
      <c r="F162" s="91"/>
      <c r="G162" s="91"/>
    </row>
    <row r="163" spans="1:60">
      <c r="D163" s="91"/>
      <c r="E163" s="91"/>
      <c r="F163" s="91"/>
      <c r="G163" s="91"/>
    </row>
    <row r="164" spans="1:60" ht="39.6">
      <c r="A164" s="134" t="s">
        <v>307</v>
      </c>
      <c r="B164" s="135"/>
      <c r="C164" s="75">
        <v>1</v>
      </c>
      <c r="D164" s="75" t="s">
        <v>249</v>
      </c>
      <c r="E164" s="91"/>
      <c r="F164" s="91"/>
      <c r="G164" s="91"/>
    </row>
    <row r="165" spans="1:60">
      <c r="A165" s="81" t="s">
        <v>308</v>
      </c>
      <c r="C165" s="75">
        <v>41868</v>
      </c>
      <c r="D165" s="75" t="s">
        <v>284</v>
      </c>
      <c r="E165" s="91"/>
      <c r="F165" s="91"/>
      <c r="G165" s="91"/>
    </row>
    <row r="166" spans="1:60" s="80" customFormat="1">
      <c r="A166" s="80" t="s">
        <v>309</v>
      </c>
      <c r="D166" s="136">
        <v>1960</v>
      </c>
      <c r="E166" s="136">
        <v>1961</v>
      </c>
      <c r="F166" s="136">
        <v>1962</v>
      </c>
      <c r="G166" s="136">
        <v>1963</v>
      </c>
      <c r="H166" s="136">
        <v>1964</v>
      </c>
      <c r="I166" s="136">
        <v>1965</v>
      </c>
      <c r="J166" s="136">
        <v>1966</v>
      </c>
      <c r="K166" s="136">
        <v>1967</v>
      </c>
      <c r="L166" s="136">
        <v>1968</v>
      </c>
      <c r="M166" s="136">
        <v>1969</v>
      </c>
      <c r="N166" s="136">
        <v>1970</v>
      </c>
      <c r="O166" s="136">
        <v>1971</v>
      </c>
      <c r="P166" s="136">
        <v>1972</v>
      </c>
      <c r="Q166" s="136">
        <v>1973</v>
      </c>
      <c r="R166" s="136">
        <v>1974</v>
      </c>
      <c r="S166" s="136">
        <v>1975</v>
      </c>
      <c r="T166" s="136">
        <v>1976</v>
      </c>
      <c r="U166" s="136">
        <v>1977</v>
      </c>
      <c r="V166" s="136">
        <v>1978</v>
      </c>
      <c r="W166" s="136">
        <v>1979</v>
      </c>
      <c r="X166" s="136">
        <v>1980</v>
      </c>
      <c r="Y166" s="136">
        <v>1981</v>
      </c>
      <c r="Z166" s="136">
        <v>1982</v>
      </c>
      <c r="AA166" s="136">
        <v>1983</v>
      </c>
      <c r="AB166" s="136">
        <v>1984</v>
      </c>
      <c r="AC166" s="136">
        <v>1985</v>
      </c>
      <c r="AD166" s="136">
        <v>1986</v>
      </c>
      <c r="AE166" s="136">
        <v>1987</v>
      </c>
      <c r="AF166" s="136">
        <v>1988</v>
      </c>
      <c r="AG166" s="136">
        <v>1989</v>
      </c>
      <c r="AH166" s="136">
        <v>1990</v>
      </c>
      <c r="AI166" s="136">
        <v>1991</v>
      </c>
      <c r="AJ166" s="136">
        <v>1992</v>
      </c>
      <c r="AK166" s="136">
        <v>1993</v>
      </c>
      <c r="AL166" s="136">
        <v>1994</v>
      </c>
      <c r="AM166" s="136">
        <v>1995</v>
      </c>
      <c r="AN166" s="136">
        <v>1996</v>
      </c>
      <c r="AO166" s="136">
        <v>1997</v>
      </c>
      <c r="AP166" s="136">
        <v>1998</v>
      </c>
      <c r="AQ166" s="136">
        <v>1999</v>
      </c>
      <c r="AR166" s="136">
        <v>2000</v>
      </c>
      <c r="AS166" s="136">
        <v>2001</v>
      </c>
      <c r="AT166" s="136">
        <v>2002</v>
      </c>
      <c r="AU166" s="136">
        <v>2003</v>
      </c>
      <c r="AV166" s="136">
        <v>2004</v>
      </c>
      <c r="AW166" s="136">
        <v>2005</v>
      </c>
      <c r="AX166" s="136">
        <v>2006</v>
      </c>
      <c r="AY166" s="136">
        <v>2007</v>
      </c>
      <c r="AZ166" s="136">
        <v>2008</v>
      </c>
      <c r="BA166" s="136">
        <v>2009</v>
      </c>
      <c r="BB166" s="136">
        <v>2010</v>
      </c>
      <c r="BC166" s="136">
        <v>2011</v>
      </c>
      <c r="BD166" s="136">
        <v>2012</v>
      </c>
      <c r="BE166" s="136">
        <v>2013</v>
      </c>
      <c r="BF166" s="136">
        <v>2014</v>
      </c>
      <c r="BG166" s="136">
        <v>2015</v>
      </c>
      <c r="BH166" s="136">
        <v>2016</v>
      </c>
    </row>
    <row r="167" spans="1:60">
      <c r="A167" s="81" t="s">
        <v>310</v>
      </c>
      <c r="B167" s="81"/>
      <c r="C167" s="119" t="s">
        <v>249</v>
      </c>
      <c r="D167" s="91">
        <v>8294</v>
      </c>
      <c r="E167" s="91">
        <v>7566</v>
      </c>
      <c r="F167" s="91">
        <v>7172</v>
      </c>
      <c r="G167" s="91">
        <v>7783</v>
      </c>
      <c r="H167" s="91">
        <v>8749</v>
      </c>
      <c r="I167" s="91">
        <v>9475</v>
      </c>
      <c r="J167" s="91">
        <v>8733</v>
      </c>
      <c r="K167" s="91">
        <v>8500</v>
      </c>
      <c r="L167" s="91">
        <v>9143</v>
      </c>
      <c r="M167" s="91">
        <v>9309</v>
      </c>
      <c r="N167" s="91">
        <v>9459</v>
      </c>
      <c r="O167" s="91">
        <v>8989</v>
      </c>
      <c r="P167" s="91">
        <v>8334</v>
      </c>
      <c r="Q167" s="91">
        <v>8416</v>
      </c>
      <c r="R167" s="91">
        <v>6344</v>
      </c>
      <c r="S167" s="91">
        <v>6498</v>
      </c>
      <c r="T167" s="91">
        <v>6145</v>
      </c>
      <c r="U167" s="91">
        <v>5847</v>
      </c>
      <c r="V167" s="91">
        <v>5500</v>
      </c>
      <c r="W167" s="91">
        <v>6124</v>
      </c>
      <c r="X167" s="91">
        <v>3942</v>
      </c>
      <c r="Y167" s="91">
        <v>5386</v>
      </c>
      <c r="Z167" s="91">
        <v>4921</v>
      </c>
      <c r="AA167" s="91">
        <v>4704</v>
      </c>
      <c r="AB167" s="91">
        <v>4749</v>
      </c>
      <c r="AC167" s="91">
        <v>5056</v>
      </c>
      <c r="AD167" s="91">
        <v>4320</v>
      </c>
      <c r="AE167" s="91">
        <v>4466</v>
      </c>
      <c r="AF167" s="91">
        <v>4479</v>
      </c>
      <c r="AG167" s="91">
        <v>4216</v>
      </c>
      <c r="AH167" s="91">
        <v>4164</v>
      </c>
      <c r="AI167" s="91">
        <v>3845</v>
      </c>
      <c r="AJ167" s="91">
        <v>3239</v>
      </c>
      <c r="AK167" s="91">
        <v>3466</v>
      </c>
      <c r="AL167" s="91">
        <v>3775</v>
      </c>
      <c r="AM167" s="91">
        <v>3616</v>
      </c>
      <c r="AN167" s="91">
        <v>3433</v>
      </c>
      <c r="AO167" s="91">
        <v>3339</v>
      </c>
      <c r="AP167" s="91">
        <v>2863</v>
      </c>
      <c r="AQ167" s="91">
        <v>2987</v>
      </c>
      <c r="AR167" s="91">
        <v>2932</v>
      </c>
      <c r="AS167" s="91">
        <v>2172</v>
      </c>
      <c r="AT167" s="91">
        <v>1974</v>
      </c>
      <c r="AU167" s="91">
        <v>1955</v>
      </c>
      <c r="AV167" s="91">
        <v>1961</v>
      </c>
      <c r="AW167" s="91">
        <v>1789</v>
      </c>
      <c r="AX167" s="91">
        <v>2021</v>
      </c>
      <c r="AY167" s="91">
        <v>2002</v>
      </c>
      <c r="AZ167" s="91">
        <v>2055</v>
      </c>
      <c r="BA167" s="91">
        <v>1405</v>
      </c>
      <c r="BB167" s="91">
        <v>1350</v>
      </c>
      <c r="BC167" s="91">
        <v>1235</v>
      </c>
      <c r="BD167" s="91">
        <v>1147</v>
      </c>
      <c r="BE167" s="91">
        <v>1279</v>
      </c>
      <c r="BF167" s="91">
        <v>1315</v>
      </c>
      <c r="BG167" s="91">
        <v>1286</v>
      </c>
      <c r="BH167" s="91">
        <v>996</v>
      </c>
    </row>
    <row r="168" spans="1:60">
      <c r="A168" s="81" t="s">
        <v>311</v>
      </c>
      <c r="B168" s="81"/>
      <c r="C168" s="119" t="s">
        <v>249</v>
      </c>
      <c r="D168" s="91">
        <v>820</v>
      </c>
      <c r="E168" s="91">
        <v>784</v>
      </c>
      <c r="F168" s="91">
        <v>796</v>
      </c>
      <c r="G168" s="91">
        <v>899</v>
      </c>
      <c r="H168" s="91">
        <v>1010</v>
      </c>
      <c r="I168" s="91">
        <v>1085</v>
      </c>
      <c r="J168" s="91">
        <v>1056</v>
      </c>
      <c r="K168" s="91">
        <v>1017</v>
      </c>
      <c r="L168" s="91">
        <v>1109</v>
      </c>
      <c r="M168" s="91">
        <v>1171</v>
      </c>
      <c r="N168" s="91">
        <v>1184</v>
      </c>
      <c r="O168" s="91">
        <v>1076</v>
      </c>
      <c r="P168" s="91">
        <v>1052</v>
      </c>
      <c r="Q168" s="91">
        <v>1119</v>
      </c>
      <c r="R168" s="91">
        <v>1044</v>
      </c>
      <c r="S168" s="91">
        <v>1001</v>
      </c>
      <c r="T168" s="91">
        <v>1132</v>
      </c>
      <c r="U168" s="91">
        <v>1105</v>
      </c>
      <c r="V168" s="91">
        <v>1237</v>
      </c>
      <c r="W168" s="91">
        <v>1261</v>
      </c>
      <c r="X168" s="91">
        <v>865</v>
      </c>
      <c r="Y168" s="91">
        <v>962</v>
      </c>
      <c r="Z168" s="91">
        <v>892</v>
      </c>
      <c r="AA168" s="91">
        <v>861</v>
      </c>
      <c r="AB168" s="91">
        <v>784</v>
      </c>
      <c r="AC168" s="91">
        <v>773</v>
      </c>
      <c r="AD168" s="91">
        <v>740</v>
      </c>
      <c r="AE168" s="91">
        <v>793</v>
      </c>
      <c r="AF168" s="91">
        <v>844</v>
      </c>
      <c r="AG168" s="91">
        <v>857</v>
      </c>
      <c r="AH168" s="91">
        <v>780</v>
      </c>
      <c r="AI168" s="91">
        <v>771</v>
      </c>
      <c r="AJ168" s="91">
        <v>731</v>
      </c>
      <c r="AK168" s="91">
        <v>783</v>
      </c>
      <c r="AL168" s="91">
        <v>823</v>
      </c>
      <c r="AM168" s="91">
        <v>838</v>
      </c>
      <c r="AN168" s="91">
        <v>862</v>
      </c>
      <c r="AO168" s="91">
        <v>835</v>
      </c>
      <c r="AP168" s="91">
        <v>823</v>
      </c>
      <c r="AQ168" s="91">
        <v>841</v>
      </c>
      <c r="AR168" s="91">
        <v>546</v>
      </c>
      <c r="AS168" s="91">
        <v>456</v>
      </c>
      <c r="AT168" s="91">
        <v>438</v>
      </c>
      <c r="AU168" s="91">
        <v>467</v>
      </c>
      <c r="AV168" s="91">
        <v>465</v>
      </c>
      <c r="AW168" s="91">
        <v>432</v>
      </c>
      <c r="AX168" s="91">
        <v>504</v>
      </c>
      <c r="AY168" s="91">
        <v>425</v>
      </c>
      <c r="AZ168" s="91">
        <v>400</v>
      </c>
      <c r="BA168" s="91">
        <v>311</v>
      </c>
      <c r="BB168" s="91">
        <v>330</v>
      </c>
      <c r="BC168" s="91">
        <v>331</v>
      </c>
      <c r="BD168" s="91">
        <v>308</v>
      </c>
      <c r="BE168" s="91">
        <v>327</v>
      </c>
      <c r="BF168" s="91">
        <v>326</v>
      </c>
      <c r="BG168" s="91">
        <v>317</v>
      </c>
      <c r="BH168" s="91">
        <v>245</v>
      </c>
    </row>
    <row r="169" spans="1:60">
      <c r="A169" s="81" t="s">
        <v>310</v>
      </c>
      <c r="B169" s="81"/>
      <c r="C169" s="81" t="s">
        <v>284</v>
      </c>
      <c r="D169" s="91">
        <f>D167*$C$165</f>
        <v>347253192</v>
      </c>
      <c r="E169" s="91">
        <f t="shared" ref="E169:BH170" si="43">E167*$C$165</f>
        <v>316773288</v>
      </c>
      <c r="F169" s="91">
        <f t="shared" si="43"/>
        <v>300277296</v>
      </c>
      <c r="G169" s="91">
        <f t="shared" si="43"/>
        <v>325858644</v>
      </c>
      <c r="H169" s="91">
        <f t="shared" si="43"/>
        <v>366303132</v>
      </c>
      <c r="I169" s="91">
        <f t="shared" si="43"/>
        <v>396699300</v>
      </c>
      <c r="J169" s="91">
        <f t="shared" si="43"/>
        <v>365633244</v>
      </c>
      <c r="K169" s="91">
        <f t="shared" si="43"/>
        <v>355878000</v>
      </c>
      <c r="L169" s="91">
        <f t="shared" si="43"/>
        <v>382799124</v>
      </c>
      <c r="M169" s="91">
        <f t="shared" si="43"/>
        <v>389749212</v>
      </c>
      <c r="N169" s="91">
        <f t="shared" si="43"/>
        <v>396029412</v>
      </c>
      <c r="O169" s="91">
        <f t="shared" si="43"/>
        <v>376351452</v>
      </c>
      <c r="P169" s="91">
        <f t="shared" si="43"/>
        <v>348927912</v>
      </c>
      <c r="Q169" s="91">
        <f t="shared" si="43"/>
        <v>352361088</v>
      </c>
      <c r="R169" s="91">
        <f t="shared" si="43"/>
        <v>265610592</v>
      </c>
      <c r="S169" s="91">
        <f t="shared" si="43"/>
        <v>272058264</v>
      </c>
      <c r="T169" s="91">
        <f t="shared" si="43"/>
        <v>257278860</v>
      </c>
      <c r="U169" s="91">
        <f t="shared" si="43"/>
        <v>244802196</v>
      </c>
      <c r="V169" s="91">
        <f t="shared" si="43"/>
        <v>230274000</v>
      </c>
      <c r="W169" s="91">
        <f t="shared" si="43"/>
        <v>256399632</v>
      </c>
      <c r="X169" s="91">
        <f t="shared" si="43"/>
        <v>165043656</v>
      </c>
      <c r="Y169" s="91">
        <f t="shared" si="43"/>
        <v>225501048</v>
      </c>
      <c r="Z169" s="91">
        <f t="shared" si="43"/>
        <v>206032428</v>
      </c>
      <c r="AA169" s="91">
        <f t="shared" si="43"/>
        <v>196947072</v>
      </c>
      <c r="AB169" s="91">
        <f t="shared" si="43"/>
        <v>198831132</v>
      </c>
      <c r="AC169" s="91">
        <f t="shared" si="43"/>
        <v>211684608</v>
      </c>
      <c r="AD169" s="91">
        <f t="shared" si="43"/>
        <v>180869760</v>
      </c>
      <c r="AE169" s="91">
        <f t="shared" si="43"/>
        <v>186982488</v>
      </c>
      <c r="AF169" s="91">
        <f t="shared" si="43"/>
        <v>187526772</v>
      </c>
      <c r="AG169" s="91">
        <f t="shared" si="43"/>
        <v>176515488</v>
      </c>
      <c r="AH169" s="91">
        <f t="shared" si="43"/>
        <v>174338352</v>
      </c>
      <c r="AI169" s="91">
        <f t="shared" si="43"/>
        <v>160982460</v>
      </c>
      <c r="AJ169" s="91">
        <f t="shared" si="43"/>
        <v>135610452</v>
      </c>
      <c r="AK169" s="91">
        <f t="shared" si="43"/>
        <v>145114488</v>
      </c>
      <c r="AL169" s="91">
        <f t="shared" si="43"/>
        <v>158051700</v>
      </c>
      <c r="AM169" s="91">
        <f t="shared" si="43"/>
        <v>151394688</v>
      </c>
      <c r="AN169" s="91">
        <f t="shared" si="43"/>
        <v>143732844</v>
      </c>
      <c r="AO169" s="91">
        <f t="shared" si="43"/>
        <v>139797252</v>
      </c>
      <c r="AP169" s="91">
        <f t="shared" si="43"/>
        <v>119868084</v>
      </c>
      <c r="AQ169" s="91">
        <f t="shared" si="43"/>
        <v>125059716</v>
      </c>
      <c r="AR169" s="91">
        <f t="shared" si="43"/>
        <v>122756976</v>
      </c>
      <c r="AS169" s="91">
        <f t="shared" si="43"/>
        <v>90937296</v>
      </c>
      <c r="AT169" s="91">
        <f t="shared" si="43"/>
        <v>82647432</v>
      </c>
      <c r="AU169" s="91">
        <f t="shared" si="43"/>
        <v>81851940</v>
      </c>
      <c r="AV169" s="91">
        <f t="shared" si="43"/>
        <v>82103148</v>
      </c>
      <c r="AW169" s="91">
        <f t="shared" si="43"/>
        <v>74901852</v>
      </c>
      <c r="AX169" s="91">
        <f t="shared" si="43"/>
        <v>84615228</v>
      </c>
      <c r="AY169" s="91">
        <f t="shared" si="43"/>
        <v>83819736</v>
      </c>
      <c r="AZ169" s="91">
        <f t="shared" si="43"/>
        <v>86038740</v>
      </c>
      <c r="BA169" s="91">
        <f t="shared" si="43"/>
        <v>58824540</v>
      </c>
      <c r="BB169" s="91">
        <f t="shared" si="43"/>
        <v>56521800</v>
      </c>
      <c r="BC169" s="91">
        <f t="shared" si="43"/>
        <v>51706980</v>
      </c>
      <c r="BD169" s="91">
        <f t="shared" si="43"/>
        <v>48022596</v>
      </c>
      <c r="BE169" s="91">
        <f t="shared" si="43"/>
        <v>53549172</v>
      </c>
      <c r="BF169" s="91">
        <f t="shared" si="43"/>
        <v>55056420</v>
      </c>
      <c r="BG169" s="91">
        <f t="shared" si="43"/>
        <v>53842248</v>
      </c>
      <c r="BH169" s="91">
        <f t="shared" si="43"/>
        <v>41700528</v>
      </c>
    </row>
    <row r="170" spans="1:60">
      <c r="A170" s="81" t="s">
        <v>311</v>
      </c>
      <c r="B170" s="81"/>
      <c r="C170" s="81" t="s">
        <v>284</v>
      </c>
      <c r="D170" s="91">
        <f>D168*$C$165</f>
        <v>34331760</v>
      </c>
      <c r="E170" s="91">
        <f t="shared" si="43"/>
        <v>32824512</v>
      </c>
      <c r="F170" s="91">
        <f t="shared" si="43"/>
        <v>33326928</v>
      </c>
      <c r="G170" s="91">
        <f t="shared" si="43"/>
        <v>37639332</v>
      </c>
      <c r="H170" s="91">
        <f t="shared" si="43"/>
        <v>42286680</v>
      </c>
      <c r="I170" s="91">
        <f t="shared" si="43"/>
        <v>45426780</v>
      </c>
      <c r="J170" s="91">
        <f t="shared" si="43"/>
        <v>44212608</v>
      </c>
      <c r="K170" s="91">
        <f t="shared" si="43"/>
        <v>42579756</v>
      </c>
      <c r="L170" s="91">
        <f t="shared" si="43"/>
        <v>46431612</v>
      </c>
      <c r="M170" s="91">
        <f t="shared" si="43"/>
        <v>49027428</v>
      </c>
      <c r="N170" s="91">
        <f t="shared" si="43"/>
        <v>49571712</v>
      </c>
      <c r="O170" s="91">
        <f t="shared" si="43"/>
        <v>45049968</v>
      </c>
      <c r="P170" s="91">
        <f t="shared" si="43"/>
        <v>44045136</v>
      </c>
      <c r="Q170" s="91">
        <f t="shared" si="43"/>
        <v>46850292</v>
      </c>
      <c r="R170" s="91">
        <f t="shared" si="43"/>
        <v>43710192</v>
      </c>
      <c r="S170" s="91">
        <f t="shared" si="43"/>
        <v>41909868</v>
      </c>
      <c r="T170" s="91">
        <f t="shared" si="43"/>
        <v>47394576</v>
      </c>
      <c r="U170" s="91">
        <f t="shared" si="43"/>
        <v>46264140</v>
      </c>
      <c r="V170" s="91">
        <f t="shared" si="43"/>
        <v>51790716</v>
      </c>
      <c r="W170" s="91">
        <f t="shared" si="43"/>
        <v>52795548</v>
      </c>
      <c r="X170" s="91">
        <f t="shared" si="43"/>
        <v>36215820</v>
      </c>
      <c r="Y170" s="91">
        <f t="shared" si="43"/>
        <v>40277016</v>
      </c>
      <c r="Z170" s="91">
        <f t="shared" si="43"/>
        <v>37346256</v>
      </c>
      <c r="AA170" s="91">
        <f t="shared" si="43"/>
        <v>36048348</v>
      </c>
      <c r="AB170" s="91">
        <f t="shared" si="43"/>
        <v>32824512</v>
      </c>
      <c r="AC170" s="91">
        <f t="shared" si="43"/>
        <v>32363964</v>
      </c>
      <c r="AD170" s="91">
        <f t="shared" si="43"/>
        <v>30982320</v>
      </c>
      <c r="AE170" s="91">
        <f t="shared" si="43"/>
        <v>33201324</v>
      </c>
      <c r="AF170" s="91">
        <f t="shared" si="43"/>
        <v>35336592</v>
      </c>
      <c r="AG170" s="91">
        <f t="shared" si="43"/>
        <v>35880876</v>
      </c>
      <c r="AH170" s="91">
        <f t="shared" si="43"/>
        <v>32657040</v>
      </c>
      <c r="AI170" s="91">
        <f t="shared" si="43"/>
        <v>32280228</v>
      </c>
      <c r="AJ170" s="91">
        <f t="shared" si="43"/>
        <v>30605508</v>
      </c>
      <c r="AK170" s="91">
        <f t="shared" si="43"/>
        <v>32782644</v>
      </c>
      <c r="AL170" s="91">
        <f t="shared" si="43"/>
        <v>34457364</v>
      </c>
      <c r="AM170" s="91">
        <f t="shared" si="43"/>
        <v>35085384</v>
      </c>
      <c r="AN170" s="91">
        <f t="shared" si="43"/>
        <v>36090216</v>
      </c>
      <c r="AO170" s="91">
        <f t="shared" si="43"/>
        <v>34959780</v>
      </c>
      <c r="AP170" s="91">
        <f t="shared" si="43"/>
        <v>34457364</v>
      </c>
      <c r="AQ170" s="91">
        <f t="shared" si="43"/>
        <v>35210988</v>
      </c>
      <c r="AR170" s="91">
        <f t="shared" si="43"/>
        <v>22859928</v>
      </c>
      <c r="AS170" s="91">
        <f t="shared" si="43"/>
        <v>19091808</v>
      </c>
      <c r="AT170" s="91">
        <f t="shared" si="43"/>
        <v>18338184</v>
      </c>
      <c r="AU170" s="91">
        <f t="shared" si="43"/>
        <v>19552356</v>
      </c>
      <c r="AV170" s="91">
        <f t="shared" si="43"/>
        <v>19468620</v>
      </c>
      <c r="AW170" s="91">
        <f t="shared" si="43"/>
        <v>18086976</v>
      </c>
      <c r="AX170" s="91">
        <f t="shared" si="43"/>
        <v>21101472</v>
      </c>
      <c r="AY170" s="91">
        <f t="shared" si="43"/>
        <v>17793900</v>
      </c>
      <c r="AZ170" s="91">
        <f t="shared" si="43"/>
        <v>16747200</v>
      </c>
      <c r="BA170" s="91">
        <f t="shared" si="43"/>
        <v>13020948</v>
      </c>
      <c r="BB170" s="91">
        <f t="shared" si="43"/>
        <v>13816440</v>
      </c>
      <c r="BC170" s="91">
        <f t="shared" si="43"/>
        <v>13858308</v>
      </c>
      <c r="BD170" s="91">
        <f t="shared" si="43"/>
        <v>12895344</v>
      </c>
      <c r="BE170" s="91">
        <f t="shared" si="43"/>
        <v>13690836</v>
      </c>
      <c r="BF170" s="91">
        <f t="shared" si="43"/>
        <v>13648968</v>
      </c>
      <c r="BG170" s="91">
        <f t="shared" si="43"/>
        <v>13272156</v>
      </c>
      <c r="BH170" s="91">
        <f t="shared" si="43"/>
        <v>10257660</v>
      </c>
    </row>
    <row r="171" spans="1:60">
      <c r="A171" s="81" t="s">
        <v>261</v>
      </c>
      <c r="B171" s="81"/>
      <c r="C171" s="81" t="s">
        <v>284</v>
      </c>
      <c r="D171" s="91">
        <f>D169+D170</f>
        <v>381584952</v>
      </c>
      <c r="E171" s="91">
        <f t="shared" ref="E171:BH171" si="44">E169+E170</f>
        <v>349597800</v>
      </c>
      <c r="F171" s="91">
        <f t="shared" si="44"/>
        <v>333604224</v>
      </c>
      <c r="G171" s="91">
        <f t="shared" si="44"/>
        <v>363497976</v>
      </c>
      <c r="H171" s="91">
        <f t="shared" si="44"/>
        <v>408589812</v>
      </c>
      <c r="I171" s="91">
        <f t="shared" si="44"/>
        <v>442126080</v>
      </c>
      <c r="J171" s="91">
        <f t="shared" si="44"/>
        <v>409845852</v>
      </c>
      <c r="K171" s="91">
        <f t="shared" si="44"/>
        <v>398457756</v>
      </c>
      <c r="L171" s="91">
        <f t="shared" si="44"/>
        <v>429230736</v>
      </c>
      <c r="M171" s="91">
        <f t="shared" si="44"/>
        <v>438776640</v>
      </c>
      <c r="N171" s="91">
        <f t="shared" si="44"/>
        <v>445601124</v>
      </c>
      <c r="O171" s="91">
        <f t="shared" si="44"/>
        <v>421401420</v>
      </c>
      <c r="P171" s="91">
        <f t="shared" si="44"/>
        <v>392973048</v>
      </c>
      <c r="Q171" s="91">
        <f t="shared" si="44"/>
        <v>399211380</v>
      </c>
      <c r="R171" s="91">
        <f t="shared" si="44"/>
        <v>309320784</v>
      </c>
      <c r="S171" s="91">
        <f t="shared" si="44"/>
        <v>313968132</v>
      </c>
      <c r="T171" s="91">
        <f t="shared" si="44"/>
        <v>304673436</v>
      </c>
      <c r="U171" s="91">
        <f t="shared" si="44"/>
        <v>291066336</v>
      </c>
      <c r="V171" s="91">
        <f t="shared" si="44"/>
        <v>282064716</v>
      </c>
      <c r="W171" s="91">
        <f t="shared" si="44"/>
        <v>309195180</v>
      </c>
      <c r="X171" s="91">
        <f t="shared" si="44"/>
        <v>201259476</v>
      </c>
      <c r="Y171" s="91">
        <f t="shared" si="44"/>
        <v>265778064</v>
      </c>
      <c r="Z171" s="91">
        <f t="shared" si="44"/>
        <v>243378684</v>
      </c>
      <c r="AA171" s="91">
        <f t="shared" si="44"/>
        <v>232995420</v>
      </c>
      <c r="AB171" s="91">
        <f t="shared" si="44"/>
        <v>231655644</v>
      </c>
      <c r="AC171" s="91">
        <f t="shared" si="44"/>
        <v>244048572</v>
      </c>
      <c r="AD171" s="91">
        <f t="shared" si="44"/>
        <v>211852080</v>
      </c>
      <c r="AE171" s="91">
        <f t="shared" si="44"/>
        <v>220183812</v>
      </c>
      <c r="AF171" s="91">
        <f t="shared" si="44"/>
        <v>222863364</v>
      </c>
      <c r="AG171" s="91">
        <f t="shared" si="44"/>
        <v>212396364</v>
      </c>
      <c r="AH171" s="91">
        <f t="shared" si="44"/>
        <v>206995392</v>
      </c>
      <c r="AI171" s="91">
        <f t="shared" si="44"/>
        <v>193262688</v>
      </c>
      <c r="AJ171" s="91">
        <f t="shared" si="44"/>
        <v>166215960</v>
      </c>
      <c r="AK171" s="91">
        <f t="shared" si="44"/>
        <v>177897132</v>
      </c>
      <c r="AL171" s="91">
        <f t="shared" si="44"/>
        <v>192509064</v>
      </c>
      <c r="AM171" s="91">
        <f t="shared" si="44"/>
        <v>186480072</v>
      </c>
      <c r="AN171" s="91">
        <f t="shared" si="44"/>
        <v>179823060</v>
      </c>
      <c r="AO171" s="91">
        <f t="shared" si="44"/>
        <v>174757032</v>
      </c>
      <c r="AP171" s="91">
        <f t="shared" si="44"/>
        <v>154325448</v>
      </c>
      <c r="AQ171" s="91">
        <f t="shared" si="44"/>
        <v>160270704</v>
      </c>
      <c r="AR171" s="91">
        <f t="shared" si="44"/>
        <v>145616904</v>
      </c>
      <c r="AS171" s="91">
        <f t="shared" si="44"/>
        <v>110029104</v>
      </c>
      <c r="AT171" s="91">
        <f t="shared" si="44"/>
        <v>100985616</v>
      </c>
      <c r="AU171" s="91">
        <f t="shared" si="44"/>
        <v>101404296</v>
      </c>
      <c r="AV171" s="91">
        <f t="shared" si="44"/>
        <v>101571768</v>
      </c>
      <c r="AW171" s="91">
        <f t="shared" si="44"/>
        <v>92988828</v>
      </c>
      <c r="AX171" s="91">
        <f t="shared" si="44"/>
        <v>105716700</v>
      </c>
      <c r="AY171" s="91">
        <f t="shared" si="44"/>
        <v>101613636</v>
      </c>
      <c r="AZ171" s="91">
        <f t="shared" si="44"/>
        <v>102785940</v>
      </c>
      <c r="BA171" s="91">
        <f t="shared" si="44"/>
        <v>71845488</v>
      </c>
      <c r="BB171" s="91">
        <f t="shared" si="44"/>
        <v>70338240</v>
      </c>
      <c r="BC171" s="91">
        <f t="shared" si="44"/>
        <v>65565288</v>
      </c>
      <c r="BD171" s="91">
        <f t="shared" si="44"/>
        <v>60917940</v>
      </c>
      <c r="BE171" s="91">
        <f t="shared" si="44"/>
        <v>67240008</v>
      </c>
      <c r="BF171" s="91">
        <f t="shared" si="44"/>
        <v>68705388</v>
      </c>
      <c r="BG171" s="91">
        <f t="shared" si="44"/>
        <v>67114404</v>
      </c>
      <c r="BH171" s="91">
        <f t="shared" si="44"/>
        <v>51958188</v>
      </c>
    </row>
    <row r="172" spans="1:60">
      <c r="C172" s="81" t="s">
        <v>312</v>
      </c>
      <c r="D172" s="105">
        <f>D171/D161/1000000</f>
        <v>18.673473031035599</v>
      </c>
      <c r="E172" s="105">
        <f t="shared" ref="E172:BH172" si="45">E171/E161/1000000</f>
        <v>17.121368542715533</v>
      </c>
      <c r="F172" s="105">
        <f t="shared" si="45"/>
        <v>17.622950961695921</v>
      </c>
      <c r="G172" s="105">
        <f t="shared" si="45"/>
        <v>17.291888513079591</v>
      </c>
      <c r="H172" s="105">
        <f t="shared" si="45"/>
        <v>16.474000669298164</v>
      </c>
      <c r="I172" s="105">
        <f t="shared" si="45"/>
        <v>17.181154306498996</v>
      </c>
      <c r="J172" s="105">
        <f t="shared" si="45"/>
        <v>17.341659840227475</v>
      </c>
      <c r="K172" s="105">
        <f t="shared" si="45"/>
        <v>17.138115424648817</v>
      </c>
      <c r="L172" s="105">
        <f t="shared" si="45"/>
        <v>17.036751659098844</v>
      </c>
      <c r="M172" s="105">
        <f t="shared" si="45"/>
        <v>16.782045162474759</v>
      </c>
      <c r="N172" s="105">
        <f t="shared" si="45"/>
        <v>15.93196481819157</v>
      </c>
      <c r="O172" s="105">
        <f t="shared" si="45"/>
        <v>17.645812797567949</v>
      </c>
      <c r="P172" s="105">
        <f t="shared" si="45"/>
        <v>15.697385107632329</v>
      </c>
      <c r="Q172" s="105">
        <f t="shared" si="45"/>
        <v>15.1652432561797</v>
      </c>
      <c r="R172" s="105">
        <f t="shared" si="45"/>
        <v>13.96248861364016</v>
      </c>
      <c r="S172" s="105">
        <f t="shared" si="45"/>
        <v>15.642250919200071</v>
      </c>
      <c r="T172" s="105">
        <f t="shared" si="45"/>
        <v>13.691834335481436</v>
      </c>
      <c r="U172" s="105">
        <f t="shared" si="45"/>
        <v>14.27453512893196</v>
      </c>
      <c r="V172" s="105">
        <f t="shared" si="45"/>
        <v>13.89488204375391</v>
      </c>
      <c r="W172" s="105">
        <f t="shared" si="45"/>
        <v>14.420408087120771</v>
      </c>
      <c r="X172" s="105">
        <f t="shared" si="45"/>
        <v>17.862263008884117</v>
      </c>
      <c r="Y172" s="105">
        <f t="shared" si="45"/>
        <v>17.067251290745162</v>
      </c>
      <c r="Z172" s="105">
        <f t="shared" si="45"/>
        <v>17.759163772219139</v>
      </c>
      <c r="AA172" s="105">
        <f t="shared" si="45"/>
        <v>15.547124059146959</v>
      </c>
      <c r="AB172" s="105">
        <f t="shared" si="45"/>
        <v>15.320127240261888</v>
      </c>
      <c r="AC172" s="105">
        <f t="shared" si="45"/>
        <v>15.522842150121804</v>
      </c>
      <c r="AD172" s="105">
        <f t="shared" si="45"/>
        <v>14.387238030560273</v>
      </c>
      <c r="AE172" s="105">
        <f t="shared" si="45"/>
        <v>12.644286510046689</v>
      </c>
      <c r="AF172" s="105">
        <f t="shared" si="45"/>
        <v>11.760599683377309</v>
      </c>
      <c r="AG172" s="105">
        <f t="shared" si="45"/>
        <v>11.333911280209607</v>
      </c>
      <c r="AH172" s="105">
        <f t="shared" si="45"/>
        <v>11.60242546536851</v>
      </c>
      <c r="AI172" s="105">
        <f t="shared" si="45"/>
        <v>11.731091147477295</v>
      </c>
      <c r="AJ172" s="105">
        <f t="shared" si="45"/>
        <v>10.252713130478229</v>
      </c>
      <c r="AK172" s="105">
        <f t="shared" si="45"/>
        <v>10.700772465067038</v>
      </c>
      <c r="AL172" s="105">
        <f t="shared" si="45"/>
        <v>11.136832776035819</v>
      </c>
      <c r="AM172" s="105">
        <f t="shared" si="45"/>
        <v>10.593291826671816</v>
      </c>
      <c r="AN172" s="105">
        <f t="shared" si="45"/>
        <v>9.9947575937355246</v>
      </c>
      <c r="AO172" s="105">
        <f t="shared" si="45"/>
        <v>9.4460707548444649</v>
      </c>
      <c r="AP172" s="105">
        <f t="shared" si="45"/>
        <v>8.9128295744874748</v>
      </c>
      <c r="AQ172" s="105">
        <f t="shared" si="45"/>
        <v>9.8351150541401466</v>
      </c>
      <c r="AR172" s="105">
        <f t="shared" si="45"/>
        <v>9.6087517120200747</v>
      </c>
      <c r="AS172" s="105">
        <f t="shared" si="45"/>
        <v>8.1246661645474276</v>
      </c>
      <c r="AT172" s="105">
        <f t="shared" si="45"/>
        <v>8.6555788051422837</v>
      </c>
      <c r="AU172" s="105">
        <f t="shared" si="45"/>
        <v>7.6427585330534935</v>
      </c>
      <c r="AV172" s="105">
        <f t="shared" si="45"/>
        <v>7.3785917341597136</v>
      </c>
      <c r="AW172" s="105">
        <f t="shared" si="45"/>
        <v>7.0240028437788142</v>
      </c>
      <c r="AX172" s="105">
        <f t="shared" si="45"/>
        <v>7.6027831715210361</v>
      </c>
      <c r="AY172" s="105">
        <f t="shared" si="45"/>
        <v>7.0604249583101728</v>
      </c>
      <c r="AZ172" s="105">
        <f t="shared" si="45"/>
        <v>7.6019480807632567</v>
      </c>
      <c r="BA172" s="105">
        <f t="shared" si="45"/>
        <v>7.1310658064516135</v>
      </c>
      <c r="BB172" s="105">
        <f t="shared" si="45"/>
        <v>7.2453893695920888</v>
      </c>
      <c r="BC172" s="105">
        <f t="shared" si="45"/>
        <v>6.9176290356615322</v>
      </c>
      <c r="BD172" s="105">
        <f t="shared" si="45"/>
        <v>6.4124147368421047</v>
      </c>
      <c r="BE172" s="105">
        <f t="shared" si="45"/>
        <v>5.6983057627118638</v>
      </c>
      <c r="BF172" s="105">
        <f t="shared" si="45"/>
        <v>5.6781312396694217</v>
      </c>
      <c r="BG172" s="105">
        <f t="shared" si="45"/>
        <v>6.1013094545454543</v>
      </c>
      <c r="BH172" s="105">
        <f t="shared" si="45"/>
        <v>6.7478166233766226</v>
      </c>
    </row>
    <row r="173" spans="1:60">
      <c r="A173" s="109" t="s">
        <v>313</v>
      </c>
      <c r="B173" s="109"/>
      <c r="C173" s="81" t="s">
        <v>314</v>
      </c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>
        <v>22.8</v>
      </c>
      <c r="AI173" s="113">
        <v>22.6</v>
      </c>
      <c r="AJ173" s="113">
        <v>22.4</v>
      </c>
      <c r="AK173" s="113">
        <v>22.2</v>
      </c>
      <c r="AL173" s="113">
        <v>22</v>
      </c>
      <c r="AM173" s="113">
        <v>21.8</v>
      </c>
      <c r="AN173" s="113">
        <v>21.6</v>
      </c>
      <c r="AO173" s="113">
        <v>21.4</v>
      </c>
      <c r="AP173" s="113">
        <v>21.2</v>
      </c>
      <c r="AQ173" s="113">
        <v>21</v>
      </c>
      <c r="AR173" s="113">
        <v>20.8</v>
      </c>
      <c r="AS173" s="113">
        <v>20.6</v>
      </c>
      <c r="AT173" s="113">
        <v>20.399999999999999</v>
      </c>
      <c r="AU173" s="113">
        <v>20.2</v>
      </c>
      <c r="AV173" s="113">
        <v>20</v>
      </c>
      <c r="AW173" s="113">
        <v>19.8</v>
      </c>
      <c r="AX173" s="113">
        <v>19.600000000000001</v>
      </c>
      <c r="AY173" s="113">
        <v>19.399999999999999</v>
      </c>
      <c r="AZ173" s="113">
        <v>19.2</v>
      </c>
      <c r="BA173" s="113">
        <v>19</v>
      </c>
      <c r="BB173" s="113">
        <v>18.8</v>
      </c>
      <c r="BC173" s="113">
        <v>18.600000000000001</v>
      </c>
      <c r="BD173" s="113">
        <v>18.399999999999999</v>
      </c>
      <c r="BE173" s="113">
        <v>18.2</v>
      </c>
      <c r="BF173" s="113">
        <v>18</v>
      </c>
      <c r="BG173" s="113">
        <v>17.8</v>
      </c>
      <c r="BH173" s="137"/>
    </row>
    <row r="174" spans="1:60">
      <c r="A174" s="81" t="s">
        <v>315</v>
      </c>
      <c r="B174" s="81"/>
      <c r="C174" s="81" t="s">
        <v>314</v>
      </c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11">
        <f>AH173-AH172</f>
        <v>11.197574534631491</v>
      </c>
      <c r="AI174" s="111">
        <f t="shared" ref="AI174:BH174" si="46">AI173-AI172</f>
        <v>10.868908852522706</v>
      </c>
      <c r="AJ174" s="111">
        <f t="shared" si="46"/>
        <v>12.14728686952177</v>
      </c>
      <c r="AK174" s="111">
        <f t="shared" si="46"/>
        <v>11.499227534932961</v>
      </c>
      <c r="AL174" s="111">
        <f t="shared" si="46"/>
        <v>10.863167223964181</v>
      </c>
      <c r="AM174" s="111">
        <f t="shared" si="46"/>
        <v>11.206708173328185</v>
      </c>
      <c r="AN174" s="111">
        <f t="shared" si="46"/>
        <v>11.605242406264477</v>
      </c>
      <c r="AO174" s="111">
        <f t="shared" si="46"/>
        <v>11.953929245155534</v>
      </c>
      <c r="AP174" s="111">
        <f t="shared" si="46"/>
        <v>12.287170425512524</v>
      </c>
      <c r="AQ174" s="111">
        <f t="shared" si="46"/>
        <v>11.164884945859853</v>
      </c>
      <c r="AR174" s="111">
        <f t="shared" si="46"/>
        <v>11.191248287979926</v>
      </c>
      <c r="AS174" s="111">
        <f t="shared" si="46"/>
        <v>12.475333835452574</v>
      </c>
      <c r="AT174" s="111">
        <f t="shared" si="46"/>
        <v>11.744421194857715</v>
      </c>
      <c r="AU174" s="111">
        <f t="shared" si="46"/>
        <v>12.557241466946506</v>
      </c>
      <c r="AV174" s="111">
        <f t="shared" si="46"/>
        <v>12.621408265840287</v>
      </c>
      <c r="AW174" s="111">
        <f t="shared" si="46"/>
        <v>12.775997156221187</v>
      </c>
      <c r="AX174" s="111">
        <f t="shared" si="46"/>
        <v>11.997216828478965</v>
      </c>
      <c r="AY174" s="111">
        <f t="shared" si="46"/>
        <v>12.339575041689827</v>
      </c>
      <c r="AZ174" s="111">
        <f t="shared" si="46"/>
        <v>11.598051919236742</v>
      </c>
      <c r="BA174" s="111">
        <f t="shared" si="46"/>
        <v>11.868934193548387</v>
      </c>
      <c r="BB174" s="111">
        <f t="shared" si="46"/>
        <v>11.554610630407911</v>
      </c>
      <c r="BC174" s="111">
        <f t="shared" si="46"/>
        <v>11.682370964338469</v>
      </c>
      <c r="BD174" s="111">
        <f t="shared" si="46"/>
        <v>11.987585263157893</v>
      </c>
      <c r="BE174" s="111">
        <f t="shared" si="46"/>
        <v>12.501694237288135</v>
      </c>
      <c r="BF174" s="111">
        <f t="shared" si="46"/>
        <v>12.321868760330577</v>
      </c>
      <c r="BG174" s="111">
        <f t="shared" si="46"/>
        <v>11.698690545454546</v>
      </c>
      <c r="BH174" s="111">
        <f t="shared" si="46"/>
        <v>-6.7478166233766226</v>
      </c>
    </row>
    <row r="175" spans="1:60">
      <c r="C175" s="81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</row>
    <row r="176" spans="1:60">
      <c r="C176" s="81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</row>
    <row r="177" spans="4:7">
      <c r="D177" s="91"/>
      <c r="E177" s="91"/>
      <c r="F177" s="91"/>
      <c r="G177" s="91"/>
    </row>
    <row r="178" spans="4:7">
      <c r="D178" s="91"/>
      <c r="E178" s="91"/>
      <c r="F178" s="91"/>
      <c r="G178" s="91"/>
    </row>
    <row r="179" spans="4:7">
      <c r="D179" s="91"/>
      <c r="E179" s="91"/>
      <c r="F179" s="91"/>
      <c r="G179" s="91"/>
    </row>
    <row r="180" spans="4:7">
      <c r="D180" s="91"/>
      <c r="E180" s="91"/>
      <c r="F180" s="91"/>
      <c r="G180" s="91"/>
    </row>
    <row r="181" spans="4:7">
      <c r="D181" s="91"/>
      <c r="E181" s="91"/>
      <c r="F181" s="91"/>
      <c r="G181" s="91"/>
    </row>
    <row r="182" spans="4:7">
      <c r="D182" s="91"/>
      <c r="E182" s="91"/>
      <c r="F182" s="91"/>
      <c r="G182" s="91"/>
    </row>
    <row r="183" spans="4:7">
      <c r="D183" s="91"/>
      <c r="E183" s="91"/>
      <c r="F183" s="91"/>
      <c r="G183" s="91"/>
    </row>
    <row r="184" spans="4:7">
      <c r="D184" s="91"/>
      <c r="E184" s="91"/>
      <c r="F184" s="91"/>
      <c r="G184" s="91"/>
    </row>
    <row r="185" spans="4:7">
      <c r="D185" s="91"/>
      <c r="E185" s="91"/>
      <c r="F185" s="91"/>
      <c r="G185" s="91"/>
    </row>
    <row r="186" spans="4:7">
      <c r="D186" s="91"/>
      <c r="E186" s="91"/>
      <c r="F186" s="91"/>
      <c r="G186" s="91"/>
    </row>
    <row r="187" spans="4:7">
      <c r="D187" s="91"/>
      <c r="E187" s="91"/>
      <c r="F187" s="91"/>
      <c r="G187" s="91"/>
    </row>
    <row r="188" spans="4:7">
      <c r="D188" s="91"/>
      <c r="E188" s="91"/>
      <c r="F188" s="91"/>
      <c r="G188" s="91"/>
    </row>
    <row r="189" spans="4:7">
      <c r="D189" s="91"/>
      <c r="E189" s="91"/>
      <c r="F189" s="91"/>
      <c r="G189" s="91"/>
    </row>
    <row r="190" spans="4:7">
      <c r="D190" s="91"/>
      <c r="E190" s="91"/>
      <c r="F190" s="91"/>
      <c r="G190" s="91"/>
    </row>
    <row r="191" spans="4:7">
      <c r="D191" s="91"/>
      <c r="E191" s="91"/>
      <c r="F191" s="91"/>
      <c r="G191" s="91"/>
    </row>
    <row r="192" spans="4:7">
      <c r="D192" s="91"/>
      <c r="E192" s="91"/>
      <c r="F192" s="91"/>
      <c r="G192" s="91"/>
    </row>
    <row r="193" spans="1:26">
      <c r="D193" s="91"/>
      <c r="E193" s="91"/>
      <c r="F193" s="91"/>
      <c r="G193" s="91"/>
    </row>
    <row r="194" spans="1:26">
      <c r="D194" s="91"/>
      <c r="E194" s="91"/>
      <c r="F194" s="91"/>
      <c r="G194" s="91"/>
    </row>
    <row r="195" spans="1:26">
      <c r="D195" s="91"/>
      <c r="E195" s="91"/>
      <c r="F195" s="91"/>
      <c r="G195" s="91"/>
    </row>
    <row r="196" spans="1:26">
      <c r="D196" s="91"/>
      <c r="E196" s="91"/>
      <c r="F196" s="91"/>
      <c r="G196" s="91"/>
    </row>
    <row r="197" spans="1:26">
      <c r="D197" s="91"/>
      <c r="E197" s="91"/>
      <c r="F197" s="91"/>
      <c r="G197" s="91"/>
    </row>
    <row r="198" spans="1:26">
      <c r="D198" s="91"/>
      <c r="E198" s="91"/>
      <c r="F198" s="91"/>
      <c r="G198" s="91"/>
    </row>
    <row r="199" spans="1:26">
      <c r="D199" s="91"/>
      <c r="E199" s="91"/>
      <c r="F199" s="91"/>
      <c r="G199" s="91"/>
    </row>
    <row r="200" spans="1:26">
      <c r="D200" s="91"/>
      <c r="E200" s="91"/>
      <c r="F200" s="91"/>
      <c r="G200" s="91"/>
    </row>
    <row r="201" spans="1:26">
      <c r="D201" s="91"/>
      <c r="E201" s="91"/>
      <c r="F201" s="91"/>
      <c r="G201" s="91"/>
    </row>
    <row r="202" spans="1:26">
      <c r="C202" s="81" t="s">
        <v>316</v>
      </c>
      <c r="D202" s="81" t="s">
        <v>317</v>
      </c>
      <c r="E202" s="80">
        <v>1960</v>
      </c>
      <c r="F202" s="80">
        <v>1961</v>
      </c>
      <c r="G202" s="80">
        <v>1962</v>
      </c>
      <c r="H202" s="80">
        <v>1963</v>
      </c>
      <c r="I202" s="80">
        <v>1964</v>
      </c>
      <c r="J202" s="80">
        <v>1965</v>
      </c>
      <c r="K202" s="80">
        <v>1971</v>
      </c>
      <c r="L202" s="80">
        <v>1972</v>
      </c>
      <c r="M202" s="80">
        <v>1973</v>
      </c>
      <c r="N202" s="80">
        <v>1974</v>
      </c>
      <c r="O202" s="93" t="s">
        <v>318</v>
      </c>
      <c r="Q202" s="80">
        <v>1960</v>
      </c>
      <c r="R202" s="80">
        <v>1961</v>
      </c>
      <c r="S202" s="80">
        <v>1962</v>
      </c>
      <c r="T202" s="80">
        <v>1963</v>
      </c>
      <c r="U202" s="80">
        <v>1964</v>
      </c>
      <c r="V202" s="80">
        <v>1965</v>
      </c>
      <c r="W202" s="80">
        <v>1971</v>
      </c>
      <c r="X202" s="80">
        <v>1972</v>
      </c>
      <c r="Y202" s="80">
        <v>1973</v>
      </c>
      <c r="Z202" s="80">
        <v>1974</v>
      </c>
    </row>
    <row r="203" spans="1:26">
      <c r="A203" s="81" t="s">
        <v>319</v>
      </c>
      <c r="B203" s="81"/>
      <c r="C203" s="81" t="s">
        <v>320</v>
      </c>
      <c r="D203" s="81" t="s">
        <v>321</v>
      </c>
      <c r="E203" s="75">
        <v>3591.6</v>
      </c>
      <c r="F203" s="75">
        <v>3053.7</v>
      </c>
      <c r="G203" s="75">
        <v>2461.6</v>
      </c>
      <c r="H203" s="75">
        <v>2246</v>
      </c>
      <c r="I203" s="91">
        <v>1996</v>
      </c>
      <c r="J203" s="91">
        <v>1599.2</v>
      </c>
      <c r="K203" s="91">
        <v>495.9</v>
      </c>
      <c r="L203" s="91">
        <v>285.60000000000002</v>
      </c>
      <c r="M203" s="91">
        <v>271.60000000000002</v>
      </c>
      <c r="N203" s="91">
        <v>217.3</v>
      </c>
      <c r="O203" s="131">
        <v>29.1</v>
      </c>
      <c r="P203" s="100" t="s">
        <v>284</v>
      </c>
      <c r="Q203" s="91">
        <f t="shared" ref="Q203:Z213" si="47">E203*$O203</f>
        <v>104515.56</v>
      </c>
      <c r="R203" s="91">
        <f t="shared" si="47"/>
        <v>88862.67</v>
      </c>
      <c r="S203" s="91">
        <f t="shared" si="47"/>
        <v>71632.56</v>
      </c>
      <c r="T203" s="91">
        <f t="shared" si="47"/>
        <v>65358.600000000006</v>
      </c>
      <c r="U203" s="91">
        <f t="shared" si="47"/>
        <v>58083.600000000006</v>
      </c>
      <c r="V203" s="91">
        <f t="shared" si="47"/>
        <v>46536.72</v>
      </c>
      <c r="W203" s="91">
        <f t="shared" si="47"/>
        <v>14430.69</v>
      </c>
      <c r="X203" s="91">
        <f t="shared" si="47"/>
        <v>8310.9600000000009</v>
      </c>
      <c r="Y203" s="91">
        <f t="shared" si="47"/>
        <v>7903.5600000000013</v>
      </c>
      <c r="Z203" s="91">
        <f t="shared" si="47"/>
        <v>6323.43</v>
      </c>
    </row>
    <row r="204" spans="1:26">
      <c r="A204" s="81" t="s">
        <v>322</v>
      </c>
      <c r="B204" s="81"/>
      <c r="C204" s="81" t="s">
        <v>320</v>
      </c>
      <c r="D204" s="81" t="s">
        <v>321</v>
      </c>
      <c r="E204" s="75">
        <v>13350.8</v>
      </c>
      <c r="F204" s="75">
        <v>12360.4</v>
      </c>
      <c r="G204" s="75">
        <v>10871.2</v>
      </c>
      <c r="H204" s="75">
        <v>10758.5</v>
      </c>
      <c r="I204" s="91">
        <v>12364</v>
      </c>
      <c r="J204" s="91">
        <v>12217.4</v>
      </c>
      <c r="K204" s="91">
        <v>9522.7999999999993</v>
      </c>
      <c r="L204" s="91">
        <v>8984.1</v>
      </c>
      <c r="M204" s="91">
        <v>10025.6</v>
      </c>
      <c r="N204" s="91">
        <v>8529</v>
      </c>
      <c r="O204" s="131">
        <v>28</v>
      </c>
      <c r="P204" s="100" t="s">
        <v>284</v>
      </c>
      <c r="Q204" s="91">
        <f t="shared" si="47"/>
        <v>373822.39999999997</v>
      </c>
      <c r="R204" s="91">
        <f t="shared" si="47"/>
        <v>346091.2</v>
      </c>
      <c r="S204" s="91">
        <f t="shared" si="47"/>
        <v>304393.60000000003</v>
      </c>
      <c r="T204" s="91">
        <f t="shared" si="47"/>
        <v>301238</v>
      </c>
      <c r="U204" s="91">
        <f t="shared" si="47"/>
        <v>346192</v>
      </c>
      <c r="V204" s="91">
        <f t="shared" si="47"/>
        <v>342087.2</v>
      </c>
      <c r="W204" s="91">
        <f t="shared" si="47"/>
        <v>266638.39999999997</v>
      </c>
      <c r="X204" s="91">
        <f t="shared" si="47"/>
        <v>251554.80000000002</v>
      </c>
      <c r="Y204" s="91">
        <f t="shared" si="47"/>
        <v>280716.79999999999</v>
      </c>
      <c r="Z204" s="91">
        <f t="shared" si="47"/>
        <v>238812</v>
      </c>
    </row>
    <row r="205" spans="1:26">
      <c r="A205" s="81" t="s">
        <v>323</v>
      </c>
      <c r="B205" s="81"/>
      <c r="C205" s="81" t="s">
        <v>320</v>
      </c>
      <c r="D205" s="81" t="s">
        <v>321</v>
      </c>
      <c r="E205" s="75">
        <v>1527.5</v>
      </c>
      <c r="F205" s="75">
        <v>1526.5</v>
      </c>
      <c r="G205" s="75">
        <v>1732.1</v>
      </c>
      <c r="H205" s="75">
        <v>1954.4</v>
      </c>
      <c r="I205" s="91">
        <v>2249.1</v>
      </c>
      <c r="J205" s="91">
        <v>2195.5</v>
      </c>
      <c r="K205" s="91">
        <v>1827.8</v>
      </c>
      <c r="L205" s="91">
        <v>1563.8</v>
      </c>
      <c r="M205" s="91">
        <v>1494.2</v>
      </c>
      <c r="N205" s="91">
        <v>1309.5999999999999</v>
      </c>
      <c r="O205" s="131">
        <v>22.8</v>
      </c>
      <c r="P205" s="100" t="s">
        <v>284</v>
      </c>
      <c r="Q205" s="91">
        <f t="shared" si="47"/>
        <v>34827</v>
      </c>
      <c r="R205" s="91">
        <f t="shared" si="47"/>
        <v>34804.200000000004</v>
      </c>
      <c r="S205" s="91">
        <f t="shared" si="47"/>
        <v>39491.879999999997</v>
      </c>
      <c r="T205" s="91">
        <f t="shared" si="47"/>
        <v>44560.320000000007</v>
      </c>
      <c r="U205" s="91">
        <f t="shared" si="47"/>
        <v>51279.479999999996</v>
      </c>
      <c r="V205" s="91">
        <f t="shared" si="47"/>
        <v>50057.4</v>
      </c>
      <c r="W205" s="91">
        <f t="shared" si="47"/>
        <v>41673.840000000004</v>
      </c>
      <c r="X205" s="91">
        <f t="shared" si="47"/>
        <v>35654.639999999999</v>
      </c>
      <c r="Y205" s="91">
        <f t="shared" si="47"/>
        <v>34067.760000000002</v>
      </c>
      <c r="Z205" s="91">
        <f t="shared" si="47"/>
        <v>29858.879999999997</v>
      </c>
    </row>
    <row r="206" spans="1:26">
      <c r="A206" s="81" t="s">
        <v>324</v>
      </c>
      <c r="B206" s="81"/>
      <c r="C206" s="81" t="s">
        <v>320</v>
      </c>
      <c r="D206" s="81" t="s">
        <v>325</v>
      </c>
      <c r="E206" s="75">
        <v>181.6</v>
      </c>
      <c r="F206" s="75">
        <v>132.80000000000001</v>
      </c>
      <c r="G206" s="75">
        <v>85</v>
      </c>
      <c r="H206" s="75">
        <v>63</v>
      </c>
      <c r="I206" s="91">
        <v>22.1</v>
      </c>
      <c r="J206" s="91">
        <v>19.600000000000001</v>
      </c>
      <c r="K206" s="91">
        <v>0</v>
      </c>
      <c r="L206" s="91">
        <v>0</v>
      </c>
      <c r="M206" s="91">
        <v>0</v>
      </c>
      <c r="N206" s="91">
        <v>0</v>
      </c>
      <c r="O206" s="131">
        <v>37.4</v>
      </c>
      <c r="P206" s="100" t="s">
        <v>284</v>
      </c>
      <c r="Q206" s="91">
        <f t="shared" si="47"/>
        <v>6791.8399999999992</v>
      </c>
      <c r="R206" s="91">
        <f t="shared" si="47"/>
        <v>4966.72</v>
      </c>
      <c r="S206" s="91">
        <f t="shared" si="47"/>
        <v>3179</v>
      </c>
      <c r="T206" s="91">
        <f t="shared" si="47"/>
        <v>2356.1999999999998</v>
      </c>
      <c r="U206" s="91">
        <f t="shared" si="47"/>
        <v>826.54000000000008</v>
      </c>
      <c r="V206" s="91">
        <f t="shared" si="47"/>
        <v>733.04000000000008</v>
      </c>
      <c r="W206" s="91">
        <f t="shared" si="47"/>
        <v>0</v>
      </c>
      <c r="X206" s="91">
        <f t="shared" si="47"/>
        <v>0</v>
      </c>
      <c r="Y206" s="91">
        <f t="shared" si="47"/>
        <v>0</v>
      </c>
      <c r="Z206" s="91">
        <f t="shared" si="47"/>
        <v>0</v>
      </c>
    </row>
    <row r="207" spans="1:26">
      <c r="A207" s="81" t="s">
        <v>326</v>
      </c>
      <c r="B207" s="81"/>
      <c r="C207" s="81" t="s">
        <v>320</v>
      </c>
      <c r="D207" s="81" t="s">
        <v>325</v>
      </c>
      <c r="E207" s="75">
        <v>699.7</v>
      </c>
      <c r="F207" s="75">
        <v>610.20000000000005</v>
      </c>
      <c r="G207" s="75">
        <v>618.5</v>
      </c>
      <c r="H207" s="75">
        <v>607.29999999999995</v>
      </c>
      <c r="I207" s="91">
        <v>542.20000000000005</v>
      </c>
      <c r="J207" s="91">
        <v>479.9</v>
      </c>
      <c r="K207" s="91">
        <v>181</v>
      </c>
      <c r="L207" s="91">
        <v>142.6</v>
      </c>
      <c r="M207" s="91">
        <v>156.69999999999999</v>
      </c>
      <c r="N207" s="91">
        <v>97.7</v>
      </c>
      <c r="O207" s="131">
        <v>37.4</v>
      </c>
      <c r="P207" s="100" t="s">
        <v>284</v>
      </c>
      <c r="Q207" s="91">
        <f t="shared" si="47"/>
        <v>26168.780000000002</v>
      </c>
      <c r="R207" s="91">
        <f t="shared" si="47"/>
        <v>22821.48</v>
      </c>
      <c r="S207" s="91">
        <f t="shared" si="47"/>
        <v>23131.899999999998</v>
      </c>
      <c r="T207" s="91">
        <f t="shared" si="47"/>
        <v>22713.019999999997</v>
      </c>
      <c r="U207" s="91">
        <f t="shared" si="47"/>
        <v>20278.280000000002</v>
      </c>
      <c r="V207" s="91">
        <f t="shared" si="47"/>
        <v>17948.259999999998</v>
      </c>
      <c r="W207" s="91">
        <f t="shared" si="47"/>
        <v>6769.4</v>
      </c>
      <c r="X207" s="91">
        <f t="shared" si="47"/>
        <v>5333.24</v>
      </c>
      <c r="Y207" s="91">
        <f t="shared" si="47"/>
        <v>5860.579999999999</v>
      </c>
      <c r="Z207" s="91">
        <f t="shared" si="47"/>
        <v>3653.98</v>
      </c>
    </row>
    <row r="208" spans="1:26">
      <c r="A208" s="81" t="s">
        <v>327</v>
      </c>
      <c r="B208" s="81"/>
      <c r="C208" s="81" t="s">
        <v>320</v>
      </c>
      <c r="D208" s="81" t="s">
        <v>325</v>
      </c>
      <c r="E208" s="75">
        <v>2408.8000000000002</v>
      </c>
      <c r="F208" s="75">
        <v>2609.9</v>
      </c>
      <c r="G208" s="75">
        <v>2795.8</v>
      </c>
      <c r="H208" s="75">
        <v>3235.9</v>
      </c>
      <c r="I208" s="91">
        <v>3761.1</v>
      </c>
      <c r="J208" s="91">
        <v>4027</v>
      </c>
      <c r="K208" s="91">
        <v>4171.8999999999996</v>
      </c>
      <c r="L208" s="91">
        <v>3982.9</v>
      </c>
      <c r="M208" s="91">
        <v>3879.7</v>
      </c>
      <c r="N208" s="91">
        <v>3231.8</v>
      </c>
      <c r="O208" s="131">
        <v>41.5</v>
      </c>
      <c r="P208" s="100" t="s">
        <v>284</v>
      </c>
      <c r="Q208" s="91">
        <f t="shared" si="47"/>
        <v>99965.200000000012</v>
      </c>
      <c r="R208" s="91">
        <f t="shared" si="47"/>
        <v>108310.85</v>
      </c>
      <c r="S208" s="91">
        <f t="shared" si="47"/>
        <v>116025.70000000001</v>
      </c>
      <c r="T208" s="91">
        <f t="shared" si="47"/>
        <v>134289.85</v>
      </c>
      <c r="U208" s="91">
        <f t="shared" si="47"/>
        <v>156085.65</v>
      </c>
      <c r="V208" s="91">
        <f t="shared" si="47"/>
        <v>167120.5</v>
      </c>
      <c r="W208" s="91">
        <f t="shared" si="47"/>
        <v>173133.84999999998</v>
      </c>
      <c r="X208" s="91">
        <f t="shared" si="47"/>
        <v>165290.35</v>
      </c>
      <c r="Y208" s="91">
        <f t="shared" si="47"/>
        <v>161007.54999999999</v>
      </c>
      <c r="Z208" s="91">
        <f t="shared" si="47"/>
        <v>134119.70000000001</v>
      </c>
    </row>
    <row r="209" spans="1:26">
      <c r="A209" s="81" t="s">
        <v>328</v>
      </c>
      <c r="B209" s="81"/>
      <c r="C209" s="81" t="s">
        <v>320</v>
      </c>
      <c r="D209" s="81" t="s">
        <v>325</v>
      </c>
      <c r="E209" s="75">
        <v>58</v>
      </c>
      <c r="F209" s="75">
        <v>61.8</v>
      </c>
      <c r="G209" s="75">
        <v>66</v>
      </c>
      <c r="H209" s="75">
        <v>74.400000000000006</v>
      </c>
      <c r="I209" s="91">
        <v>83.5</v>
      </c>
      <c r="J209" s="91">
        <v>99.4</v>
      </c>
      <c r="K209" s="91">
        <v>146</v>
      </c>
      <c r="L209" s="91">
        <v>91.9</v>
      </c>
      <c r="M209" s="91">
        <v>87.5</v>
      </c>
      <c r="N209" s="91">
        <v>75.3</v>
      </c>
      <c r="O209" s="131">
        <v>45.7</v>
      </c>
      <c r="P209" s="100" t="s">
        <v>284</v>
      </c>
      <c r="Q209" s="91">
        <f t="shared" si="47"/>
        <v>2650.6000000000004</v>
      </c>
      <c r="R209" s="91">
        <f t="shared" si="47"/>
        <v>2824.26</v>
      </c>
      <c r="S209" s="91">
        <f t="shared" si="47"/>
        <v>3016.2000000000003</v>
      </c>
      <c r="T209" s="91">
        <f t="shared" si="47"/>
        <v>3400.0800000000004</v>
      </c>
      <c r="U209" s="91">
        <f t="shared" si="47"/>
        <v>3815.9500000000003</v>
      </c>
      <c r="V209" s="91">
        <f t="shared" si="47"/>
        <v>4542.5800000000008</v>
      </c>
      <c r="W209" s="91">
        <f t="shared" si="47"/>
        <v>6672.2000000000007</v>
      </c>
      <c r="X209" s="91">
        <f t="shared" si="47"/>
        <v>4199.8300000000008</v>
      </c>
      <c r="Y209" s="91">
        <f t="shared" si="47"/>
        <v>3998.7500000000005</v>
      </c>
      <c r="Z209" s="91">
        <f t="shared" si="47"/>
        <v>3441.21</v>
      </c>
    </row>
    <row r="210" spans="1:26">
      <c r="A210" s="81" t="s">
        <v>329</v>
      </c>
      <c r="B210" s="81"/>
      <c r="C210" s="81" t="s">
        <v>330</v>
      </c>
      <c r="D210" s="81" t="s">
        <v>331</v>
      </c>
      <c r="E210" s="75">
        <v>6082.7</v>
      </c>
      <c r="F210" s="75">
        <v>6065.7</v>
      </c>
      <c r="G210" s="75">
        <v>6284.7</v>
      </c>
      <c r="H210" s="75">
        <v>7326.1</v>
      </c>
      <c r="I210" s="91">
        <v>8600.7000000000007</v>
      </c>
      <c r="J210" s="91">
        <v>9122.9</v>
      </c>
      <c r="K210" s="91">
        <v>8759.7999999999993</v>
      </c>
      <c r="L210" s="91">
        <v>8696.2000000000007</v>
      </c>
      <c r="M210" s="91">
        <v>10235.6</v>
      </c>
      <c r="N210" s="91">
        <v>9881.7000000000007</v>
      </c>
      <c r="O210" s="131">
        <v>3.6</v>
      </c>
      <c r="P210" s="100" t="s">
        <v>284</v>
      </c>
      <c r="Q210" s="91">
        <f t="shared" si="47"/>
        <v>21897.72</v>
      </c>
      <c r="R210" s="91">
        <f t="shared" si="47"/>
        <v>21836.52</v>
      </c>
      <c r="S210" s="91">
        <f t="shared" si="47"/>
        <v>22624.92</v>
      </c>
      <c r="T210" s="91">
        <f t="shared" si="47"/>
        <v>26373.960000000003</v>
      </c>
      <c r="U210" s="91">
        <f t="shared" si="47"/>
        <v>30962.520000000004</v>
      </c>
      <c r="V210" s="91">
        <f t="shared" si="47"/>
        <v>32842.44</v>
      </c>
      <c r="W210" s="91">
        <f t="shared" si="47"/>
        <v>31535.279999999999</v>
      </c>
      <c r="X210" s="91">
        <f t="shared" si="47"/>
        <v>31306.320000000003</v>
      </c>
      <c r="Y210" s="91">
        <f t="shared" si="47"/>
        <v>36848.160000000003</v>
      </c>
      <c r="Z210" s="91">
        <f t="shared" si="47"/>
        <v>35574.120000000003</v>
      </c>
    </row>
    <row r="211" spans="1:26">
      <c r="A211" s="81" t="s">
        <v>332</v>
      </c>
      <c r="B211" s="81"/>
      <c r="C211" s="81" t="s">
        <v>333</v>
      </c>
      <c r="E211" s="138">
        <v>138.5</v>
      </c>
      <c r="F211" s="138">
        <v>140.80000000000001</v>
      </c>
      <c r="G211" s="138">
        <v>133.4</v>
      </c>
      <c r="H211" s="138">
        <v>136.9</v>
      </c>
      <c r="I211" s="91">
        <v>140.9</v>
      </c>
      <c r="J211" s="91">
        <v>141.6</v>
      </c>
      <c r="K211" s="91">
        <v>170.8</v>
      </c>
      <c r="L211" s="91">
        <v>106.2</v>
      </c>
      <c r="M211" s="91">
        <v>34.700000000000003</v>
      </c>
      <c r="N211" s="91">
        <v>26</v>
      </c>
      <c r="O211" s="131">
        <v>105.5</v>
      </c>
      <c r="P211" s="100" t="s">
        <v>284</v>
      </c>
      <c r="Q211" s="139">
        <f t="shared" si="47"/>
        <v>14611.75</v>
      </c>
      <c r="R211" s="139">
        <f t="shared" si="47"/>
        <v>14854.400000000001</v>
      </c>
      <c r="S211" s="139">
        <f t="shared" si="47"/>
        <v>14073.7</v>
      </c>
      <c r="T211" s="139">
        <f t="shared" si="47"/>
        <v>14442.95</v>
      </c>
      <c r="U211" s="91">
        <f t="shared" si="47"/>
        <v>14864.95</v>
      </c>
      <c r="V211" s="91">
        <f t="shared" si="47"/>
        <v>14938.8</v>
      </c>
      <c r="W211" s="91">
        <f t="shared" si="47"/>
        <v>18019.400000000001</v>
      </c>
      <c r="X211" s="91">
        <f t="shared" si="47"/>
        <v>11204.1</v>
      </c>
      <c r="Y211" s="91">
        <f t="shared" si="47"/>
        <v>3660.8500000000004</v>
      </c>
      <c r="Z211" s="91">
        <f t="shared" si="47"/>
        <v>2743</v>
      </c>
    </row>
    <row r="212" spans="1:26">
      <c r="A212" s="81" t="s">
        <v>334</v>
      </c>
      <c r="B212" s="81"/>
      <c r="C212" s="81" t="s">
        <v>333</v>
      </c>
      <c r="E212" s="75">
        <v>0</v>
      </c>
      <c r="F212" s="75">
        <v>0</v>
      </c>
      <c r="G212" s="75">
        <v>0</v>
      </c>
      <c r="H212" s="75">
        <v>0</v>
      </c>
      <c r="I212" s="91">
        <v>0</v>
      </c>
      <c r="J212" s="91">
        <v>0</v>
      </c>
      <c r="K212" s="91">
        <v>230.9</v>
      </c>
      <c r="L212" s="91">
        <v>361</v>
      </c>
      <c r="M212" s="91">
        <v>380.8</v>
      </c>
      <c r="N212" s="91">
        <v>387.4</v>
      </c>
      <c r="O212" s="131">
        <v>105.5</v>
      </c>
      <c r="P212" s="100" t="s">
        <v>284</v>
      </c>
      <c r="Q212" s="139">
        <f t="shared" si="47"/>
        <v>0</v>
      </c>
      <c r="R212" s="139">
        <f t="shared" si="47"/>
        <v>0</v>
      </c>
      <c r="S212" s="139">
        <f t="shared" si="47"/>
        <v>0</v>
      </c>
      <c r="T212" s="139">
        <f t="shared" si="47"/>
        <v>0</v>
      </c>
      <c r="U212" s="91">
        <f t="shared" si="47"/>
        <v>0</v>
      </c>
      <c r="V212" s="91">
        <f t="shared" si="47"/>
        <v>0</v>
      </c>
      <c r="W212" s="91">
        <f t="shared" si="47"/>
        <v>24359.95</v>
      </c>
      <c r="X212" s="91">
        <f t="shared" si="47"/>
        <v>38085.5</v>
      </c>
      <c r="Y212" s="91">
        <f t="shared" si="47"/>
        <v>40174.400000000001</v>
      </c>
      <c r="Z212" s="91">
        <f t="shared" si="47"/>
        <v>40870.699999999997</v>
      </c>
    </row>
    <row r="213" spans="1:26">
      <c r="A213" s="81" t="s">
        <v>335</v>
      </c>
      <c r="B213" s="81"/>
      <c r="C213" s="81" t="s">
        <v>333</v>
      </c>
      <c r="E213" s="138">
        <v>759.5</v>
      </c>
      <c r="F213" s="138">
        <v>718.4</v>
      </c>
      <c r="G213" s="138">
        <v>662</v>
      </c>
      <c r="H213" s="138">
        <v>686</v>
      </c>
      <c r="I213" s="91">
        <v>822.4</v>
      </c>
      <c r="J213" s="91">
        <v>837.8</v>
      </c>
      <c r="K213" s="91">
        <v>787.2</v>
      </c>
      <c r="L213" s="91">
        <v>722.6</v>
      </c>
      <c r="M213" s="91">
        <v>822.5</v>
      </c>
      <c r="N213" s="91">
        <v>662.8</v>
      </c>
      <c r="O213" s="131">
        <v>105.5</v>
      </c>
      <c r="P213" s="100" t="s">
        <v>284</v>
      </c>
      <c r="Q213" s="139">
        <f t="shared" si="47"/>
        <v>80127.25</v>
      </c>
      <c r="R213" s="139">
        <f t="shared" si="47"/>
        <v>75791.199999999997</v>
      </c>
      <c r="S213" s="139">
        <f t="shared" si="47"/>
        <v>69841</v>
      </c>
      <c r="T213" s="139">
        <f t="shared" si="47"/>
        <v>72373</v>
      </c>
      <c r="U213" s="91">
        <f t="shared" si="47"/>
        <v>86763.199999999997</v>
      </c>
      <c r="V213" s="91">
        <f t="shared" si="47"/>
        <v>88387.9</v>
      </c>
      <c r="W213" s="91">
        <f t="shared" si="47"/>
        <v>83049.600000000006</v>
      </c>
      <c r="X213" s="91">
        <f t="shared" si="47"/>
        <v>76234.3</v>
      </c>
      <c r="Y213" s="91">
        <f t="shared" si="47"/>
        <v>86773.75</v>
      </c>
      <c r="Z213" s="91">
        <f t="shared" si="47"/>
        <v>69925.399999999994</v>
      </c>
    </row>
    <row r="214" spans="1:26">
      <c r="A214" s="81"/>
      <c r="B214" s="81"/>
      <c r="C214" s="81"/>
      <c r="E214" s="138"/>
      <c r="F214" s="138"/>
      <c r="G214" s="138"/>
      <c r="H214" s="138"/>
      <c r="I214" s="91"/>
      <c r="J214" s="91"/>
      <c r="K214" s="91"/>
      <c r="L214" s="91"/>
      <c r="O214" s="93"/>
      <c r="P214" s="100"/>
      <c r="Q214" s="139"/>
      <c r="R214" s="139"/>
      <c r="S214" s="139"/>
      <c r="T214" s="139"/>
      <c r="U214" s="91"/>
      <c r="V214" s="91"/>
      <c r="W214" s="91"/>
      <c r="X214" s="91"/>
      <c r="Y214" s="91"/>
      <c r="Z214" s="91"/>
    </row>
    <row r="215" spans="1:26">
      <c r="A215" s="81" t="s">
        <v>336</v>
      </c>
      <c r="B215" s="81"/>
      <c r="C215" s="81"/>
      <c r="I215" s="91"/>
      <c r="O215" s="80"/>
      <c r="P215" s="119" t="s">
        <v>337</v>
      </c>
      <c r="Q215" s="93">
        <f t="shared" ref="Q215:Z215" si="48">SUM(Q203:Q213)</f>
        <v>765378.1</v>
      </c>
      <c r="R215" s="93">
        <f t="shared" si="48"/>
        <v>721163.5</v>
      </c>
      <c r="S215" s="93">
        <f t="shared" si="48"/>
        <v>667410.46000000008</v>
      </c>
      <c r="T215" s="93">
        <f t="shared" si="48"/>
        <v>687105.97999999986</v>
      </c>
      <c r="U215" s="93">
        <f t="shared" si="48"/>
        <v>769152.16999999981</v>
      </c>
      <c r="V215" s="93">
        <f t="shared" si="48"/>
        <v>765194.8400000002</v>
      </c>
      <c r="W215" s="93">
        <f t="shared" si="48"/>
        <v>666282.61</v>
      </c>
      <c r="X215" s="93">
        <f t="shared" si="48"/>
        <v>627174.04</v>
      </c>
      <c r="Y215" s="93">
        <f t="shared" si="48"/>
        <v>661012.16</v>
      </c>
      <c r="Z215" s="93">
        <f t="shared" si="48"/>
        <v>565322.42000000004</v>
      </c>
    </row>
    <row r="216" spans="1:26">
      <c r="C216" s="81"/>
      <c r="D216" s="75" t="s">
        <v>338</v>
      </c>
      <c r="E216" s="75">
        <v>135.19999999999999</v>
      </c>
      <c r="F216" s="75">
        <v>125.5</v>
      </c>
      <c r="G216" s="75">
        <v>84.2</v>
      </c>
      <c r="H216" s="91">
        <v>94.1</v>
      </c>
      <c r="I216" s="91">
        <v>98.9</v>
      </c>
      <c r="J216" s="91">
        <v>96.2</v>
      </c>
      <c r="O216" s="119"/>
    </row>
    <row r="217" spans="1:26">
      <c r="A217" s="81" t="s">
        <v>339</v>
      </c>
      <c r="B217" s="81"/>
      <c r="C217" s="81" t="s">
        <v>333</v>
      </c>
      <c r="E217" s="140">
        <f>$I$217*E216/$I$216</f>
        <v>26.930637007077852</v>
      </c>
      <c r="F217" s="140">
        <f>$I$217*F216/$I$216</f>
        <v>24.998483316481291</v>
      </c>
      <c r="G217" s="140">
        <f>$I$217*G216/$I$216</f>
        <v>16.771890798786654</v>
      </c>
      <c r="H217" s="140">
        <f>$I$217*H216/$I$216</f>
        <v>18.743882709807885</v>
      </c>
      <c r="I217" s="128">
        <v>19.7</v>
      </c>
      <c r="J217" s="128">
        <v>10.8</v>
      </c>
      <c r="K217" s="91">
        <v>2.2000000000000002</v>
      </c>
      <c r="L217" s="91">
        <v>1.9</v>
      </c>
      <c r="M217" s="91">
        <v>1</v>
      </c>
      <c r="N217" s="91">
        <v>19.600000000000001</v>
      </c>
      <c r="O217" s="131">
        <v>105.5</v>
      </c>
      <c r="P217" s="100" t="s">
        <v>284</v>
      </c>
      <c r="Q217" s="91">
        <f>E217*$O217</f>
        <v>2841.1822042467134</v>
      </c>
      <c r="R217" s="91">
        <f t="shared" ref="R217:Z217" si="49">E217*$O217</f>
        <v>2841.1822042467134</v>
      </c>
      <c r="S217" s="91">
        <f t="shared" si="49"/>
        <v>2637.339989888776</v>
      </c>
      <c r="T217" s="91">
        <f t="shared" si="49"/>
        <v>1769.4344792719919</v>
      </c>
      <c r="U217" s="91">
        <f t="shared" si="49"/>
        <v>1977.4796258847318</v>
      </c>
      <c r="V217" s="91">
        <f t="shared" si="49"/>
        <v>2078.35</v>
      </c>
      <c r="W217" s="91">
        <f t="shared" si="49"/>
        <v>1139.4000000000001</v>
      </c>
      <c r="X217" s="91">
        <f t="shared" si="49"/>
        <v>232.10000000000002</v>
      </c>
      <c r="Y217" s="91">
        <f t="shared" si="49"/>
        <v>200.45</v>
      </c>
      <c r="Z217" s="91">
        <f t="shared" si="49"/>
        <v>105.5</v>
      </c>
    </row>
    <row r="218" spans="1:26">
      <c r="A218" s="81" t="s">
        <v>329</v>
      </c>
      <c r="B218" s="81"/>
      <c r="C218" s="81" t="s">
        <v>330</v>
      </c>
      <c r="E218" s="75">
        <v>442.2</v>
      </c>
      <c r="F218" s="75">
        <v>416.5</v>
      </c>
      <c r="G218" s="75">
        <v>411.5</v>
      </c>
      <c r="H218" s="75">
        <v>450.8</v>
      </c>
      <c r="I218" s="91">
        <v>773.4</v>
      </c>
      <c r="J218" s="91">
        <v>870.6</v>
      </c>
      <c r="K218" s="91">
        <v>884.6</v>
      </c>
      <c r="L218" s="91">
        <v>969.3</v>
      </c>
      <c r="M218" s="91">
        <v>1173.8</v>
      </c>
      <c r="N218" s="91">
        <v>1350</v>
      </c>
      <c r="O218" s="131">
        <v>3.6</v>
      </c>
      <c r="P218" s="100" t="s">
        <v>284</v>
      </c>
      <c r="Q218" s="139">
        <f>E218*$O218</f>
        <v>1591.92</v>
      </c>
      <c r="R218" s="139">
        <f>F218*$O218</f>
        <v>1499.4</v>
      </c>
      <c r="S218" s="139">
        <f>G218*$O218</f>
        <v>1481.4</v>
      </c>
      <c r="T218" s="139">
        <f>H218*$O218</f>
        <v>1622.88</v>
      </c>
      <c r="U218" s="91">
        <f t="shared" ref="U218:Z218" si="50">I218*$O218</f>
        <v>2784.24</v>
      </c>
      <c r="V218" s="91">
        <f t="shared" si="50"/>
        <v>3134.1600000000003</v>
      </c>
      <c r="W218" s="91">
        <f t="shared" si="50"/>
        <v>3184.56</v>
      </c>
      <c r="X218" s="91">
        <f t="shared" si="50"/>
        <v>3489.48</v>
      </c>
      <c r="Y218" s="91">
        <f t="shared" si="50"/>
        <v>4225.68</v>
      </c>
      <c r="Z218" s="91">
        <f t="shared" si="50"/>
        <v>4860</v>
      </c>
    </row>
    <row r="219" spans="1:26">
      <c r="P219" s="119" t="s">
        <v>340</v>
      </c>
      <c r="Q219" s="93">
        <f t="shared" ref="Q219:Z219" si="51">SUM(Q217:Q218)</f>
        <v>4433.1022042467139</v>
      </c>
      <c r="R219" s="93">
        <f t="shared" si="51"/>
        <v>4340.5822042467134</v>
      </c>
      <c r="S219" s="93">
        <f t="shared" si="51"/>
        <v>4118.7399898887761</v>
      </c>
      <c r="T219" s="93">
        <f t="shared" si="51"/>
        <v>3392.3144792719922</v>
      </c>
      <c r="U219" s="93">
        <f t="shared" si="51"/>
        <v>4761.7196258847316</v>
      </c>
      <c r="V219" s="93">
        <f t="shared" si="51"/>
        <v>5212.51</v>
      </c>
      <c r="W219" s="93">
        <f t="shared" si="51"/>
        <v>4323.96</v>
      </c>
      <c r="X219" s="93">
        <f t="shared" si="51"/>
        <v>3721.58</v>
      </c>
      <c r="Y219" s="93">
        <f t="shared" si="51"/>
        <v>4426.13</v>
      </c>
      <c r="Z219" s="93">
        <f t="shared" si="51"/>
        <v>4965.5</v>
      </c>
    </row>
    <row r="220" spans="1:26">
      <c r="P220" s="119" t="s">
        <v>341</v>
      </c>
      <c r="Q220" s="93">
        <f t="shared" ref="Q220:Z220" si="52">Q215-Q219</f>
        <v>760944.9977957533</v>
      </c>
      <c r="R220" s="93">
        <f t="shared" si="52"/>
        <v>716822.91779575334</v>
      </c>
      <c r="S220" s="93">
        <f t="shared" si="52"/>
        <v>663291.72001011134</v>
      </c>
      <c r="T220" s="93">
        <f t="shared" si="52"/>
        <v>683713.66552072787</v>
      </c>
      <c r="U220" s="93">
        <f t="shared" si="52"/>
        <v>764390.45037411503</v>
      </c>
      <c r="V220" s="93">
        <f t="shared" si="52"/>
        <v>759982.33000000019</v>
      </c>
      <c r="W220" s="93">
        <f t="shared" si="52"/>
        <v>661958.65</v>
      </c>
      <c r="X220" s="93">
        <f t="shared" si="52"/>
        <v>623452.46000000008</v>
      </c>
      <c r="Y220" s="93">
        <f t="shared" si="52"/>
        <v>656586.03</v>
      </c>
      <c r="Z220" s="93">
        <f t="shared" si="52"/>
        <v>560356.92000000004</v>
      </c>
    </row>
    <row r="222" spans="1:26">
      <c r="P222" s="81" t="s">
        <v>342</v>
      </c>
      <c r="Q222" s="128">
        <f t="shared" ref="Q222:V222" si="53">D161</f>
        <v>20.434599999999996</v>
      </c>
      <c r="R222" s="128">
        <f t="shared" si="53"/>
        <v>20.418800000000001</v>
      </c>
      <c r="S222" s="128">
        <f t="shared" si="53"/>
        <v>18.930100000000003</v>
      </c>
      <c r="T222" s="128">
        <f t="shared" si="53"/>
        <v>21.0213</v>
      </c>
      <c r="U222" s="128">
        <f t="shared" si="53"/>
        <v>24.802099999999999</v>
      </c>
      <c r="V222" s="128">
        <f t="shared" si="53"/>
        <v>25.7332</v>
      </c>
      <c r="W222" s="128">
        <f>O161</f>
        <v>23.881100000000004</v>
      </c>
      <c r="X222" s="128">
        <f>P161</f>
        <v>25.034300000000002</v>
      </c>
      <c r="Y222" s="128">
        <f>Q161</f>
        <v>26.324099999999998</v>
      </c>
      <c r="Z222" s="128">
        <f>R161</f>
        <v>22.153700000000001</v>
      </c>
    </row>
    <row r="224" spans="1:26">
      <c r="P224" s="81" t="s">
        <v>314</v>
      </c>
      <c r="Q224" s="105">
        <f>Q220/Q222/1000</f>
        <v>37.238066700388231</v>
      </c>
      <c r="R224" s="105">
        <f t="shared" ref="R224:Y224" si="54">R220/R222/1000</f>
        <v>35.106025711391133</v>
      </c>
      <c r="S224" s="105">
        <f t="shared" si="54"/>
        <v>35.038997153216897</v>
      </c>
      <c r="T224" s="105">
        <f t="shared" si="54"/>
        <v>32.524804152013807</v>
      </c>
      <c r="U224" s="105">
        <f t="shared" si="54"/>
        <v>30.819585856605492</v>
      </c>
      <c r="V224" s="105">
        <f>V220/V222/1000</f>
        <v>29.53314511992291</v>
      </c>
      <c r="W224" s="105">
        <f t="shared" si="54"/>
        <v>27.71893463868917</v>
      </c>
      <c r="X224" s="105">
        <f t="shared" si="54"/>
        <v>24.903930207754961</v>
      </c>
      <c r="Y224" s="105">
        <f t="shared" si="54"/>
        <v>24.942392332501399</v>
      </c>
      <c r="Z224" s="105">
        <f>Z220/Z222/1000</f>
        <v>25.29405562050583</v>
      </c>
    </row>
    <row r="238" spans="1:60">
      <c r="C238" s="81" t="s">
        <v>2</v>
      </c>
      <c r="D238" s="75">
        <v>1960</v>
      </c>
      <c r="E238" s="75">
        <v>1961</v>
      </c>
      <c r="F238" s="75">
        <v>1962</v>
      </c>
      <c r="G238" s="75">
        <v>1963</v>
      </c>
      <c r="H238" s="75">
        <v>1964</v>
      </c>
      <c r="I238" s="75">
        <v>1965</v>
      </c>
      <c r="J238" s="75">
        <v>1966</v>
      </c>
      <c r="K238" s="75">
        <v>1967</v>
      </c>
      <c r="L238" s="75">
        <v>1968</v>
      </c>
      <c r="M238" s="75">
        <v>1969</v>
      </c>
      <c r="N238" s="75">
        <v>1970</v>
      </c>
      <c r="O238" s="75">
        <v>1971</v>
      </c>
      <c r="P238" s="75">
        <v>1972</v>
      </c>
      <c r="Q238" s="75">
        <v>1973</v>
      </c>
      <c r="R238" s="75">
        <v>1974</v>
      </c>
      <c r="S238" s="75">
        <v>1975</v>
      </c>
      <c r="T238" s="75">
        <v>1976</v>
      </c>
      <c r="U238" s="75">
        <v>1977</v>
      </c>
      <c r="V238" s="75">
        <v>1978</v>
      </c>
      <c r="W238" s="75">
        <v>1979</v>
      </c>
      <c r="X238" s="75">
        <v>1980</v>
      </c>
      <c r="Y238" s="75">
        <v>1981</v>
      </c>
      <c r="Z238" s="75">
        <v>1982</v>
      </c>
      <c r="AA238" s="75">
        <v>1983</v>
      </c>
      <c r="AB238" s="75">
        <v>1984</v>
      </c>
      <c r="AC238" s="75">
        <v>1985</v>
      </c>
      <c r="AD238" s="75">
        <v>1986</v>
      </c>
      <c r="AE238" s="75">
        <v>1987</v>
      </c>
      <c r="AF238" s="75">
        <v>1988</v>
      </c>
      <c r="AG238" s="75">
        <v>1989</v>
      </c>
      <c r="AH238" s="75">
        <v>1990</v>
      </c>
      <c r="AI238" s="75">
        <v>1991</v>
      </c>
      <c r="AJ238" s="75">
        <v>1992</v>
      </c>
      <c r="AK238" s="75">
        <v>1993</v>
      </c>
      <c r="AL238" s="75">
        <v>1994</v>
      </c>
      <c r="AM238" s="75">
        <v>1995</v>
      </c>
      <c r="AN238" s="75">
        <v>1996</v>
      </c>
      <c r="AO238" s="75">
        <v>1997</v>
      </c>
      <c r="AP238" s="75">
        <v>1998</v>
      </c>
      <c r="AQ238" s="75">
        <v>1999</v>
      </c>
      <c r="AR238" s="75">
        <v>2000</v>
      </c>
      <c r="AS238" s="75">
        <v>2001</v>
      </c>
      <c r="AT238" s="75">
        <v>2002</v>
      </c>
      <c r="AU238" s="75">
        <v>2003</v>
      </c>
      <c r="AV238" s="75">
        <v>2004</v>
      </c>
      <c r="AW238" s="75">
        <v>2005</v>
      </c>
      <c r="AX238" s="75">
        <v>2006</v>
      </c>
      <c r="AY238" s="75">
        <v>2007</v>
      </c>
      <c r="AZ238" s="75">
        <v>2008</v>
      </c>
      <c r="BA238" s="75">
        <v>2009</v>
      </c>
      <c r="BB238" s="75">
        <v>2010</v>
      </c>
      <c r="BC238" s="75">
        <v>2011</v>
      </c>
      <c r="BD238" s="75">
        <v>2012</v>
      </c>
      <c r="BE238" s="75">
        <v>2013</v>
      </c>
      <c r="BF238" s="75">
        <v>2014</v>
      </c>
      <c r="BG238" s="75">
        <v>2015</v>
      </c>
      <c r="BH238" s="75">
        <v>2016</v>
      </c>
    </row>
    <row r="239" spans="1:60">
      <c r="A239" s="81" t="s">
        <v>343</v>
      </c>
      <c r="B239" s="81"/>
      <c r="C239" s="81" t="s">
        <v>314</v>
      </c>
      <c r="D239" s="105">
        <f t="shared" ref="D239:I239" si="55">Q224</f>
        <v>37.238066700388231</v>
      </c>
      <c r="E239" s="105">
        <f t="shared" si="55"/>
        <v>35.106025711391133</v>
      </c>
      <c r="F239" s="105">
        <f t="shared" si="55"/>
        <v>35.038997153216897</v>
      </c>
      <c r="G239" s="105">
        <f t="shared" si="55"/>
        <v>32.524804152013807</v>
      </c>
      <c r="H239" s="105">
        <f t="shared" si="55"/>
        <v>30.819585856605492</v>
      </c>
      <c r="I239" s="105">
        <f t="shared" si="55"/>
        <v>29.53314511992291</v>
      </c>
      <c r="J239" s="141">
        <v>29.2</v>
      </c>
      <c r="K239" s="141">
        <v>28.9</v>
      </c>
      <c r="L239" s="141">
        <v>28.6</v>
      </c>
      <c r="M239" s="141">
        <v>28.3</v>
      </c>
      <c r="N239" s="141">
        <v>28</v>
      </c>
      <c r="O239" s="105">
        <f>W224</f>
        <v>27.71893463868917</v>
      </c>
      <c r="P239" s="105">
        <f>X224</f>
        <v>24.903930207754961</v>
      </c>
      <c r="Q239" s="106">
        <f>Y224</f>
        <v>24.942392332501399</v>
      </c>
      <c r="R239" s="106">
        <f>Z224</f>
        <v>25.29405562050583</v>
      </c>
    </row>
    <row r="240" spans="1:60">
      <c r="A240" s="81" t="s">
        <v>344</v>
      </c>
      <c r="B240" s="81"/>
      <c r="C240" s="81" t="s">
        <v>314</v>
      </c>
      <c r="D240" s="105"/>
      <c r="Q240" s="106">
        <v>31.7</v>
      </c>
      <c r="R240" s="106">
        <v>31</v>
      </c>
      <c r="S240" s="105">
        <v>33</v>
      </c>
      <c r="T240" s="105">
        <v>33.5</v>
      </c>
      <c r="U240" s="105">
        <v>31.2</v>
      </c>
      <c r="V240" s="105">
        <v>29.2</v>
      </c>
      <c r="W240" s="105">
        <v>30.2</v>
      </c>
      <c r="X240" s="105">
        <v>27.8</v>
      </c>
      <c r="Y240" s="105">
        <v>26.3</v>
      </c>
      <c r="Z240" s="105">
        <v>25</v>
      </c>
      <c r="AA240" s="105">
        <v>24.5</v>
      </c>
      <c r="AB240" s="105">
        <v>23.7</v>
      </c>
      <c r="AC240" s="105">
        <v>24</v>
      </c>
      <c r="AD240" s="105">
        <v>22.5</v>
      </c>
      <c r="AE240" s="105">
        <v>22.6</v>
      </c>
      <c r="AF240" s="105">
        <v>21.4</v>
      </c>
      <c r="AG240" s="105">
        <v>22.4</v>
      </c>
      <c r="AH240" s="105">
        <v>21.6</v>
      </c>
      <c r="AI240" s="105">
        <v>22</v>
      </c>
      <c r="AJ240" s="105">
        <v>21</v>
      </c>
      <c r="AK240" s="105">
        <v>20.3</v>
      </c>
      <c r="AL240" s="105">
        <v>20</v>
      </c>
      <c r="AM240" s="105">
        <v>19.8</v>
      </c>
      <c r="AN240" s="105">
        <v>19.5</v>
      </c>
      <c r="AO240" s="105">
        <v>19.399999999999999</v>
      </c>
      <c r="AP240" s="105">
        <v>20</v>
      </c>
      <c r="AQ240" s="105">
        <v>20.2</v>
      </c>
      <c r="AR240" s="105">
        <v>19.8</v>
      </c>
      <c r="AS240" s="105">
        <v>20</v>
      </c>
      <c r="AT240" s="105">
        <v>19</v>
      </c>
      <c r="AU240" s="105">
        <v>20.5</v>
      </c>
      <c r="AV240" s="105">
        <v>19.3</v>
      </c>
      <c r="AW240" s="105">
        <v>19.8</v>
      </c>
      <c r="AX240" s="105">
        <v>19.399999999999999</v>
      </c>
      <c r="AY240" s="105">
        <v>18.600000000000001</v>
      </c>
      <c r="AZ240" s="105">
        <v>18.7</v>
      </c>
      <c r="BA240" s="105">
        <v>19.2</v>
      </c>
      <c r="BB240" s="142">
        <v>19.399999999999999</v>
      </c>
      <c r="BC240" s="142">
        <v>19</v>
      </c>
      <c r="BD240" s="142">
        <v>19.600000000000001</v>
      </c>
      <c r="BE240" s="142">
        <v>19</v>
      </c>
      <c r="BF240" s="142">
        <v>18.5</v>
      </c>
      <c r="BG240" s="106">
        <v>18</v>
      </c>
      <c r="BH240" s="143">
        <v>17.8</v>
      </c>
    </row>
    <row r="241" spans="1:63">
      <c r="A241" s="81" t="s">
        <v>345</v>
      </c>
      <c r="B241" s="81"/>
      <c r="C241" s="81" t="s">
        <v>314</v>
      </c>
      <c r="D241" s="105">
        <f t="shared" ref="D241:N241" si="56">D239/$Q$239*$Q$241</f>
        <v>47.326924324901896</v>
      </c>
      <c r="E241" s="105">
        <f t="shared" si="56"/>
        <v>44.61725243576479</v>
      </c>
      <c r="F241" s="105">
        <f t="shared" si="56"/>
        <v>44.532063923540377</v>
      </c>
      <c r="G241" s="105">
        <f t="shared" si="56"/>
        <v>41.336704108985451</v>
      </c>
      <c r="H241" s="105">
        <f t="shared" si="56"/>
        <v>39.169493392232901</v>
      </c>
      <c r="I241" s="105">
        <f t="shared" si="56"/>
        <v>37.534519055801709</v>
      </c>
      <c r="J241" s="105">
        <f t="shared" si="56"/>
        <v>37.111115391839817</v>
      </c>
      <c r="K241" s="105">
        <f t="shared" si="56"/>
        <v>36.729836809046937</v>
      </c>
      <c r="L241" s="105">
        <f t="shared" si="56"/>
        <v>36.34855822625407</v>
      </c>
      <c r="M241" s="105">
        <f t="shared" si="56"/>
        <v>35.96727964346119</v>
      </c>
      <c r="N241" s="105">
        <f t="shared" si="56"/>
        <v>35.586001060668316</v>
      </c>
      <c r="O241" s="105">
        <f>O239/$Q$239*$Q$241</f>
        <v>35.228787051892446</v>
      </c>
      <c r="P241" s="105">
        <f>P239/$Q$239*$Q$241</f>
        <v>31.65111738528492</v>
      </c>
      <c r="Q241" s="105">
        <f>Q240</f>
        <v>31.7</v>
      </c>
      <c r="R241" s="105">
        <f t="shared" ref="R241:BA241" si="57">R240</f>
        <v>31</v>
      </c>
      <c r="S241" s="105">
        <f t="shared" si="57"/>
        <v>33</v>
      </c>
      <c r="T241" s="105">
        <f t="shared" si="57"/>
        <v>33.5</v>
      </c>
      <c r="U241" s="105">
        <f t="shared" si="57"/>
        <v>31.2</v>
      </c>
      <c r="V241" s="105">
        <f t="shared" si="57"/>
        <v>29.2</v>
      </c>
      <c r="W241" s="105">
        <f t="shared" si="57"/>
        <v>30.2</v>
      </c>
      <c r="X241" s="105">
        <f t="shared" si="57"/>
        <v>27.8</v>
      </c>
      <c r="Y241" s="105">
        <f t="shared" si="57"/>
        <v>26.3</v>
      </c>
      <c r="Z241" s="105">
        <f t="shared" si="57"/>
        <v>25</v>
      </c>
      <c r="AA241" s="105">
        <f t="shared" si="57"/>
        <v>24.5</v>
      </c>
      <c r="AB241" s="105">
        <f t="shared" si="57"/>
        <v>23.7</v>
      </c>
      <c r="AC241" s="105">
        <f t="shared" si="57"/>
        <v>24</v>
      </c>
      <c r="AD241" s="105">
        <f t="shared" si="57"/>
        <v>22.5</v>
      </c>
      <c r="AE241" s="105">
        <f t="shared" si="57"/>
        <v>22.6</v>
      </c>
      <c r="AF241" s="105">
        <f t="shared" si="57"/>
        <v>21.4</v>
      </c>
      <c r="AG241" s="105">
        <f t="shared" si="57"/>
        <v>22.4</v>
      </c>
      <c r="AH241" s="105">
        <f t="shared" si="57"/>
        <v>21.6</v>
      </c>
      <c r="AI241" s="105">
        <f t="shared" si="57"/>
        <v>22</v>
      </c>
      <c r="AJ241" s="105">
        <f t="shared" si="57"/>
        <v>21</v>
      </c>
      <c r="AK241" s="105">
        <f t="shared" si="57"/>
        <v>20.3</v>
      </c>
      <c r="AL241" s="105">
        <f t="shared" si="57"/>
        <v>20</v>
      </c>
      <c r="AM241" s="105">
        <f t="shared" si="57"/>
        <v>19.8</v>
      </c>
      <c r="AN241" s="105">
        <f t="shared" si="57"/>
        <v>19.5</v>
      </c>
      <c r="AO241" s="105">
        <f t="shared" si="57"/>
        <v>19.399999999999999</v>
      </c>
      <c r="AP241" s="105">
        <f t="shared" si="57"/>
        <v>20</v>
      </c>
      <c r="AQ241" s="105">
        <f t="shared" si="57"/>
        <v>20.2</v>
      </c>
      <c r="AR241" s="105">
        <f t="shared" si="57"/>
        <v>19.8</v>
      </c>
      <c r="AS241" s="105">
        <f t="shared" si="57"/>
        <v>20</v>
      </c>
      <c r="AT241" s="105">
        <f t="shared" si="57"/>
        <v>19</v>
      </c>
      <c r="AU241" s="105">
        <f t="shared" si="57"/>
        <v>20.5</v>
      </c>
      <c r="AV241" s="105">
        <f t="shared" si="57"/>
        <v>19.3</v>
      </c>
      <c r="AW241" s="105">
        <f t="shared" si="57"/>
        <v>19.8</v>
      </c>
      <c r="AX241" s="105">
        <f t="shared" si="57"/>
        <v>19.399999999999999</v>
      </c>
      <c r="AY241" s="105">
        <f t="shared" si="57"/>
        <v>18.600000000000001</v>
      </c>
      <c r="AZ241" s="105">
        <f t="shared" si="57"/>
        <v>18.7</v>
      </c>
      <c r="BA241" s="105">
        <f t="shared" si="57"/>
        <v>19.2</v>
      </c>
      <c r="BB241" s="142">
        <f>BB240</f>
        <v>19.399999999999999</v>
      </c>
      <c r="BC241" s="142">
        <f>BC240</f>
        <v>19</v>
      </c>
      <c r="BD241" s="142">
        <f>BD240</f>
        <v>19.600000000000001</v>
      </c>
      <c r="BE241" s="142">
        <f>BE240</f>
        <v>19</v>
      </c>
      <c r="BF241" s="142">
        <f>BF240</f>
        <v>18.5</v>
      </c>
      <c r="BG241" s="106">
        <v>18</v>
      </c>
      <c r="BH241" s="143">
        <v>17.8</v>
      </c>
    </row>
    <row r="244" spans="1:63">
      <c r="BH244" s="144" t="s">
        <v>346</v>
      </c>
      <c r="BI244" s="143"/>
      <c r="BJ244" s="143"/>
      <c r="BK244" s="143"/>
    </row>
    <row r="246" spans="1:63">
      <c r="Z246" s="81" t="s">
        <v>347</v>
      </c>
    </row>
    <row r="247" spans="1:63">
      <c r="Z247" s="75" t="s">
        <v>348</v>
      </c>
    </row>
    <row r="284" spans="10:14">
      <c r="J284" s="81"/>
    </row>
    <row r="286" spans="10:14">
      <c r="J286" s="80"/>
      <c r="K286" s="80"/>
      <c r="L286" s="80"/>
      <c r="M286" s="80"/>
      <c r="N286" s="80"/>
    </row>
    <row r="287" spans="10:14">
      <c r="J287" s="80"/>
      <c r="K287" s="80"/>
      <c r="L287" s="80"/>
      <c r="M287" s="80"/>
    </row>
    <row r="289" spans="1:5">
      <c r="A289" s="145" t="s">
        <v>350</v>
      </c>
    </row>
    <row r="291" spans="1:5">
      <c r="A291" s="118" t="s">
        <v>301</v>
      </c>
    </row>
    <row r="292" spans="1:5">
      <c r="A292" s="118"/>
    </row>
    <row r="293" spans="1:5">
      <c r="E293" s="119" t="s">
        <v>302</v>
      </c>
    </row>
    <row r="294" spans="1:5">
      <c r="B294" s="119" t="s">
        <v>82</v>
      </c>
      <c r="C294" s="119" t="s">
        <v>22</v>
      </c>
      <c r="D294" s="119" t="s">
        <v>23</v>
      </c>
      <c r="E294" s="119" t="s">
        <v>303</v>
      </c>
    </row>
    <row r="295" spans="1:5">
      <c r="A295" s="75">
        <v>1920</v>
      </c>
      <c r="B295" s="91">
        <v>0</v>
      </c>
      <c r="C295" s="91"/>
      <c r="D295" s="91"/>
      <c r="E295" s="91"/>
    </row>
    <row r="296" spans="1:5">
      <c r="A296" s="75">
        <v>1930</v>
      </c>
      <c r="B296" s="91">
        <v>0</v>
      </c>
      <c r="C296" s="91">
        <v>76</v>
      </c>
      <c r="D296" s="91">
        <v>7183</v>
      </c>
      <c r="E296" s="91">
        <f>+B296+C296+D296</f>
        <v>7259</v>
      </c>
    </row>
    <row r="297" spans="1:5">
      <c r="A297" s="75">
        <v>1940</v>
      </c>
      <c r="B297" s="91">
        <v>0</v>
      </c>
      <c r="C297" s="91">
        <v>435</v>
      </c>
      <c r="D297" s="91">
        <v>12361</v>
      </c>
      <c r="E297" s="91">
        <f>+B297+C297+D297</f>
        <v>12796</v>
      </c>
    </row>
    <row r="298" spans="1:5">
      <c r="A298" s="75">
        <v>1950</v>
      </c>
      <c r="B298" s="91">
        <v>0</v>
      </c>
      <c r="C298" s="91">
        <v>748.2</v>
      </c>
      <c r="D298" s="91">
        <v>14521.2</v>
      </c>
      <c r="E298" s="91">
        <f>+B298+C298+D298</f>
        <v>15269.400000000001</v>
      </c>
    </row>
    <row r="299" spans="1:5">
      <c r="A299" s="75">
        <v>1951</v>
      </c>
      <c r="B299" s="91">
        <v>0</v>
      </c>
      <c r="C299" s="91">
        <v>832.4</v>
      </c>
      <c r="D299" s="91">
        <v>13754</v>
      </c>
      <c r="E299" s="91">
        <f t="shared" ref="E299:E362" si="58">+B299+C299+D299</f>
        <v>14586.4</v>
      </c>
    </row>
    <row r="300" spans="1:5">
      <c r="A300" s="75">
        <v>1952</v>
      </c>
      <c r="B300" s="91">
        <v>0</v>
      </c>
      <c r="C300" s="91">
        <v>945.1</v>
      </c>
      <c r="D300" s="91">
        <v>14388.7</v>
      </c>
      <c r="E300" s="91">
        <f t="shared" si="58"/>
        <v>15333.800000000001</v>
      </c>
    </row>
    <row r="301" spans="1:5">
      <c r="A301" s="75">
        <v>1953</v>
      </c>
      <c r="B301" s="91">
        <v>0</v>
      </c>
      <c r="C301" s="91">
        <v>944.6</v>
      </c>
      <c r="D301" s="91">
        <v>15677.7</v>
      </c>
      <c r="E301" s="91">
        <f t="shared" si="58"/>
        <v>16622.3</v>
      </c>
    </row>
    <row r="302" spans="1:5">
      <c r="A302" s="75">
        <v>1954</v>
      </c>
      <c r="B302" s="91">
        <v>0</v>
      </c>
      <c r="C302" s="91">
        <v>944.3</v>
      </c>
      <c r="D302" s="91">
        <v>16505</v>
      </c>
      <c r="E302" s="91">
        <f t="shared" si="58"/>
        <v>17449.3</v>
      </c>
    </row>
    <row r="303" spans="1:5">
      <c r="A303" s="75">
        <v>1955</v>
      </c>
      <c r="B303" s="91">
        <v>0</v>
      </c>
      <c r="C303" s="91">
        <v>1116</v>
      </c>
      <c r="D303" s="91">
        <v>17529.3</v>
      </c>
      <c r="E303" s="91">
        <f t="shared" si="58"/>
        <v>18645.3</v>
      </c>
    </row>
    <row r="304" spans="1:5">
      <c r="A304" s="75">
        <v>1956</v>
      </c>
      <c r="B304" s="91">
        <v>0</v>
      </c>
      <c r="C304" s="91">
        <v>1216.9000000000001</v>
      </c>
      <c r="D304" s="91">
        <v>18292.099999999999</v>
      </c>
      <c r="E304" s="91">
        <f t="shared" si="58"/>
        <v>19509</v>
      </c>
    </row>
    <row r="305" spans="1:5">
      <c r="A305" s="75">
        <v>1957</v>
      </c>
      <c r="B305" s="91">
        <v>0</v>
      </c>
      <c r="C305" s="91">
        <v>1230.9000000000001</v>
      </c>
      <c r="D305" s="91">
        <v>19341.099999999999</v>
      </c>
      <c r="E305" s="91">
        <f t="shared" si="58"/>
        <v>20572</v>
      </c>
    </row>
    <row r="306" spans="1:5">
      <c r="A306" s="75">
        <v>1958</v>
      </c>
      <c r="B306" s="91">
        <v>0</v>
      </c>
      <c r="C306" s="91">
        <v>1143.9000000000001</v>
      </c>
      <c r="D306" s="91">
        <v>17750.099999999999</v>
      </c>
      <c r="E306" s="91">
        <f t="shared" si="58"/>
        <v>18894</v>
      </c>
    </row>
    <row r="307" spans="1:5">
      <c r="A307" s="75">
        <v>1959</v>
      </c>
      <c r="B307" s="91">
        <v>0</v>
      </c>
      <c r="C307" s="91">
        <v>1370.1</v>
      </c>
      <c r="D307" s="91">
        <v>20819.2</v>
      </c>
      <c r="E307" s="91">
        <f t="shared" si="58"/>
        <v>22189.3</v>
      </c>
    </row>
    <row r="308" spans="1:5">
      <c r="A308" s="75">
        <v>1960</v>
      </c>
      <c r="B308" s="91">
        <v>0</v>
      </c>
      <c r="C308" s="91">
        <v>1712.5</v>
      </c>
      <c r="D308" s="91">
        <v>18722.099999999999</v>
      </c>
      <c r="E308" s="91">
        <f t="shared" si="58"/>
        <v>20434.599999999999</v>
      </c>
    </row>
    <row r="309" spans="1:5">
      <c r="A309" s="75">
        <v>1961</v>
      </c>
      <c r="B309" s="91">
        <v>71.5</v>
      </c>
      <c r="C309" s="91">
        <v>1674.4</v>
      </c>
      <c r="D309" s="91">
        <v>18672.900000000001</v>
      </c>
      <c r="E309" s="91">
        <f t="shared" si="58"/>
        <v>20418.800000000003</v>
      </c>
    </row>
    <row r="310" spans="1:5">
      <c r="A310" s="75">
        <v>1962</v>
      </c>
      <c r="B310" s="91">
        <v>438.4</v>
      </c>
      <c r="C310" s="91">
        <v>1504.3</v>
      </c>
      <c r="D310" s="91">
        <v>16987.400000000001</v>
      </c>
      <c r="E310" s="91">
        <f t="shared" si="58"/>
        <v>18930.100000000002</v>
      </c>
    </row>
    <row r="311" spans="1:5">
      <c r="A311" s="75">
        <v>1963</v>
      </c>
      <c r="B311" s="91">
        <v>1528.3</v>
      </c>
      <c r="C311" s="91">
        <v>2110.1</v>
      </c>
      <c r="D311" s="91">
        <v>17382.900000000001</v>
      </c>
      <c r="E311" s="91">
        <f t="shared" si="58"/>
        <v>21021.300000000003</v>
      </c>
    </row>
    <row r="312" spans="1:5">
      <c r="A312" s="75">
        <v>1964</v>
      </c>
      <c r="B312" s="91">
        <v>3037.6</v>
      </c>
      <c r="C312" s="91">
        <v>2984.2</v>
      </c>
      <c r="D312" s="91">
        <v>18780.3</v>
      </c>
      <c r="E312" s="91">
        <f t="shared" si="58"/>
        <v>24802.1</v>
      </c>
    </row>
    <row r="313" spans="1:5">
      <c r="A313" s="75">
        <v>1965</v>
      </c>
      <c r="B313" s="91">
        <v>4756.8999999999996</v>
      </c>
      <c r="C313" s="91">
        <v>3490.7</v>
      </c>
      <c r="D313" s="91">
        <v>17485.599999999999</v>
      </c>
      <c r="E313" s="91">
        <f t="shared" si="58"/>
        <v>25733.199999999997</v>
      </c>
    </row>
    <row r="314" spans="1:5">
      <c r="A314" s="75">
        <v>1966</v>
      </c>
      <c r="B314" s="91">
        <v>5641.2</v>
      </c>
      <c r="C314" s="91">
        <v>3395</v>
      </c>
      <c r="D314" s="91">
        <v>14597.4</v>
      </c>
      <c r="E314" s="91">
        <f t="shared" si="58"/>
        <v>23633.599999999999</v>
      </c>
    </row>
    <row r="315" spans="1:5">
      <c r="A315" s="75">
        <v>1967</v>
      </c>
      <c r="B315" s="91">
        <v>5914.4</v>
      </c>
      <c r="C315" s="91">
        <v>3471.6</v>
      </c>
      <c r="D315" s="91">
        <v>13863.8</v>
      </c>
      <c r="E315" s="91">
        <f t="shared" si="58"/>
        <v>23249.8</v>
      </c>
    </row>
    <row r="316" spans="1:5">
      <c r="A316" s="75">
        <v>1968</v>
      </c>
      <c r="B316" s="91">
        <v>6573</v>
      </c>
      <c r="C316" s="91">
        <v>4216</v>
      </c>
      <c r="D316" s="91">
        <v>14405.4</v>
      </c>
      <c r="E316" s="91">
        <f t="shared" si="58"/>
        <v>25194.400000000001</v>
      </c>
    </row>
    <row r="317" spans="1:5">
      <c r="A317" s="75">
        <v>1969</v>
      </c>
      <c r="B317" s="91">
        <v>7036.6</v>
      </c>
      <c r="C317" s="91">
        <v>4937</v>
      </c>
      <c r="D317" s="91">
        <v>14172</v>
      </c>
      <c r="E317" s="91">
        <f t="shared" si="58"/>
        <v>26145.599999999999</v>
      </c>
    </row>
    <row r="318" spans="1:5">
      <c r="A318" s="75">
        <v>1970</v>
      </c>
      <c r="B318" s="91">
        <v>9085</v>
      </c>
      <c r="C318" s="91">
        <v>5514</v>
      </c>
      <c r="D318" s="91">
        <v>13370</v>
      </c>
      <c r="E318" s="91">
        <f t="shared" si="58"/>
        <v>27969</v>
      </c>
    </row>
    <row r="319" spans="1:5">
      <c r="A319" s="75">
        <v>1971</v>
      </c>
      <c r="B319" s="91">
        <v>9345.1</v>
      </c>
      <c r="C319" s="91">
        <v>4361.3</v>
      </c>
      <c r="D319" s="91">
        <v>10174.700000000001</v>
      </c>
      <c r="E319" s="91">
        <f t="shared" si="58"/>
        <v>23881.100000000002</v>
      </c>
    </row>
    <row r="320" spans="1:5">
      <c r="A320" s="75">
        <v>1972</v>
      </c>
      <c r="B320" s="91">
        <v>10766.6</v>
      </c>
      <c r="C320" s="91">
        <v>4910.3999999999996</v>
      </c>
      <c r="D320" s="91">
        <v>9357.2999999999993</v>
      </c>
      <c r="E320" s="91">
        <f t="shared" si="58"/>
        <v>25034.3</v>
      </c>
    </row>
    <row r="321" spans="1:5">
      <c r="A321" s="75">
        <v>1973</v>
      </c>
      <c r="B321" s="91">
        <v>12578</v>
      </c>
      <c r="C321" s="91">
        <v>5293.4</v>
      </c>
      <c r="D321" s="91">
        <v>8452.7000000000007</v>
      </c>
      <c r="E321" s="91">
        <f t="shared" si="58"/>
        <v>26324.100000000002</v>
      </c>
    </row>
    <row r="322" spans="1:5">
      <c r="A322" s="75">
        <v>1974</v>
      </c>
      <c r="B322" s="91">
        <v>10707.2</v>
      </c>
      <c r="C322" s="91">
        <v>5257.8</v>
      </c>
      <c r="D322" s="91">
        <v>6188.7</v>
      </c>
      <c r="E322" s="91">
        <f t="shared" si="58"/>
        <v>22153.7</v>
      </c>
    </row>
    <row r="323" spans="1:5">
      <c r="A323" s="75">
        <v>1975</v>
      </c>
      <c r="B323" s="91">
        <v>10063.799999999999</v>
      </c>
      <c r="C323" s="91">
        <v>5561.9</v>
      </c>
      <c r="D323" s="91">
        <v>4446.1000000000004</v>
      </c>
      <c r="E323" s="91">
        <f t="shared" si="58"/>
        <v>20071.8</v>
      </c>
    </row>
    <row r="324" spans="1:5">
      <c r="A324" s="75">
        <v>1976</v>
      </c>
      <c r="B324" s="91">
        <v>11470.4</v>
      </c>
      <c r="C324" s="91">
        <v>6756.1</v>
      </c>
      <c r="D324" s="91">
        <v>4025.7</v>
      </c>
      <c r="E324" s="91">
        <f t="shared" si="58"/>
        <v>22252.2</v>
      </c>
    </row>
    <row r="325" spans="1:5">
      <c r="A325" s="75">
        <v>1977</v>
      </c>
      <c r="B325" s="91">
        <v>10842.6</v>
      </c>
      <c r="C325" s="91">
        <v>6269.3</v>
      </c>
      <c r="D325" s="91">
        <v>3278.7</v>
      </c>
      <c r="E325" s="91">
        <f t="shared" si="58"/>
        <v>20390.600000000002</v>
      </c>
    </row>
    <row r="326" spans="1:5">
      <c r="A326" s="75">
        <v>1978</v>
      </c>
      <c r="B326" s="91">
        <v>11336.1</v>
      </c>
      <c r="C326" s="91">
        <v>7200.1</v>
      </c>
      <c r="D326" s="91">
        <v>1763.7</v>
      </c>
      <c r="E326" s="91">
        <f t="shared" si="58"/>
        <v>20299.900000000001</v>
      </c>
    </row>
    <row r="327" spans="1:5">
      <c r="A327" s="75">
        <v>1979</v>
      </c>
      <c r="B327" s="91">
        <v>12893.9</v>
      </c>
      <c r="C327" s="91">
        <v>7384.9</v>
      </c>
      <c r="D327" s="91">
        <v>1162.7</v>
      </c>
      <c r="E327" s="91">
        <f t="shared" si="58"/>
        <v>21441.5</v>
      </c>
    </row>
    <row r="328" spans="1:5">
      <c r="A328" s="75">
        <v>1980</v>
      </c>
      <c r="B328" s="91">
        <v>6688.6</v>
      </c>
      <c r="C328" s="91">
        <v>4578.7</v>
      </c>
      <c r="D328" s="91">
        <v>0</v>
      </c>
      <c r="E328" s="91">
        <f t="shared" si="58"/>
        <v>11267.3</v>
      </c>
    </row>
    <row r="329" spans="1:5">
      <c r="A329" s="75">
        <v>1981</v>
      </c>
      <c r="B329" s="91">
        <v>10534.6</v>
      </c>
      <c r="C329" s="91">
        <v>5037.8</v>
      </c>
      <c r="D329" s="91">
        <v>0</v>
      </c>
      <c r="E329" s="91">
        <f t="shared" si="58"/>
        <v>15572.400000000001</v>
      </c>
    </row>
    <row r="330" spans="1:5">
      <c r="A330" s="75">
        <v>1982</v>
      </c>
      <c r="B330" s="91">
        <v>9035.7999999999993</v>
      </c>
      <c r="C330" s="91">
        <v>4668.6000000000004</v>
      </c>
      <c r="D330" s="91">
        <v>0</v>
      </c>
      <c r="E330" s="91">
        <f t="shared" si="58"/>
        <v>13704.4</v>
      </c>
    </row>
    <row r="331" spans="1:5">
      <c r="A331" s="75">
        <v>1983</v>
      </c>
      <c r="B331" s="91">
        <v>10495.5</v>
      </c>
      <c r="C331" s="91">
        <v>4490.8999999999996</v>
      </c>
      <c r="D331" s="91">
        <v>0</v>
      </c>
      <c r="E331" s="91">
        <f t="shared" si="58"/>
        <v>14986.4</v>
      </c>
    </row>
    <row r="332" spans="1:5">
      <c r="A332" s="75">
        <v>1984</v>
      </c>
      <c r="B332" s="91">
        <v>10295.299999999999</v>
      </c>
      <c r="C332" s="91">
        <v>4825.7</v>
      </c>
      <c r="D332" s="91">
        <v>0</v>
      </c>
      <c r="E332" s="91">
        <f t="shared" si="58"/>
        <v>15121</v>
      </c>
    </row>
    <row r="333" spans="1:5">
      <c r="A333" s="75">
        <v>1985</v>
      </c>
      <c r="B333" s="91">
        <v>11185</v>
      </c>
      <c r="C333" s="91">
        <v>4536.8999999999996</v>
      </c>
      <c r="D333" s="91">
        <v>0</v>
      </c>
      <c r="E333" s="91">
        <f t="shared" si="58"/>
        <v>15721.9</v>
      </c>
    </row>
    <row r="334" spans="1:5">
      <c r="A334" s="75">
        <v>1986</v>
      </c>
      <c r="B334" s="91">
        <v>10560.3</v>
      </c>
      <c r="C334" s="91">
        <v>4164.7</v>
      </c>
      <c r="D334" s="91">
        <v>0</v>
      </c>
      <c r="E334" s="91">
        <f t="shared" si="58"/>
        <v>14725</v>
      </c>
    </row>
    <row r="335" spans="1:5">
      <c r="A335" s="75">
        <v>1987</v>
      </c>
      <c r="B335" s="91">
        <v>12956.5</v>
      </c>
      <c r="C335" s="91">
        <v>4457.2</v>
      </c>
      <c r="D335" s="91">
        <v>0</v>
      </c>
      <c r="E335" s="91">
        <f t="shared" si="58"/>
        <v>17413.7</v>
      </c>
    </row>
    <row r="336" spans="1:5">
      <c r="A336" s="75">
        <v>1988</v>
      </c>
      <c r="B336" s="91">
        <v>14007.9</v>
      </c>
      <c r="C336" s="91">
        <v>4942.1000000000004</v>
      </c>
      <c r="D336" s="91">
        <v>0</v>
      </c>
      <c r="E336" s="91">
        <f t="shared" si="58"/>
        <v>18950</v>
      </c>
    </row>
    <row r="337" spans="1:5">
      <c r="A337" s="75">
        <v>1989</v>
      </c>
      <c r="B337" s="91">
        <v>13627.3</v>
      </c>
      <c r="C337" s="91">
        <v>5112.6000000000004</v>
      </c>
      <c r="D337" s="91">
        <v>0</v>
      </c>
      <c r="E337" s="91">
        <f t="shared" si="58"/>
        <v>18739.900000000001</v>
      </c>
    </row>
    <row r="338" spans="1:5">
      <c r="A338" s="75">
        <v>1990</v>
      </c>
      <c r="B338" s="91">
        <v>13169.1</v>
      </c>
      <c r="C338" s="91">
        <v>4671.6000000000004</v>
      </c>
      <c r="D338" s="91">
        <v>0</v>
      </c>
      <c r="E338" s="91">
        <f t="shared" si="58"/>
        <v>17840.7</v>
      </c>
    </row>
    <row r="339" spans="1:5">
      <c r="A339" s="75">
        <v>1991</v>
      </c>
      <c r="B339" s="91">
        <v>12540.1</v>
      </c>
      <c r="C339" s="91">
        <v>3934.3</v>
      </c>
      <c r="D339" s="91">
        <v>0</v>
      </c>
      <c r="E339" s="91">
        <f t="shared" si="58"/>
        <v>16474.400000000001</v>
      </c>
    </row>
    <row r="340" spans="1:5">
      <c r="A340" s="75">
        <v>1992</v>
      </c>
      <c r="B340" s="91">
        <v>12091.6</v>
      </c>
      <c r="C340" s="91">
        <v>4120.3</v>
      </c>
      <c r="D340" s="91">
        <v>0</v>
      </c>
      <c r="E340" s="91">
        <f t="shared" si="58"/>
        <v>16211.900000000001</v>
      </c>
    </row>
    <row r="341" spans="1:5">
      <c r="A341" s="75">
        <v>1993</v>
      </c>
      <c r="B341" s="91">
        <v>12329.9</v>
      </c>
      <c r="C341" s="91">
        <v>4294.8</v>
      </c>
      <c r="D341" s="91">
        <v>0</v>
      </c>
      <c r="E341" s="91">
        <f t="shared" si="58"/>
        <v>16624.7</v>
      </c>
    </row>
    <row r="342" spans="1:5">
      <c r="A342" s="75">
        <v>1994</v>
      </c>
      <c r="B342" s="91">
        <v>12909.3</v>
      </c>
      <c r="C342" s="91">
        <v>4376.5</v>
      </c>
      <c r="D342" s="91">
        <v>0</v>
      </c>
      <c r="E342" s="91">
        <f t="shared" si="58"/>
        <v>17285.8</v>
      </c>
    </row>
    <row r="343" spans="1:5">
      <c r="A343" s="75">
        <v>1995</v>
      </c>
      <c r="B343" s="91">
        <v>13082.508</v>
      </c>
      <c r="C343" s="91">
        <v>4521.0919999999996</v>
      </c>
      <c r="D343" s="91">
        <v>0</v>
      </c>
      <c r="E343" s="91">
        <f t="shared" si="58"/>
        <v>17603.599999999999</v>
      </c>
    </row>
    <row r="344" spans="1:5">
      <c r="A344" s="75">
        <v>1996</v>
      </c>
      <c r="B344" s="91">
        <v>13758.436</v>
      </c>
      <c r="C344" s="91">
        <v>4233.3019999999997</v>
      </c>
      <c r="D344" s="91">
        <v>0</v>
      </c>
      <c r="E344" s="91">
        <f t="shared" si="58"/>
        <v>17991.737999999998</v>
      </c>
    </row>
    <row r="345" spans="1:5">
      <c r="A345" s="75">
        <v>1997</v>
      </c>
      <c r="B345" s="91">
        <v>13987.6</v>
      </c>
      <c r="C345" s="91">
        <v>4512.8999999999996</v>
      </c>
      <c r="D345" s="91">
        <v>0</v>
      </c>
      <c r="E345" s="91">
        <f t="shared" si="58"/>
        <v>18500.5</v>
      </c>
    </row>
    <row r="346" spans="1:5">
      <c r="A346" s="75">
        <v>1998</v>
      </c>
      <c r="B346" s="91">
        <v>13425.999</v>
      </c>
      <c r="C346" s="91">
        <v>3888.9789999999998</v>
      </c>
      <c r="D346" s="91">
        <v>0</v>
      </c>
      <c r="E346" s="91">
        <f t="shared" si="58"/>
        <v>17314.977999999999</v>
      </c>
    </row>
    <row r="347" spans="1:5">
      <c r="A347" s="75">
        <v>1999</v>
      </c>
      <c r="B347" s="91">
        <v>12633.471</v>
      </c>
      <c r="C347" s="91">
        <v>3662.2919999999999</v>
      </c>
      <c r="D347" s="91">
        <v>0</v>
      </c>
      <c r="E347" s="91">
        <f t="shared" si="58"/>
        <v>16295.762999999999</v>
      </c>
    </row>
    <row r="348" spans="1:5">
      <c r="A348" s="75">
        <v>2000</v>
      </c>
      <c r="B348" s="91">
        <v>11550.868</v>
      </c>
      <c r="C348" s="91">
        <v>3603.7440000000001</v>
      </c>
      <c r="D348" s="91">
        <v>0</v>
      </c>
      <c r="E348" s="91">
        <f t="shared" si="58"/>
        <v>15154.612000000001</v>
      </c>
    </row>
    <row r="349" spans="1:5">
      <c r="A349" s="75">
        <v>2001</v>
      </c>
      <c r="B349" s="91">
        <v>10270.799999999999</v>
      </c>
      <c r="C349" s="91">
        <v>3271.8</v>
      </c>
      <c r="D349" s="91">
        <v>0</v>
      </c>
      <c r="E349" s="91">
        <f t="shared" si="58"/>
        <v>13542.599999999999</v>
      </c>
    </row>
    <row r="350" spans="1:5">
      <c r="A350" s="75">
        <v>2002</v>
      </c>
      <c r="B350" s="91">
        <v>8955.7160000000003</v>
      </c>
      <c r="C350" s="91">
        <v>2711.3969999999999</v>
      </c>
      <c r="D350" s="91">
        <v>0</v>
      </c>
      <c r="E350" s="91">
        <f t="shared" si="58"/>
        <v>11667.113000000001</v>
      </c>
    </row>
    <row r="351" spans="1:5">
      <c r="A351" s="75">
        <v>2003</v>
      </c>
      <c r="B351" s="91">
        <v>10629.528</v>
      </c>
      <c r="C351" s="91">
        <v>2638.4949999999999</v>
      </c>
      <c r="D351" s="91">
        <v>0</v>
      </c>
      <c r="E351" s="91">
        <f t="shared" si="58"/>
        <v>13268.023000000001</v>
      </c>
    </row>
    <row r="352" spans="1:5">
      <c r="A352" s="75">
        <v>2004</v>
      </c>
      <c r="B352" s="91">
        <v>10667.153</v>
      </c>
      <c r="C352" s="91">
        <v>3098.5859999999998</v>
      </c>
      <c r="D352" s="91">
        <v>0</v>
      </c>
      <c r="E352" s="91">
        <f t="shared" si="58"/>
        <v>13765.739</v>
      </c>
    </row>
    <row r="353" spans="1:5">
      <c r="A353" s="75">
        <v>2005</v>
      </c>
      <c r="B353" s="91">
        <v>10549.723</v>
      </c>
      <c r="C353" s="91">
        <v>2689</v>
      </c>
      <c r="D353" s="91">
        <v>0</v>
      </c>
      <c r="E353" s="91">
        <f t="shared" si="58"/>
        <v>13238.723</v>
      </c>
    </row>
    <row r="354" spans="1:5">
      <c r="A354" s="75">
        <v>2006</v>
      </c>
      <c r="B354" s="91">
        <v>11203</v>
      </c>
      <c r="C354" s="91">
        <v>2702</v>
      </c>
      <c r="D354" s="91">
        <v>0</v>
      </c>
      <c r="E354" s="91">
        <f t="shared" si="58"/>
        <v>13905</v>
      </c>
    </row>
    <row r="355" spans="1:5">
      <c r="A355" s="75">
        <v>2007</v>
      </c>
      <c r="B355" s="91">
        <v>11362</v>
      </c>
      <c r="C355" s="91">
        <v>3030</v>
      </c>
      <c r="D355" s="91">
        <v>0</v>
      </c>
      <c r="E355" s="91">
        <f t="shared" si="58"/>
        <v>14392</v>
      </c>
    </row>
    <row r="356" spans="1:5">
      <c r="A356" s="75">
        <v>2008</v>
      </c>
      <c r="B356" s="91">
        <v>10478</v>
      </c>
      <c r="C356" s="91">
        <v>3043</v>
      </c>
      <c r="D356" s="91">
        <v>0</v>
      </c>
      <c r="E356" s="91">
        <f t="shared" si="58"/>
        <v>13521</v>
      </c>
    </row>
    <row r="357" spans="1:5">
      <c r="A357" s="75">
        <v>2009</v>
      </c>
      <c r="B357" s="91">
        <v>7955</v>
      </c>
      <c r="C357" s="91">
        <v>2120</v>
      </c>
      <c r="D357" s="91">
        <v>0</v>
      </c>
      <c r="E357" s="91">
        <f t="shared" si="58"/>
        <v>10075</v>
      </c>
    </row>
    <row r="358" spans="1:5">
      <c r="A358" s="75">
        <v>2010</v>
      </c>
      <c r="B358" s="91">
        <v>7323</v>
      </c>
      <c r="C358" s="91">
        <v>2385</v>
      </c>
      <c r="D358" s="91">
        <v>0</v>
      </c>
      <c r="E358" s="91">
        <f t="shared" si="58"/>
        <v>9708</v>
      </c>
    </row>
    <row r="359" spans="1:5">
      <c r="A359" s="75">
        <v>2011</v>
      </c>
      <c r="B359" s="91">
        <v>6946</v>
      </c>
      <c r="C359" s="91">
        <v>2532</v>
      </c>
      <c r="D359" s="91">
        <v>0</v>
      </c>
      <c r="E359" s="91">
        <f t="shared" si="58"/>
        <v>9478</v>
      </c>
    </row>
    <row r="360" spans="1:5">
      <c r="A360" s="75">
        <v>2012</v>
      </c>
      <c r="B360" s="122">
        <v>7500</v>
      </c>
      <c r="C360" s="122">
        <v>2000</v>
      </c>
      <c r="D360" s="120">
        <v>0</v>
      </c>
      <c r="E360" s="120">
        <f t="shared" si="58"/>
        <v>9500</v>
      </c>
    </row>
    <row r="361" spans="1:5">
      <c r="A361" s="75">
        <v>2013</v>
      </c>
      <c r="B361" s="122">
        <v>9900</v>
      </c>
      <c r="C361" s="122">
        <v>1900</v>
      </c>
      <c r="D361" s="120">
        <v>0</v>
      </c>
      <c r="E361" s="120">
        <f t="shared" si="58"/>
        <v>11800</v>
      </c>
    </row>
    <row r="362" spans="1:5">
      <c r="A362" s="75">
        <v>2014</v>
      </c>
      <c r="B362" s="122">
        <v>10200</v>
      </c>
      <c r="C362" s="122">
        <v>2000</v>
      </c>
      <c r="D362" s="120">
        <v>0</v>
      </c>
      <c r="E362" s="120">
        <f t="shared" si="58"/>
        <v>12200</v>
      </c>
    </row>
    <row r="363" spans="1:5">
      <c r="A363" s="75">
        <v>2015</v>
      </c>
      <c r="B363" s="122"/>
      <c r="C363" s="122"/>
      <c r="D363" s="122"/>
      <c r="E363" s="122"/>
    </row>
    <row r="364" spans="1:5">
      <c r="A364" s="81" t="s">
        <v>351</v>
      </c>
    </row>
    <row r="385" spans="6:6">
      <c r="F385" s="75">
        <v>2</v>
      </c>
    </row>
    <row r="386" spans="6:6">
      <c r="F386" s="75">
        <v>1.9</v>
      </c>
    </row>
    <row r="387" spans="6:6">
      <c r="F387" s="75">
        <v>2</v>
      </c>
    </row>
  </sheetData>
  <hyperlinks>
    <hyperlink ref="I23" r:id="rId1" xr:uid="{00000000-0004-0000-0700-000000000000}"/>
    <hyperlink ref="Z124" r:id="rId2" xr:uid="{00000000-0004-0000-0700-000001000000}"/>
  </hyperlinks>
  <pageMargins left="0.7" right="0.7" top="0.75" bottom="0.75" header="0.3" footer="0.3"/>
  <pageSetup paperSize="9" orientation="portrait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2"/>
  <sheetViews>
    <sheetView workbookViewId="0">
      <selection activeCell="E7" sqref="E7"/>
    </sheetView>
  </sheetViews>
  <sheetFormatPr defaultColWidth="8.88671875" defaultRowHeight="14.4"/>
  <cols>
    <col min="3" max="3" width="23.44140625" bestFit="1" customWidth="1"/>
  </cols>
  <sheetData>
    <row r="1" spans="1:7">
      <c r="A1" t="s">
        <v>152</v>
      </c>
    </row>
    <row r="2" spans="1:7">
      <c r="A2" s="2" t="s">
        <v>153</v>
      </c>
    </row>
    <row r="4" spans="1:7">
      <c r="A4" s="9" t="s">
        <v>2</v>
      </c>
      <c r="B4" s="9" t="s">
        <v>25</v>
      </c>
      <c r="C4" s="9" t="s">
        <v>115</v>
      </c>
      <c r="D4" s="9"/>
      <c r="E4" s="9"/>
      <c r="F4" s="9"/>
      <c r="G4" s="9"/>
    </row>
    <row r="5" spans="1:7">
      <c r="A5" s="3">
        <v>2005</v>
      </c>
      <c r="B5" s="3" t="s">
        <v>131</v>
      </c>
      <c r="C5" s="3">
        <v>15.4</v>
      </c>
      <c r="D5" s="3"/>
      <c r="E5" s="3"/>
      <c r="F5" s="3"/>
      <c r="G5" s="3"/>
    </row>
    <row r="6" spans="1:7">
      <c r="A6" s="3">
        <v>2005</v>
      </c>
      <c r="B6" s="3" t="s">
        <v>154</v>
      </c>
      <c r="C6" s="3">
        <v>17.100000000000001</v>
      </c>
      <c r="D6" s="3"/>
      <c r="E6" s="3"/>
      <c r="F6" s="3"/>
      <c r="G6" s="3"/>
    </row>
    <row r="7" spans="1:7">
      <c r="A7" s="3">
        <v>2005</v>
      </c>
      <c r="B7" s="3" t="s">
        <v>137</v>
      </c>
      <c r="C7" s="3">
        <v>22.3</v>
      </c>
      <c r="D7" s="3"/>
      <c r="E7" s="3"/>
      <c r="F7" s="3"/>
      <c r="G7" s="3"/>
    </row>
    <row r="8" spans="1:7">
      <c r="A8" s="3">
        <v>2005</v>
      </c>
      <c r="B8" s="3" t="s">
        <v>140</v>
      </c>
      <c r="C8" s="3">
        <v>22.8</v>
      </c>
      <c r="D8" s="3"/>
      <c r="E8" s="3"/>
      <c r="F8" s="3"/>
      <c r="G8" s="3"/>
    </row>
    <row r="9" spans="1:7">
      <c r="A9" s="3">
        <v>2005</v>
      </c>
      <c r="B9" s="3" t="s">
        <v>138</v>
      </c>
      <c r="C9" s="3">
        <v>26.6</v>
      </c>
      <c r="D9" s="3"/>
      <c r="E9" s="3"/>
      <c r="F9" s="3"/>
      <c r="G9" s="3"/>
    </row>
    <row r="10" spans="1:7">
      <c r="A10" s="3">
        <v>2005</v>
      </c>
      <c r="B10" s="3" t="s">
        <v>155</v>
      </c>
      <c r="C10" s="3">
        <v>31.3</v>
      </c>
      <c r="D10" s="3"/>
      <c r="E10" s="3"/>
      <c r="F10" s="3"/>
      <c r="G10" s="3"/>
    </row>
    <row r="11" spans="1:7">
      <c r="A11" s="3">
        <v>2005</v>
      </c>
      <c r="B11" s="3" t="s">
        <v>28</v>
      </c>
      <c r="C11" s="3">
        <v>19.399999999999999</v>
      </c>
      <c r="D11" s="3"/>
      <c r="E11" s="3"/>
      <c r="F11" s="3"/>
      <c r="G11" s="3"/>
    </row>
    <row r="12" spans="1:7">
      <c r="A12" s="3"/>
      <c r="B12" s="3"/>
      <c r="C12" s="3"/>
      <c r="D12" s="3"/>
      <c r="E12" s="3"/>
      <c r="F12" s="3"/>
      <c r="G12" s="3"/>
    </row>
  </sheetData>
  <hyperlinks>
    <hyperlink ref="A2" r:id="rId1" xr:uid="{00000000-0004-0000-0800-000000000000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7"/>
  <sheetViews>
    <sheetView workbookViewId="0">
      <selection activeCell="D23" sqref="D23"/>
    </sheetView>
  </sheetViews>
  <sheetFormatPr defaultColWidth="8.88671875" defaultRowHeight="14.4"/>
  <cols>
    <col min="3" max="3" width="27.44140625" bestFit="1" customWidth="1"/>
    <col min="4" max="4" width="23.44140625" bestFit="1" customWidth="1"/>
  </cols>
  <sheetData>
    <row r="1" spans="1:4">
      <c r="A1" t="s">
        <v>113</v>
      </c>
    </row>
    <row r="2" spans="1:4">
      <c r="A2" s="2" t="s">
        <v>114</v>
      </c>
      <c r="B2" s="2"/>
    </row>
    <row r="4" spans="1:4">
      <c r="A4" s="9" t="s">
        <v>2</v>
      </c>
      <c r="B4" s="9" t="s">
        <v>25</v>
      </c>
      <c r="C4" s="9" t="s">
        <v>26</v>
      </c>
      <c r="D4" s="9" t="s">
        <v>115</v>
      </c>
    </row>
    <row r="5" spans="1:4">
      <c r="A5" s="3">
        <v>2005</v>
      </c>
      <c r="B5" s="3" t="s">
        <v>150</v>
      </c>
      <c r="C5" s="3" t="s">
        <v>30</v>
      </c>
      <c r="D5" s="3">
        <v>3.2</v>
      </c>
    </row>
    <row r="6" spans="1:4">
      <c r="A6" s="3">
        <v>2004</v>
      </c>
      <c r="B6" s="3" t="s">
        <v>150</v>
      </c>
      <c r="C6" s="3" t="s">
        <v>29</v>
      </c>
      <c r="D6" s="3">
        <v>16.899999999999999</v>
      </c>
    </row>
    <row r="7" spans="1:4">
      <c r="A7" s="3">
        <v>2005</v>
      </c>
      <c r="B7" s="3" t="s">
        <v>150</v>
      </c>
      <c r="C7" s="3" t="s">
        <v>151</v>
      </c>
      <c r="D7" s="3">
        <v>5</v>
      </c>
    </row>
  </sheetData>
  <hyperlinks>
    <hyperlink ref="A2" r:id="rId1" xr:uid="{00000000-0004-0000-0B00-000000000000}"/>
  </hyperlinks>
  <pageMargins left="0.7" right="0.7" top="0.75" bottom="0.75" header="0.3" footer="0.3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17"/>
  <sheetViews>
    <sheetView zoomScale="80" zoomScaleNormal="80" workbookViewId="0">
      <selection activeCell="E45" sqref="E45"/>
    </sheetView>
  </sheetViews>
  <sheetFormatPr defaultColWidth="8.88671875" defaultRowHeight="14.4"/>
  <cols>
    <col min="2" max="2" width="10.33203125" customWidth="1"/>
    <col min="3" max="3" width="23.88671875" bestFit="1" customWidth="1"/>
    <col min="4" max="4" width="38.44140625" customWidth="1"/>
    <col min="5" max="5" width="12.109375" customWidth="1"/>
    <col min="6" max="6" width="10.33203125" customWidth="1"/>
    <col min="7" max="7" width="17.88671875" bestFit="1" customWidth="1"/>
  </cols>
  <sheetData>
    <row r="1" spans="1:7">
      <c r="A1" t="s">
        <v>168</v>
      </c>
    </row>
    <row r="2" spans="1:7">
      <c r="A2" s="2" t="s">
        <v>169</v>
      </c>
    </row>
    <row r="5" spans="1:7">
      <c r="A5" s="9" t="s">
        <v>25</v>
      </c>
      <c r="B5" s="9" t="s">
        <v>2</v>
      </c>
      <c r="C5" s="9" t="s">
        <v>170</v>
      </c>
      <c r="D5" s="9" t="s">
        <v>26</v>
      </c>
      <c r="E5" s="9" t="s">
        <v>27</v>
      </c>
      <c r="F5" s="9" t="s">
        <v>171</v>
      </c>
      <c r="G5" s="9" t="s">
        <v>172</v>
      </c>
    </row>
    <row r="6" spans="1:7">
      <c r="A6" s="3" t="s">
        <v>131</v>
      </c>
      <c r="B6" s="3">
        <v>1971</v>
      </c>
      <c r="C6" s="3" t="s">
        <v>174</v>
      </c>
      <c r="D6" s="3" t="s">
        <v>175</v>
      </c>
      <c r="E6" s="3"/>
      <c r="F6" s="3" t="s">
        <v>177</v>
      </c>
      <c r="G6" s="3">
        <v>120</v>
      </c>
    </row>
    <row r="7" spans="1:7">
      <c r="A7" s="3" t="s">
        <v>131</v>
      </c>
      <c r="B7" s="3">
        <v>1972</v>
      </c>
      <c r="C7" s="3" t="s">
        <v>174</v>
      </c>
      <c r="D7" s="3" t="s">
        <v>176</v>
      </c>
      <c r="E7" s="3"/>
      <c r="F7" s="3" t="s">
        <v>177</v>
      </c>
      <c r="G7" s="3">
        <v>4357</v>
      </c>
    </row>
    <row r="8" spans="1:7">
      <c r="A8" s="3" t="s">
        <v>131</v>
      </c>
      <c r="B8" s="3">
        <v>1973</v>
      </c>
      <c r="C8" s="3" t="s">
        <v>174</v>
      </c>
      <c r="D8" s="3" t="s">
        <v>175</v>
      </c>
      <c r="E8" s="3"/>
      <c r="F8" s="3" t="s">
        <v>173</v>
      </c>
      <c r="G8" s="3">
        <f>G6*kWh_to_GJ</f>
        <v>0.432</v>
      </c>
    </row>
    <row r="9" spans="1:7">
      <c r="A9" s="3" t="s">
        <v>131</v>
      </c>
      <c r="B9" s="3">
        <v>1974</v>
      </c>
      <c r="C9" s="3" t="s">
        <v>174</v>
      </c>
      <c r="D9" s="3" t="s">
        <v>176</v>
      </c>
      <c r="E9" s="3"/>
      <c r="F9" s="3" t="s">
        <v>173</v>
      </c>
      <c r="G9" s="3">
        <f>G7*kWh_to_GJ</f>
        <v>15.6852</v>
      </c>
    </row>
    <row r="10" spans="1:7">
      <c r="A10" s="3"/>
      <c r="B10" s="3"/>
      <c r="C10" s="3"/>
      <c r="D10" s="3"/>
      <c r="E10" s="3"/>
      <c r="F10" s="3"/>
      <c r="G10" s="3"/>
    </row>
    <row r="11" spans="1:7">
      <c r="A11" s="3"/>
      <c r="B11" s="3"/>
      <c r="C11" s="3"/>
      <c r="D11" s="3"/>
      <c r="E11" s="3"/>
      <c r="F11" s="3"/>
      <c r="G11" s="3"/>
    </row>
    <row r="12" spans="1:7">
      <c r="A12" s="3"/>
      <c r="B12" s="3"/>
      <c r="C12" s="3"/>
      <c r="D12" s="3"/>
      <c r="E12" s="3"/>
      <c r="F12" s="3"/>
      <c r="G12" s="3"/>
    </row>
    <row r="13" spans="1:7">
      <c r="A13" s="3"/>
      <c r="B13" s="3"/>
      <c r="C13" s="3"/>
      <c r="D13" s="3"/>
      <c r="E13" s="3"/>
      <c r="F13" s="3"/>
      <c r="G13" s="3"/>
    </row>
    <row r="14" spans="1:7">
      <c r="A14" s="3"/>
      <c r="B14" s="3"/>
      <c r="C14" s="3"/>
      <c r="D14" s="3"/>
      <c r="E14" s="3"/>
      <c r="F14" s="3"/>
      <c r="G14" s="3"/>
    </row>
    <row r="15" spans="1:7">
      <c r="A15" s="3"/>
      <c r="B15" s="3"/>
      <c r="C15" s="3"/>
      <c r="D15" s="3"/>
      <c r="E15" s="3"/>
      <c r="F15" s="3"/>
      <c r="G15" s="3"/>
    </row>
    <row r="16" spans="1:7">
      <c r="A16" s="3"/>
      <c r="B16" s="3"/>
      <c r="C16" s="3"/>
      <c r="D16" s="3"/>
      <c r="E16" s="3"/>
      <c r="F16" s="3"/>
      <c r="G16" s="3"/>
    </row>
    <row r="17" spans="1:7">
      <c r="A17" s="3"/>
      <c r="B17" s="3"/>
      <c r="C17" s="3"/>
      <c r="D17" s="3"/>
      <c r="E17" s="3"/>
      <c r="F17" s="3"/>
      <c r="G17" s="3"/>
    </row>
  </sheetData>
  <hyperlinks>
    <hyperlink ref="A2" r:id="rId1" xr:uid="{00000000-0004-0000-0E00-000000000000}"/>
  </hyperlinks>
  <pageMargins left="0.7" right="0.7" top="0.75" bottom="0.75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C000"/>
  </sheetPr>
  <dimension ref="A1:B2"/>
  <sheetViews>
    <sheetView workbookViewId="0">
      <selection activeCell="C32" sqref="C32"/>
    </sheetView>
  </sheetViews>
  <sheetFormatPr defaultColWidth="8.88671875" defaultRowHeight="14.4"/>
  <cols>
    <col min="1" max="1" width="33.33203125" style="3" bestFit="1" customWidth="1"/>
    <col min="2" max="2" width="33.44140625" style="3" bestFit="1" customWidth="1"/>
  </cols>
  <sheetData>
    <row r="1" spans="1:2">
      <c r="A1" s="9" t="s">
        <v>103</v>
      </c>
      <c r="B1" s="9" t="s">
        <v>104</v>
      </c>
    </row>
    <row r="2" spans="1:2">
      <c r="A2" s="3">
        <v>1600</v>
      </c>
      <c r="B2" s="3">
        <f>A2+273.15</f>
        <v>1873.15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C000"/>
  </sheetPr>
  <dimension ref="A1"/>
  <sheetViews>
    <sheetView workbookViewId="0">
      <selection activeCell="O19" sqref="O19"/>
    </sheetView>
  </sheetViews>
  <sheetFormatPr defaultColWidth="8.88671875" defaultRowHeight="14.4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W77:W78"/>
  <sheetViews>
    <sheetView topLeftCell="B19" zoomScale="90" zoomScaleNormal="90" workbookViewId="0">
      <selection activeCell="W78" sqref="W78"/>
    </sheetView>
  </sheetViews>
  <sheetFormatPr defaultColWidth="8.88671875" defaultRowHeight="14.4"/>
  <sheetData>
    <row r="77" spans="23:23">
      <c r="W77" s="10" t="s">
        <v>102</v>
      </c>
    </row>
    <row r="78" spans="23:23">
      <c r="W78">
        <v>6.9635999999999996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2"/>
  <sheetViews>
    <sheetView workbookViewId="0">
      <selection activeCell="E25" sqref="E25"/>
    </sheetView>
  </sheetViews>
  <sheetFormatPr defaultColWidth="8.88671875" defaultRowHeight="14.4"/>
  <sheetData>
    <row r="1" spans="1:1">
      <c r="A1" t="s">
        <v>112</v>
      </c>
    </row>
    <row r="2" spans="1:1">
      <c r="A2" s="2" t="s">
        <v>111</v>
      </c>
    </row>
  </sheetData>
  <hyperlinks>
    <hyperlink ref="A2" r:id="rId1" xr:uid="{00000000-0004-0000-13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4"/>
  <sheetViews>
    <sheetView workbookViewId="0">
      <selection activeCell="J25" sqref="J25"/>
    </sheetView>
  </sheetViews>
  <sheetFormatPr defaultColWidth="8.88671875" defaultRowHeight="14.4"/>
  <cols>
    <col min="1" max="1" width="17.88671875" bestFit="1" customWidth="1"/>
    <col min="2" max="2" width="15.6640625" style="64" bestFit="1" customWidth="1"/>
  </cols>
  <sheetData>
    <row r="1" spans="1:2">
      <c r="A1" t="s">
        <v>178</v>
      </c>
      <c r="B1" s="64">
        <v>1.06E-6</v>
      </c>
    </row>
    <row r="2" spans="1:2">
      <c r="A2" t="s">
        <v>179</v>
      </c>
      <c r="B2" s="64">
        <v>2204.6226200000001</v>
      </c>
    </row>
    <row r="3" spans="1:2">
      <c r="A3" t="s">
        <v>180</v>
      </c>
      <c r="B3" s="64">
        <v>3.5999999999999999E-3</v>
      </c>
    </row>
    <row r="4" spans="1:2">
      <c r="A4" t="s">
        <v>189</v>
      </c>
      <c r="B4" s="64">
        <v>4.1840000000000002E-3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C000"/>
  </sheetPr>
  <dimension ref="A1:F8"/>
  <sheetViews>
    <sheetView zoomScale="80" zoomScaleNormal="80" workbookViewId="0">
      <selection activeCell="Y19" sqref="Y19"/>
    </sheetView>
  </sheetViews>
  <sheetFormatPr defaultColWidth="8.88671875" defaultRowHeight="14.4"/>
  <cols>
    <col min="1" max="1" width="34.109375" bestFit="1" customWidth="1"/>
  </cols>
  <sheetData>
    <row r="1" spans="1:6">
      <c r="A1" s="9" t="s">
        <v>39</v>
      </c>
      <c r="F1" s="24" t="s">
        <v>56</v>
      </c>
    </row>
    <row r="2" spans="1:6">
      <c r="A2" s="3" t="s">
        <v>58</v>
      </c>
      <c r="F2" s="2" t="s">
        <v>57</v>
      </c>
    </row>
    <row r="4" spans="1:6">
      <c r="A4" s="9" t="s">
        <v>40</v>
      </c>
    </row>
    <row r="5" spans="1:6">
      <c r="A5" s="3">
        <v>0.4</v>
      </c>
    </row>
    <row r="7" spans="1:6">
      <c r="A7" s="9" t="s">
        <v>35</v>
      </c>
    </row>
    <row r="8" spans="1:6">
      <c r="A8" s="3">
        <v>6.8</v>
      </c>
    </row>
  </sheetData>
  <hyperlinks>
    <hyperlink ref="F2" r:id="rId1" xr:uid="{00000000-0004-0000-1500-000000000000}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C000"/>
  </sheetPr>
  <dimension ref="A1:G6"/>
  <sheetViews>
    <sheetView workbookViewId="0">
      <selection activeCell="D15" sqref="D15"/>
    </sheetView>
  </sheetViews>
  <sheetFormatPr defaultColWidth="8.88671875" defaultRowHeight="14.4"/>
  <cols>
    <col min="1" max="2" width="34.33203125" bestFit="1" customWidth="1"/>
  </cols>
  <sheetData>
    <row r="1" spans="1:7">
      <c r="A1" s="9" t="s">
        <v>45</v>
      </c>
      <c r="B1" s="9"/>
      <c r="G1" t="s">
        <v>44</v>
      </c>
    </row>
    <row r="2" spans="1:7">
      <c r="A2" s="15">
        <v>1.87</v>
      </c>
      <c r="B2" s="9"/>
      <c r="G2" s="2" t="s">
        <v>43</v>
      </c>
    </row>
    <row r="3" spans="1:7">
      <c r="A3" s="9" t="s">
        <v>46</v>
      </c>
      <c r="B3" s="9"/>
    </row>
    <row r="4" spans="1:7">
      <c r="A4" s="15">
        <v>0.22</v>
      </c>
      <c r="B4" s="9"/>
    </row>
    <row r="5" spans="1:7">
      <c r="A5" s="9" t="s">
        <v>47</v>
      </c>
      <c r="B5" s="9"/>
    </row>
    <row r="6" spans="1:7">
      <c r="A6" s="3">
        <v>6.62</v>
      </c>
    </row>
  </sheetData>
  <hyperlinks>
    <hyperlink ref="G2" r:id="rId1" xr:uid="{00000000-0004-0000-1600-000000000000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C000"/>
  </sheetPr>
  <dimension ref="A1:H31"/>
  <sheetViews>
    <sheetView workbookViewId="0">
      <selection activeCell="C32" sqref="C32"/>
    </sheetView>
  </sheetViews>
  <sheetFormatPr defaultColWidth="8.88671875" defaultRowHeight="14.4"/>
  <cols>
    <col min="1" max="2" width="21.88671875" style="3" customWidth="1"/>
    <col min="3" max="3" width="23.6640625" style="3" customWidth="1"/>
    <col min="4" max="4" width="27.33203125" style="3" customWidth="1"/>
  </cols>
  <sheetData>
    <row r="1" spans="1:8">
      <c r="A1" s="9" t="s">
        <v>68</v>
      </c>
      <c r="B1" s="9" t="s">
        <v>70</v>
      </c>
      <c r="C1" s="9" t="s">
        <v>69</v>
      </c>
      <c r="D1" s="9" t="s">
        <v>67</v>
      </c>
      <c r="H1" t="s">
        <v>42</v>
      </c>
    </row>
    <row r="2" spans="1:8">
      <c r="A2" s="15" t="s">
        <v>72</v>
      </c>
      <c r="B2" s="15" t="s">
        <v>71</v>
      </c>
      <c r="C2" s="15" t="s">
        <v>83</v>
      </c>
      <c r="D2" s="15">
        <v>7.7265499999999996</v>
      </c>
      <c r="H2" s="2" t="s">
        <v>41</v>
      </c>
    </row>
    <row r="4" spans="1:8">
      <c r="A4" s="15" t="s">
        <v>74</v>
      </c>
      <c r="B4" s="15" t="s">
        <v>73</v>
      </c>
      <c r="C4" s="15" t="s">
        <v>22</v>
      </c>
      <c r="D4" s="15">
        <v>6.3921900000000003</v>
      </c>
    </row>
    <row r="5" spans="1:8">
      <c r="A5" s="15" t="s">
        <v>75</v>
      </c>
      <c r="B5" s="15" t="s">
        <v>73</v>
      </c>
      <c r="C5" s="15" t="s">
        <v>22</v>
      </c>
      <c r="D5" s="15">
        <v>0.81340000000000001</v>
      </c>
    </row>
    <row r="6" spans="1:8">
      <c r="A6" s="15" t="s">
        <v>76</v>
      </c>
      <c r="B6" s="15" t="s">
        <v>73</v>
      </c>
      <c r="C6" s="15" t="s">
        <v>22</v>
      </c>
      <c r="D6" s="15">
        <v>7.1330000000000005E-2</v>
      </c>
    </row>
    <row r="7" spans="1:8">
      <c r="A7" s="3" t="s">
        <v>77</v>
      </c>
      <c r="B7" s="15" t="s">
        <v>73</v>
      </c>
      <c r="C7" s="15" t="s">
        <v>22</v>
      </c>
      <c r="D7" s="3">
        <v>9.1869999999999993E-2</v>
      </c>
    </row>
    <row r="8" spans="1:8">
      <c r="A8" s="3" t="s">
        <v>78</v>
      </c>
      <c r="B8" s="15" t="s">
        <v>73</v>
      </c>
      <c r="C8" s="15" t="s">
        <v>22</v>
      </c>
      <c r="D8" s="3">
        <v>0.15482000000000001</v>
      </c>
    </row>
    <row r="9" spans="1:8">
      <c r="A9" s="3" t="s">
        <v>79</v>
      </c>
      <c r="B9" s="15" t="s">
        <v>73</v>
      </c>
      <c r="C9" s="15" t="s">
        <v>22</v>
      </c>
      <c r="D9" s="3">
        <v>7.6850000000000002E-2</v>
      </c>
    </row>
    <row r="10" spans="1:8">
      <c r="A10" s="3" t="s">
        <v>80</v>
      </c>
      <c r="B10" s="15" t="s">
        <v>73</v>
      </c>
      <c r="C10" s="15" t="s">
        <v>22</v>
      </c>
      <c r="D10" s="3">
        <v>3.64E-3</v>
      </c>
    </row>
    <row r="11" spans="1:8">
      <c r="A11" s="3" t="s">
        <v>81</v>
      </c>
      <c r="B11" s="15" t="s">
        <v>73</v>
      </c>
      <c r="C11" s="15" t="s">
        <v>22</v>
      </c>
      <c r="D11" s="3">
        <v>1.856E-2</v>
      </c>
    </row>
    <row r="13" spans="1:8">
      <c r="A13" s="3" t="s">
        <v>89</v>
      </c>
      <c r="B13" s="3" t="s">
        <v>73</v>
      </c>
      <c r="C13" s="3" t="s">
        <v>88</v>
      </c>
      <c r="D13" s="3">
        <v>0.31358000000000003</v>
      </c>
    </row>
    <row r="14" spans="1:8">
      <c r="A14" s="3" t="s">
        <v>90</v>
      </c>
      <c r="B14" s="3" t="s">
        <v>73</v>
      </c>
      <c r="C14" s="3" t="s">
        <v>88</v>
      </c>
      <c r="D14" s="3">
        <v>2.8389999999999999E-2</v>
      </c>
    </row>
    <row r="15" spans="1:8">
      <c r="A15" s="3" t="s">
        <v>92</v>
      </c>
      <c r="B15" s="3" t="s">
        <v>73</v>
      </c>
      <c r="C15" s="3" t="s">
        <v>88</v>
      </c>
      <c r="E15" s="3">
        <v>5.2490800000000002</v>
      </c>
    </row>
    <row r="16" spans="1:8">
      <c r="A16" s="3" t="s">
        <v>93</v>
      </c>
      <c r="B16" s="3" t="s">
        <v>73</v>
      </c>
      <c r="C16" s="3" t="s">
        <v>88</v>
      </c>
      <c r="E16" s="3" t="s">
        <v>96</v>
      </c>
    </row>
    <row r="17" spans="1:5">
      <c r="A17" s="3" t="s">
        <v>94</v>
      </c>
      <c r="B17" s="3" t="s">
        <v>73</v>
      </c>
      <c r="C17" s="3" t="s">
        <v>88</v>
      </c>
      <c r="D17" s="3">
        <v>1.114074</v>
      </c>
    </row>
    <row r="19" spans="1:5">
      <c r="A19" s="3" t="s">
        <v>91</v>
      </c>
      <c r="B19" s="3" t="s">
        <v>73</v>
      </c>
      <c r="C19" s="3" t="s">
        <v>82</v>
      </c>
      <c r="E19" s="3">
        <v>8.7306399999999993</v>
      </c>
    </row>
    <row r="20" spans="1:5">
      <c r="A20" s="3" t="s">
        <v>78</v>
      </c>
      <c r="B20" s="3" t="s">
        <v>73</v>
      </c>
      <c r="C20" s="3" t="s">
        <v>82</v>
      </c>
      <c r="D20" s="3">
        <v>0.12492</v>
      </c>
    </row>
    <row r="21" spans="1:5">
      <c r="A21" s="3" t="s">
        <v>77</v>
      </c>
      <c r="B21" s="3" t="s">
        <v>73</v>
      </c>
      <c r="C21" s="3" t="s">
        <v>82</v>
      </c>
      <c r="D21" s="3">
        <v>2.419E-2</v>
      </c>
    </row>
    <row r="22" spans="1:5">
      <c r="A22" s="3" t="s">
        <v>75</v>
      </c>
      <c r="B22" s="3" t="s">
        <v>73</v>
      </c>
      <c r="C22" s="3" t="s">
        <v>82</v>
      </c>
      <c r="D22" s="3">
        <v>0.81340000000000001</v>
      </c>
    </row>
    <row r="23" spans="1:5">
      <c r="A23" s="3" t="s">
        <v>80</v>
      </c>
      <c r="B23" s="3" t="s">
        <v>73</v>
      </c>
      <c r="C23" s="3" t="s">
        <v>82</v>
      </c>
      <c r="D23" s="3">
        <v>1.078E-2</v>
      </c>
    </row>
    <row r="27" spans="1:5">
      <c r="A27" s="9" t="s">
        <v>84</v>
      </c>
      <c r="B27" s="3">
        <f>SUM(D4:D11)</f>
        <v>7.6226599999999998</v>
      </c>
    </row>
    <row r="28" spans="1:5">
      <c r="A28" s="9" t="s">
        <v>95</v>
      </c>
      <c r="B28" s="3">
        <f>SUM(D19:D23) + (SUM(D13:D17) * (966.94/1000))</f>
        <v>2.38119718536</v>
      </c>
    </row>
    <row r="30" spans="1:5">
      <c r="A30" s="9" t="s">
        <v>97</v>
      </c>
      <c r="B30" s="3">
        <v>1650</v>
      </c>
    </row>
    <row r="31" spans="1:5">
      <c r="A31" s="9" t="s">
        <v>98</v>
      </c>
      <c r="B31" s="3">
        <f>B30+273.15</f>
        <v>1923.15</v>
      </c>
    </row>
  </sheetData>
  <hyperlinks>
    <hyperlink ref="H2" r:id="rId1" xr:uid="{00000000-0004-0000-1700-000000000000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C000"/>
  </sheetPr>
  <dimension ref="A1:D15"/>
  <sheetViews>
    <sheetView workbookViewId="0">
      <selection activeCell="B16" sqref="B16"/>
    </sheetView>
  </sheetViews>
  <sheetFormatPr defaultColWidth="8.88671875" defaultRowHeight="14.4"/>
  <cols>
    <col min="1" max="2" width="36.44140625" style="3" bestFit="1" customWidth="1"/>
  </cols>
  <sheetData>
    <row r="1" spans="1:4">
      <c r="A1" s="9" t="s">
        <v>48</v>
      </c>
      <c r="B1" s="9" t="s">
        <v>49</v>
      </c>
      <c r="D1" s="2" t="s">
        <v>36</v>
      </c>
    </row>
    <row r="2" spans="1:4">
      <c r="A2" s="3">
        <v>7100</v>
      </c>
      <c r="B2" s="3">
        <f>(A2/1000000)*1000</f>
        <v>7.1000000000000005</v>
      </c>
    </row>
    <row r="4" spans="1:4">
      <c r="A4" s="9" t="s">
        <v>51</v>
      </c>
      <c r="B4" s="9" t="s">
        <v>40</v>
      </c>
    </row>
    <row r="5" spans="1:4">
      <c r="A5" s="3">
        <v>109.1</v>
      </c>
      <c r="B5" s="3">
        <f>A5/1000</f>
        <v>0.10909999999999999</v>
      </c>
    </row>
    <row r="7" spans="1:4">
      <c r="A7" s="9" t="s">
        <v>52</v>
      </c>
      <c r="B7" s="9" t="s">
        <v>50</v>
      </c>
    </row>
    <row r="8" spans="1:4">
      <c r="A8" s="3">
        <v>211.5</v>
      </c>
      <c r="B8" s="3">
        <f>A8/1000</f>
        <v>0.21149999999999999</v>
      </c>
    </row>
    <row r="15" spans="1:4" ht="15.6">
      <c r="D15" s="13" t="s">
        <v>37</v>
      </c>
    </row>
  </sheetData>
  <hyperlinks>
    <hyperlink ref="D1" r:id="rId1" xr:uid="{00000000-0004-0000-1800-000000000000}"/>
  </hyperlinks>
  <pageMargins left="0.7" right="0.7" top="0.75" bottom="0.75" header="0.3" footer="0.3"/>
  <pageSetup paperSize="9" orientation="portrait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C000"/>
  </sheetPr>
  <dimension ref="A1:BL64"/>
  <sheetViews>
    <sheetView zoomScale="70" zoomScaleNormal="70" workbookViewId="0">
      <selection activeCell="AU5" sqref="AU5"/>
    </sheetView>
  </sheetViews>
  <sheetFormatPr defaultColWidth="8.88671875" defaultRowHeight="14.4"/>
  <cols>
    <col min="1" max="1" width="8.88671875" style="3"/>
    <col min="2" max="7" width="25.88671875" style="3" customWidth="1"/>
    <col min="8" max="8" width="29.109375" style="3" bestFit="1" customWidth="1"/>
    <col min="9" max="12" width="29.109375" style="3" customWidth="1"/>
    <col min="13" max="13" width="12" style="3" customWidth="1"/>
    <col min="14" max="18" width="23.88671875" style="3" customWidth="1"/>
    <col min="19" max="19" width="13.88671875" style="3" customWidth="1"/>
    <col min="20" max="20" width="26.44140625" style="3" customWidth="1"/>
    <col min="21" max="24" width="25.44140625" style="3" customWidth="1"/>
    <col min="25" max="25" width="13.88671875" style="3" customWidth="1"/>
    <col min="26" max="28" width="14.44140625" style="3" customWidth="1"/>
    <col min="29" max="31" width="14.44140625" customWidth="1"/>
    <col min="32" max="32" width="16.44140625" customWidth="1"/>
    <col min="33" max="34" width="14.44140625" customWidth="1"/>
    <col min="36" max="36" width="12.109375" bestFit="1" customWidth="1"/>
    <col min="37" max="37" width="13.44140625" bestFit="1" customWidth="1"/>
    <col min="38" max="38" width="14" bestFit="1" customWidth="1"/>
    <col min="39" max="39" width="12.109375" bestFit="1" customWidth="1"/>
    <col min="40" max="40" width="12.88671875" bestFit="1" customWidth="1"/>
    <col min="41" max="41" width="13.109375" bestFit="1" customWidth="1"/>
    <col min="42" max="42" width="12.109375" bestFit="1" customWidth="1"/>
    <col min="43" max="44" width="10.109375" bestFit="1" customWidth="1"/>
    <col min="46" max="46" width="12.109375" bestFit="1" customWidth="1"/>
    <col min="47" max="47" width="13.44140625" bestFit="1" customWidth="1"/>
    <col min="48" max="48" width="14" bestFit="1" customWidth="1"/>
    <col min="49" max="49" width="12.109375" bestFit="1" customWidth="1"/>
    <col min="50" max="50" width="12.88671875" bestFit="1" customWidth="1"/>
    <col min="51" max="51" width="13.109375" bestFit="1" customWidth="1"/>
    <col min="52" max="52" width="12.109375" bestFit="1" customWidth="1"/>
    <col min="53" max="54" width="10.109375" bestFit="1" customWidth="1"/>
    <col min="56" max="56" width="12.109375" bestFit="1" customWidth="1"/>
    <col min="57" max="57" width="13.44140625" bestFit="1" customWidth="1"/>
    <col min="58" max="58" width="14" bestFit="1" customWidth="1"/>
    <col min="59" max="59" width="12.109375" bestFit="1" customWidth="1"/>
    <col min="60" max="60" width="12.88671875" bestFit="1" customWidth="1"/>
    <col min="61" max="61" width="13.109375" bestFit="1" customWidth="1"/>
    <col min="62" max="62" width="12.109375" bestFit="1" customWidth="1"/>
    <col min="63" max="64" width="10.109375" bestFit="1" customWidth="1"/>
  </cols>
  <sheetData>
    <row r="1" spans="1:64">
      <c r="Z1" s="27" t="s">
        <v>63</v>
      </c>
      <c r="AA1" s="27"/>
      <c r="AB1" s="27"/>
      <c r="AC1" s="27"/>
      <c r="AD1" s="27"/>
      <c r="AE1" s="27"/>
      <c r="AF1" s="27"/>
      <c r="AG1" s="27"/>
      <c r="AH1" s="27"/>
      <c r="AJ1" s="28" t="s">
        <v>64</v>
      </c>
      <c r="AK1" s="28"/>
      <c r="AL1" s="28"/>
      <c r="AM1" s="28"/>
      <c r="AN1" s="28"/>
      <c r="AO1" s="28"/>
      <c r="AP1" s="28"/>
      <c r="AQ1" s="28"/>
      <c r="AR1" s="28"/>
      <c r="AT1" s="29" t="s">
        <v>65</v>
      </c>
      <c r="AU1" s="29"/>
      <c r="AV1" s="29"/>
      <c r="AW1" s="29"/>
      <c r="AX1" s="29"/>
      <c r="AY1" s="29"/>
      <c r="AZ1" s="29"/>
      <c r="BA1" s="29"/>
      <c r="BB1" s="29"/>
      <c r="BD1" s="30" t="s">
        <v>66</v>
      </c>
      <c r="BE1" s="30"/>
      <c r="BF1" s="30"/>
      <c r="BG1" s="30"/>
      <c r="BH1" s="30"/>
      <c r="BI1" s="30"/>
      <c r="BJ1" s="30"/>
      <c r="BK1" s="30"/>
      <c r="BL1" s="30"/>
    </row>
    <row r="2" spans="1:64">
      <c r="B2" s="25" t="s">
        <v>59</v>
      </c>
      <c r="J2" s="25" t="s">
        <v>60</v>
      </c>
      <c r="K2" s="26"/>
      <c r="N2" s="25" t="s">
        <v>61</v>
      </c>
      <c r="O2" s="25"/>
      <c r="T2" s="32" t="s">
        <v>86</v>
      </c>
      <c r="U2" s="26"/>
      <c r="V2" s="33"/>
      <c r="W2" s="25" t="s">
        <v>87</v>
      </c>
      <c r="X2" s="33"/>
      <c r="Z2" s="25" t="s">
        <v>31</v>
      </c>
      <c r="AC2" s="25" t="s">
        <v>38</v>
      </c>
      <c r="AF2" s="25" t="s">
        <v>62</v>
      </c>
      <c r="AJ2" s="25" t="s">
        <v>31</v>
      </c>
      <c r="AM2" s="25" t="s">
        <v>38</v>
      </c>
      <c r="AP2" s="25" t="s">
        <v>62</v>
      </c>
      <c r="AT2" s="25" t="s">
        <v>31</v>
      </c>
      <c r="AW2" s="25" t="s">
        <v>38</v>
      </c>
      <c r="AZ2" s="25" t="s">
        <v>62</v>
      </c>
      <c r="BD2" s="25" t="s">
        <v>31</v>
      </c>
      <c r="BG2" s="25" t="s">
        <v>38</v>
      </c>
      <c r="BJ2" s="25" t="s">
        <v>62</v>
      </c>
    </row>
    <row r="3" spans="1:64" s="8" customFormat="1" ht="28.8">
      <c r="A3" s="7" t="s">
        <v>2</v>
      </c>
      <c r="B3" s="7" t="s">
        <v>14</v>
      </c>
      <c r="C3" s="7" t="s">
        <v>16</v>
      </c>
      <c r="D3" s="7" t="s">
        <v>18</v>
      </c>
      <c r="E3" s="7" t="s">
        <v>15</v>
      </c>
      <c r="F3" s="7" t="s">
        <v>17</v>
      </c>
      <c r="G3" s="7" t="s">
        <v>19</v>
      </c>
      <c r="H3" s="7" t="s">
        <v>7</v>
      </c>
      <c r="I3" s="7"/>
      <c r="J3" s="7" t="s">
        <v>32</v>
      </c>
      <c r="K3" s="7" t="s">
        <v>33</v>
      </c>
      <c r="L3" s="7" t="s">
        <v>34</v>
      </c>
      <c r="M3" s="7"/>
      <c r="N3" s="7" t="s">
        <v>40</v>
      </c>
      <c r="O3" s="7" t="s">
        <v>50</v>
      </c>
      <c r="P3" s="7" t="s">
        <v>39</v>
      </c>
      <c r="Q3" s="7" t="s">
        <v>55</v>
      </c>
      <c r="R3" s="7" t="s">
        <v>35</v>
      </c>
      <c r="S3" s="7"/>
      <c r="T3" s="7" t="s">
        <v>99</v>
      </c>
      <c r="U3" s="7" t="s">
        <v>85</v>
      </c>
      <c r="V3" s="7"/>
      <c r="W3" s="7" t="s">
        <v>100</v>
      </c>
      <c r="X3" s="7" t="s">
        <v>101</v>
      </c>
      <c r="Y3" s="7"/>
      <c r="Z3" s="7" t="s">
        <v>21</v>
      </c>
      <c r="AA3" s="31" t="s">
        <v>22</v>
      </c>
      <c r="AB3" s="31"/>
      <c r="AC3" s="7" t="s">
        <v>21</v>
      </c>
      <c r="AD3" s="31" t="s">
        <v>22</v>
      </c>
      <c r="AE3" s="31"/>
      <c r="AF3" s="7" t="s">
        <v>21</v>
      </c>
      <c r="AG3" s="31" t="s">
        <v>22</v>
      </c>
      <c r="AH3" s="31"/>
      <c r="AJ3" s="7" t="s">
        <v>21</v>
      </c>
      <c r="AK3" s="31" t="s">
        <v>22</v>
      </c>
      <c r="AL3" s="31"/>
      <c r="AM3" s="7" t="s">
        <v>21</v>
      </c>
      <c r="AN3" s="31" t="s">
        <v>22</v>
      </c>
      <c r="AO3" s="31"/>
      <c r="AP3" s="7" t="s">
        <v>21</v>
      </c>
      <c r="AQ3" s="31" t="s">
        <v>22</v>
      </c>
      <c r="AR3" s="31"/>
      <c r="AT3" s="7" t="s">
        <v>21</v>
      </c>
      <c r="AU3" s="31" t="s">
        <v>22</v>
      </c>
      <c r="AV3" s="31"/>
      <c r="AW3" s="7" t="s">
        <v>21</v>
      </c>
      <c r="AX3" s="31" t="s">
        <v>22</v>
      </c>
      <c r="AY3" s="31"/>
      <c r="AZ3" s="7" t="s">
        <v>21</v>
      </c>
      <c r="BA3" s="31" t="s">
        <v>22</v>
      </c>
      <c r="BB3" s="31"/>
      <c r="BD3" s="7" t="s">
        <v>21</v>
      </c>
      <c r="BE3" s="31" t="s">
        <v>22</v>
      </c>
      <c r="BF3" s="31"/>
      <c r="BG3" s="7" t="s">
        <v>21</v>
      </c>
      <c r="BH3" s="31" t="s">
        <v>22</v>
      </c>
      <c r="BI3" s="31"/>
      <c r="BJ3" s="7" t="s">
        <v>21</v>
      </c>
      <c r="BK3" s="31" t="s">
        <v>22</v>
      </c>
      <c r="BL3" s="31"/>
    </row>
    <row r="4" spans="1:64">
      <c r="A4" s="3">
        <v>1960</v>
      </c>
      <c r="B4" s="4">
        <f>WorldSteel!E8</f>
        <v>42</v>
      </c>
      <c r="C4" s="4">
        <f>WorldSteel!F8</f>
        <v>13.5</v>
      </c>
      <c r="D4" s="4">
        <f>WorldSteel!G8</f>
        <v>66</v>
      </c>
      <c r="E4" s="4">
        <v>42</v>
      </c>
      <c r="F4" s="4">
        <v>13.5</v>
      </c>
      <c r="G4" s="4">
        <v>66</v>
      </c>
      <c r="H4" s="3" t="s">
        <v>8</v>
      </c>
      <c r="J4" s="3">
        <f>Freuhan_2000!$C$2</f>
        <v>7.9</v>
      </c>
      <c r="K4" s="3">
        <f>Freuhan_2000!$D$2</f>
        <v>1.3</v>
      </c>
      <c r="L4" s="3">
        <f>Freuhan_2000!$E$2</f>
        <v>7.9</v>
      </c>
      <c r="N4" s="3">
        <f>ChemExergy!$B$5</f>
        <v>0.10909999999999999</v>
      </c>
      <c r="O4" s="3">
        <f>ChemExergy!$B$8</f>
        <v>0.21149999999999999</v>
      </c>
      <c r="P4" s="3">
        <f>Ayres_2006!$W$78</f>
        <v>6.9635999999999996</v>
      </c>
      <c r="Q4" s="3">
        <f>ChemEnergy!$A$2</f>
        <v>5.2</v>
      </c>
      <c r="R4" s="3">
        <f>Kumar_2020!$D$2</f>
        <v>7.7265499999999996</v>
      </c>
      <c r="T4" s="3">
        <f>Kumar_2020!$B$28</f>
        <v>2.38119718536</v>
      </c>
      <c r="U4" s="3">
        <f>Kumar_2020!$B$27</f>
        <v>7.6226599999999998</v>
      </c>
      <c r="W4" s="3">
        <f>Kumar_2020!$B$31</f>
        <v>1923.15</v>
      </c>
      <c r="X4" s="3">
        <f>Hajidavalloo_2013!$B$2</f>
        <v>1873.15</v>
      </c>
      <c r="Z4" s="11">
        <f>J4/E4</f>
        <v>0.18809523809523809</v>
      </c>
      <c r="AA4" s="11">
        <f>K4/F4</f>
        <v>9.6296296296296297E-2</v>
      </c>
      <c r="AB4" s="11"/>
      <c r="AC4">
        <f>1-(293.15/W4)</f>
        <v>0.84756779242388791</v>
      </c>
      <c r="AD4">
        <f>1-(293.15/X4)</f>
        <v>0.84349891893334761</v>
      </c>
      <c r="AF4" s="12">
        <f>Z4*AC4</f>
        <v>0.15942346571782653</v>
      </c>
      <c r="AG4" s="12">
        <f>AA4*AD4</f>
        <v>8.1225821823211253E-2</v>
      </c>
      <c r="AJ4" s="11">
        <f>Freuhan_2000!$C$2/E4</f>
        <v>0.18809523809523809</v>
      </c>
      <c r="AK4" s="11">
        <f>K4/F4</f>
        <v>9.6296296296296297E-2</v>
      </c>
      <c r="AL4" s="11"/>
      <c r="AM4" s="14">
        <f t="shared" ref="AM4:AM35" si="0">$R4/J4</f>
        <v>0.97804430379746821</v>
      </c>
      <c r="AN4" s="14">
        <f>$R4/$K4</f>
        <v>5.9434999999999993</v>
      </c>
      <c r="AO4" s="14"/>
      <c r="AP4" s="11">
        <f>AJ4*AM4</f>
        <v>0.18396547619047615</v>
      </c>
      <c r="AQ4" s="11">
        <f t="shared" ref="AQ4" si="1">AK4*AN4</f>
        <v>0.57233703703703698</v>
      </c>
      <c r="AR4" s="11"/>
      <c r="AT4" s="12">
        <f>$Q4/E4</f>
        <v>0.12380952380952381</v>
      </c>
      <c r="AU4" s="12">
        <f>$Q4/F4</f>
        <v>0.38518518518518519</v>
      </c>
      <c r="AV4" s="12"/>
      <c r="AW4">
        <f>$R4/$Q4</f>
        <v>1.4858749999999998</v>
      </c>
      <c r="AX4">
        <f t="shared" ref="AX4:AX19" si="2">$R4/$Q4</f>
        <v>1.4858749999999998</v>
      </c>
      <c r="AZ4" s="12">
        <f>AT4*AW4</f>
        <v>0.18396547619047618</v>
      </c>
      <c r="BA4" s="12">
        <f>AU4*AX4</f>
        <v>0.57233703703703698</v>
      </c>
      <c r="BJ4" s="12">
        <f>R4/(T4+E4)</f>
        <v>0.17409512338591784</v>
      </c>
      <c r="BK4" s="12">
        <f>R4/(F4+U4)</f>
        <v>0.36579436491426742</v>
      </c>
    </row>
    <row r="5" spans="1:64">
      <c r="A5" s="3">
        <v>1961</v>
      </c>
      <c r="B5" s="4"/>
      <c r="C5" s="4"/>
      <c r="D5" s="4"/>
      <c r="E5" s="4">
        <f>E$4+((A5-A$4)*((E$9-E$4)/($A$9-$A$4)))</f>
        <v>41.6</v>
      </c>
      <c r="F5" s="4">
        <f>F$4+((A5-A$4)*((F$9-F$4)/(A$9-A$4)))</f>
        <v>13.4</v>
      </c>
      <c r="G5" s="4">
        <f>G$4+((E5-E$4)*((G$9-G$4)/(E$9-E$4)))</f>
        <v>65.599999999999994</v>
      </c>
      <c r="H5" s="3" t="s">
        <v>9</v>
      </c>
      <c r="J5" s="3">
        <f>Freuhan_2000!$C$2</f>
        <v>7.9</v>
      </c>
      <c r="K5" s="3">
        <f>Freuhan_2000!$D$2</f>
        <v>1.3</v>
      </c>
      <c r="L5" s="3">
        <f>Freuhan_2000!$E$2</f>
        <v>7.9</v>
      </c>
      <c r="N5" s="3">
        <f>ChemExergy!$B$5</f>
        <v>0.10909999999999999</v>
      </c>
      <c r="O5" s="3">
        <f>ChemExergy!$B$8</f>
        <v>0.21149999999999999</v>
      </c>
      <c r="P5" s="3">
        <f>Ayres_2006!$W$78</f>
        <v>6.9635999999999996</v>
      </c>
      <c r="Q5" s="3">
        <f>ChemEnergy!$A$2</f>
        <v>5.2</v>
      </c>
      <c r="R5" s="3">
        <f>Kumar_2020!$D$2</f>
        <v>7.7265499999999996</v>
      </c>
      <c r="T5" s="3">
        <f>Kumar_2020!$B$28</f>
        <v>2.38119718536</v>
      </c>
      <c r="U5" s="3">
        <f>Kumar_2020!$B$27</f>
        <v>7.6226599999999998</v>
      </c>
      <c r="W5" s="3">
        <f>Kumar_2020!$B$31</f>
        <v>1923.15</v>
      </c>
      <c r="X5" s="3">
        <f>Hajidavalloo_2013!$B$2</f>
        <v>1873.15</v>
      </c>
      <c r="Z5" s="11">
        <f t="shared" ref="Z5:Z64" si="3">J5/E5</f>
        <v>0.18990384615384615</v>
      </c>
      <c r="AA5" s="11">
        <f t="shared" ref="AA5:AA64" si="4">K5/F5</f>
        <v>9.7014925373134331E-2</v>
      </c>
      <c r="AB5" s="11"/>
      <c r="AC5">
        <f t="shared" ref="AC5:AC64" si="5">1-(293.15/W5)</f>
        <v>0.84756779242388791</v>
      </c>
      <c r="AD5">
        <f t="shared" ref="AD5:AD64" si="6">1-(293.15/X5)</f>
        <v>0.84349891893334761</v>
      </c>
      <c r="AF5" s="12">
        <f t="shared" ref="AF5:AF64" si="7">Z5*AC5</f>
        <v>0.16095638365742101</v>
      </c>
      <c r="AG5" s="12">
        <f t="shared" ref="AG5:AG64" si="8">AA5*AD5</f>
        <v>8.1831984672638206E-2</v>
      </c>
      <c r="AJ5" s="11">
        <f>Freuhan_2000!$C$2/E5</f>
        <v>0.18990384615384615</v>
      </c>
      <c r="AK5" s="11">
        <f>Freuhan_2000!$D$2/Calcs_ChemEx!F5</f>
        <v>9.7014925373134331E-2</v>
      </c>
      <c r="AL5" s="11"/>
      <c r="AM5" s="14">
        <f t="shared" si="0"/>
        <v>0.97804430379746821</v>
      </c>
      <c r="AN5" s="14">
        <f t="shared" ref="AN5:AN36" si="9">$R5/K5</f>
        <v>5.9434999999999993</v>
      </c>
      <c r="AO5" s="14"/>
      <c r="AP5" s="11">
        <f t="shared" ref="AP5:AP64" si="10">AJ5*AM5</f>
        <v>0.18573437499999995</v>
      </c>
      <c r="AQ5" s="11">
        <f t="shared" ref="AQ5:AQ64" si="11">AK5*AN5</f>
        <v>0.5766082089552238</v>
      </c>
      <c r="AR5" s="11"/>
      <c r="AT5" s="12">
        <f t="shared" ref="AT5:AT64" si="12">$Q5/E5</f>
        <v>0.125</v>
      </c>
      <c r="AU5" s="12">
        <f t="shared" ref="AU5:AU64" si="13">$Q5/F5</f>
        <v>0.38805970149253732</v>
      </c>
      <c r="AV5" s="12"/>
      <c r="AW5">
        <f t="shared" ref="AW5:AX36" si="14">$R5/$Q5</f>
        <v>1.4858749999999998</v>
      </c>
      <c r="AX5">
        <f t="shared" si="2"/>
        <v>1.4858749999999998</v>
      </c>
      <c r="AZ5" s="12">
        <f t="shared" ref="AZ5:AZ64" si="15">AT5*AW5</f>
        <v>0.18573437499999998</v>
      </c>
      <c r="BA5" s="12">
        <f t="shared" ref="BA5:BA64" si="16">AU5*AX5</f>
        <v>0.5766082089552238</v>
      </c>
      <c r="BJ5" s="12">
        <f t="shared" ref="BJ5:BJ64" si="17">R5/(T5+E5)</f>
        <v>0.17567848295343658</v>
      </c>
      <c r="BK5" s="12">
        <f t="shared" ref="BK5:BK64" si="18">R5/(F5+U5)</f>
        <v>0.36753436529915812</v>
      </c>
    </row>
    <row r="6" spans="1:64">
      <c r="A6" s="3">
        <v>1962</v>
      </c>
      <c r="B6" s="4"/>
      <c r="C6" s="4"/>
      <c r="D6" s="4"/>
      <c r="E6" s="4">
        <f>E$4+((A6-A$4)*((E$9-E$4)/($A$9-$A$4)))</f>
        <v>41.2</v>
      </c>
      <c r="F6" s="4">
        <f>F$4+((A6-A$4)*((F$9-F$4)/(A$9-A$4)))</f>
        <v>13.3</v>
      </c>
      <c r="G6" s="4">
        <f>G$4+((E6-E$4)*((G$9-G$4)/(E$9-E$4)))</f>
        <v>65.2</v>
      </c>
      <c r="H6" s="3" t="s">
        <v>9</v>
      </c>
      <c r="J6" s="3">
        <f>Freuhan_2000!$C$2</f>
        <v>7.9</v>
      </c>
      <c r="K6" s="3">
        <f>Freuhan_2000!$D$2</f>
        <v>1.3</v>
      </c>
      <c r="L6" s="3">
        <f>Freuhan_2000!$E$2</f>
        <v>7.9</v>
      </c>
      <c r="N6" s="3">
        <f>ChemExergy!$B$5</f>
        <v>0.10909999999999999</v>
      </c>
      <c r="O6" s="3">
        <f>ChemExergy!$B$8</f>
        <v>0.21149999999999999</v>
      </c>
      <c r="P6" s="3">
        <f>Ayres_2006!$W$78</f>
        <v>6.9635999999999996</v>
      </c>
      <c r="Q6" s="3">
        <f>ChemEnergy!$A$2</f>
        <v>5.2</v>
      </c>
      <c r="R6" s="3">
        <f>Kumar_2020!$D$2</f>
        <v>7.7265499999999996</v>
      </c>
      <c r="T6" s="3">
        <f>Kumar_2020!$B$28</f>
        <v>2.38119718536</v>
      </c>
      <c r="U6" s="3">
        <f>Kumar_2020!$B$27</f>
        <v>7.6226599999999998</v>
      </c>
      <c r="W6" s="3">
        <f>Kumar_2020!$B$31</f>
        <v>1923.15</v>
      </c>
      <c r="X6" s="3">
        <f>Hajidavalloo_2013!$B$2</f>
        <v>1873.15</v>
      </c>
      <c r="Z6" s="11">
        <f t="shared" si="3"/>
        <v>0.19174757281553398</v>
      </c>
      <c r="AA6" s="11">
        <f t="shared" si="4"/>
        <v>9.7744360902255634E-2</v>
      </c>
      <c r="AB6" s="11"/>
      <c r="AC6">
        <f t="shared" si="5"/>
        <v>0.84756779242388791</v>
      </c>
      <c r="AD6">
        <f t="shared" si="6"/>
        <v>0.84349891893334761</v>
      </c>
      <c r="AF6" s="12">
        <f t="shared" si="7"/>
        <v>0.16251906699390084</v>
      </c>
      <c r="AG6" s="12">
        <f t="shared" si="8"/>
        <v>8.2447262752883596E-2</v>
      </c>
      <c r="AJ6" s="11">
        <f>Freuhan_2000!$C$2/E6</f>
        <v>0.19174757281553398</v>
      </c>
      <c r="AK6" s="11">
        <f>Freuhan_2000!$D$2/Calcs_ChemEx!F6</f>
        <v>9.7744360902255634E-2</v>
      </c>
      <c r="AL6" s="11"/>
      <c r="AM6" s="14">
        <f t="shared" si="0"/>
        <v>0.97804430379746821</v>
      </c>
      <c r="AN6" s="14">
        <f t="shared" si="9"/>
        <v>5.9434999999999993</v>
      </c>
      <c r="AO6" s="14"/>
      <c r="AP6" s="11">
        <f t="shared" si="10"/>
        <v>0.18753762135922328</v>
      </c>
      <c r="AQ6" s="11">
        <f t="shared" si="11"/>
        <v>0.58094360902255626</v>
      </c>
      <c r="AR6" s="11"/>
      <c r="AT6" s="12">
        <f t="shared" si="12"/>
        <v>0.12621359223300971</v>
      </c>
      <c r="AU6" s="12">
        <f t="shared" si="13"/>
        <v>0.39097744360902253</v>
      </c>
      <c r="AV6" s="12"/>
      <c r="AW6">
        <f t="shared" si="14"/>
        <v>1.4858749999999998</v>
      </c>
      <c r="AX6">
        <f t="shared" si="2"/>
        <v>1.4858749999999998</v>
      </c>
      <c r="AZ6" s="12">
        <f t="shared" si="15"/>
        <v>0.18753762135922328</v>
      </c>
      <c r="BA6" s="12">
        <f t="shared" si="16"/>
        <v>0.58094360902255626</v>
      </c>
      <c r="BJ6" s="12">
        <f t="shared" si="17"/>
        <v>0.17729090752457663</v>
      </c>
      <c r="BK6" s="12">
        <f t="shared" si="18"/>
        <v>0.36929099837209989</v>
      </c>
    </row>
    <row r="7" spans="1:64">
      <c r="A7" s="3">
        <v>1963</v>
      </c>
      <c r="B7" s="4"/>
      <c r="C7" s="4"/>
      <c r="D7" s="4"/>
      <c r="E7" s="4">
        <f>E$4+((A7-A$4)*((E$9-E$4)/($A$9-$A$4)))</f>
        <v>40.799999999999997</v>
      </c>
      <c r="F7" s="4">
        <f>F$4+((A7-A$4)*((F$9-F$4)/(A$9-A$4)))</f>
        <v>13.2</v>
      </c>
      <c r="G7" s="4">
        <f>G$4+((E7-E$4)*((G$9-G$4)/(E$9-E$4)))</f>
        <v>64.8</v>
      </c>
      <c r="H7" s="3" t="s">
        <v>9</v>
      </c>
      <c r="J7" s="3">
        <f>Freuhan_2000!$C$2</f>
        <v>7.9</v>
      </c>
      <c r="K7" s="3">
        <f>Freuhan_2000!$D$2</f>
        <v>1.3</v>
      </c>
      <c r="L7" s="3">
        <f>Freuhan_2000!$E$2</f>
        <v>7.9</v>
      </c>
      <c r="N7" s="3">
        <f>ChemExergy!$B$5</f>
        <v>0.10909999999999999</v>
      </c>
      <c r="O7" s="3">
        <f>ChemExergy!$B$8</f>
        <v>0.21149999999999999</v>
      </c>
      <c r="P7" s="3">
        <f>Ayres_2006!$W$78</f>
        <v>6.9635999999999996</v>
      </c>
      <c r="Q7" s="3">
        <f>ChemEnergy!$A$2</f>
        <v>5.2</v>
      </c>
      <c r="R7" s="3">
        <f>Kumar_2020!$D$2</f>
        <v>7.7265499999999996</v>
      </c>
      <c r="T7" s="3">
        <f>Kumar_2020!$B$28</f>
        <v>2.38119718536</v>
      </c>
      <c r="U7" s="3">
        <f>Kumar_2020!$B$27</f>
        <v>7.6226599999999998</v>
      </c>
      <c r="W7" s="3">
        <f>Kumar_2020!$B$31</f>
        <v>1923.15</v>
      </c>
      <c r="X7" s="3">
        <f>Hajidavalloo_2013!$B$2</f>
        <v>1873.15</v>
      </c>
      <c r="Z7" s="11">
        <f t="shared" si="3"/>
        <v>0.19362745098039219</v>
      </c>
      <c r="AA7" s="11">
        <f t="shared" si="4"/>
        <v>9.8484848484848495E-2</v>
      </c>
      <c r="AB7" s="11"/>
      <c r="AC7">
        <f t="shared" si="5"/>
        <v>0.84756779242388791</v>
      </c>
      <c r="AD7">
        <f t="shared" si="6"/>
        <v>0.84349891893334761</v>
      </c>
      <c r="AF7" s="12">
        <f t="shared" si="7"/>
        <v>0.16411239118011559</v>
      </c>
      <c r="AG7" s="12">
        <f t="shared" si="8"/>
        <v>8.3071863228284248E-2</v>
      </c>
      <c r="AJ7" s="11">
        <f>Freuhan_2000!$C$2/E7</f>
        <v>0.19362745098039219</v>
      </c>
      <c r="AK7" s="11">
        <f>Freuhan_2000!$D$2/Calcs_ChemEx!F7</f>
        <v>9.8484848484848495E-2</v>
      </c>
      <c r="AL7" s="11"/>
      <c r="AM7" s="14">
        <f t="shared" si="0"/>
        <v>0.97804430379746821</v>
      </c>
      <c r="AN7" s="14">
        <f t="shared" si="9"/>
        <v>5.9434999999999993</v>
      </c>
      <c r="AO7" s="14"/>
      <c r="AP7" s="11">
        <f t="shared" si="10"/>
        <v>0.18937622549019609</v>
      </c>
      <c r="AQ7" s="11">
        <f t="shared" si="11"/>
        <v>0.58534469696969693</v>
      </c>
      <c r="AR7" s="11"/>
      <c r="AT7" s="12">
        <f t="shared" si="12"/>
        <v>0.12745098039215688</v>
      </c>
      <c r="AU7" s="12">
        <f t="shared" si="13"/>
        <v>0.39393939393939398</v>
      </c>
      <c r="AV7" s="12"/>
      <c r="AW7">
        <f t="shared" si="14"/>
        <v>1.4858749999999998</v>
      </c>
      <c r="AX7">
        <f t="shared" si="2"/>
        <v>1.4858749999999998</v>
      </c>
      <c r="AZ7" s="12">
        <f t="shared" si="15"/>
        <v>0.18937622549019609</v>
      </c>
      <c r="BA7" s="12">
        <f t="shared" si="16"/>
        <v>0.58534469696969693</v>
      </c>
      <c r="BJ7" s="12">
        <f t="shared" si="17"/>
        <v>0.17893320481210701</v>
      </c>
      <c r="BK7" s="12">
        <f t="shared" si="18"/>
        <v>0.37106450376656969</v>
      </c>
    </row>
    <row r="8" spans="1:64">
      <c r="A8" s="3">
        <v>1964</v>
      </c>
      <c r="B8" s="4"/>
      <c r="C8" s="4"/>
      <c r="D8" s="4"/>
      <c r="E8" s="4">
        <f>E$4+((A8-A$4)*((E$9-E$4)/($A$9-$A$4)))</f>
        <v>40.4</v>
      </c>
      <c r="F8" s="4">
        <f>F$4+((A8-A$4)*((F$9-F$4)/(A$9-A$4)))</f>
        <v>13.1</v>
      </c>
      <c r="G8" s="4">
        <f>G$4+((E8-E$4)*((G$9-G$4)/(E$9-E$4)))</f>
        <v>64.400000000000006</v>
      </c>
      <c r="H8" s="3" t="s">
        <v>9</v>
      </c>
      <c r="J8" s="3">
        <f>Freuhan_2000!$C$2</f>
        <v>7.9</v>
      </c>
      <c r="K8" s="3">
        <f>Freuhan_2000!$D$2</f>
        <v>1.3</v>
      </c>
      <c r="L8" s="3">
        <f>Freuhan_2000!$E$2</f>
        <v>7.9</v>
      </c>
      <c r="N8" s="3">
        <f>ChemExergy!$B$5</f>
        <v>0.10909999999999999</v>
      </c>
      <c r="O8" s="3">
        <f>ChemExergy!$B$8</f>
        <v>0.21149999999999999</v>
      </c>
      <c r="P8" s="3">
        <f>Ayres_2006!$W$78</f>
        <v>6.9635999999999996</v>
      </c>
      <c r="Q8" s="3">
        <f>ChemEnergy!$A$2</f>
        <v>5.2</v>
      </c>
      <c r="R8" s="3">
        <f>Kumar_2020!$D$2</f>
        <v>7.7265499999999996</v>
      </c>
      <c r="T8" s="3">
        <f>Kumar_2020!$B$28</f>
        <v>2.38119718536</v>
      </c>
      <c r="U8" s="3">
        <f>Kumar_2020!$B$27</f>
        <v>7.6226599999999998</v>
      </c>
      <c r="W8" s="3">
        <f>Kumar_2020!$B$31</f>
        <v>1923.15</v>
      </c>
      <c r="X8" s="3">
        <f>Hajidavalloo_2013!$B$2</f>
        <v>1873.15</v>
      </c>
      <c r="Z8" s="11">
        <f t="shared" si="3"/>
        <v>0.19554455445544555</v>
      </c>
      <c r="AA8" s="11">
        <f t="shared" si="4"/>
        <v>9.9236641221374058E-2</v>
      </c>
      <c r="AB8" s="11"/>
      <c r="AC8">
        <f t="shared" si="5"/>
        <v>0.84756779242388791</v>
      </c>
      <c r="AD8">
        <f t="shared" si="6"/>
        <v>0.84349891893334761</v>
      </c>
      <c r="AF8" s="12">
        <f t="shared" si="7"/>
        <v>0.16573726634031472</v>
      </c>
      <c r="AG8" s="12">
        <f t="shared" si="8"/>
        <v>8.3705999588805494E-2</v>
      </c>
      <c r="AJ8" s="11">
        <f>Freuhan_2000!$C$2/E8</f>
        <v>0.19554455445544555</v>
      </c>
      <c r="AK8" s="11">
        <f>Freuhan_2000!$D$2/Calcs_ChemEx!F8</f>
        <v>9.9236641221374058E-2</v>
      </c>
      <c r="AL8" s="11"/>
      <c r="AM8" s="14">
        <f t="shared" si="0"/>
        <v>0.97804430379746821</v>
      </c>
      <c r="AN8" s="14">
        <f t="shared" si="9"/>
        <v>5.9434999999999993</v>
      </c>
      <c r="AO8" s="14"/>
      <c r="AP8" s="11">
        <f t="shared" si="10"/>
        <v>0.19125123762376237</v>
      </c>
      <c r="AQ8" s="11">
        <f t="shared" si="11"/>
        <v>0.58981297709923663</v>
      </c>
      <c r="AR8" s="11"/>
      <c r="AT8" s="12">
        <f t="shared" si="12"/>
        <v>0.12871287128712872</v>
      </c>
      <c r="AU8" s="12">
        <f t="shared" si="13"/>
        <v>0.39694656488549623</v>
      </c>
      <c r="AV8" s="12"/>
      <c r="AW8">
        <f t="shared" si="14"/>
        <v>1.4858749999999998</v>
      </c>
      <c r="AX8">
        <f t="shared" si="2"/>
        <v>1.4858749999999998</v>
      </c>
      <c r="AZ8" s="12">
        <f t="shared" si="15"/>
        <v>0.19125123762376237</v>
      </c>
      <c r="BA8" s="12">
        <f t="shared" si="16"/>
        <v>0.58981297709923663</v>
      </c>
      <c r="BJ8" s="12">
        <f t="shared" si="17"/>
        <v>0.1806062127369375</v>
      </c>
      <c r="BK8" s="12">
        <f t="shared" si="18"/>
        <v>0.37285512574157953</v>
      </c>
    </row>
    <row r="9" spans="1:64">
      <c r="A9" s="3">
        <v>1965</v>
      </c>
      <c r="B9" s="4">
        <f>WorldSteel!E9</f>
        <v>40</v>
      </c>
      <c r="C9" s="4">
        <f>WorldSteel!F9</f>
        <v>13</v>
      </c>
      <c r="D9" s="4">
        <f>WorldSteel!G9</f>
        <v>64</v>
      </c>
      <c r="E9" s="4">
        <v>40</v>
      </c>
      <c r="F9" s="4">
        <v>13</v>
      </c>
      <c r="G9" s="4">
        <v>64</v>
      </c>
      <c r="H9" s="3" t="s">
        <v>8</v>
      </c>
      <c r="J9" s="3">
        <f>Freuhan_2000!$C$2</f>
        <v>7.9</v>
      </c>
      <c r="K9" s="3">
        <f>Freuhan_2000!$D$2</f>
        <v>1.3</v>
      </c>
      <c r="L9" s="3">
        <f>Freuhan_2000!$E$2</f>
        <v>7.9</v>
      </c>
      <c r="N9" s="3">
        <f>ChemExergy!$B$5</f>
        <v>0.10909999999999999</v>
      </c>
      <c r="O9" s="3">
        <f>ChemExergy!$B$8</f>
        <v>0.21149999999999999</v>
      </c>
      <c r="P9" s="3">
        <f>Ayres_2006!$W$78</f>
        <v>6.9635999999999996</v>
      </c>
      <c r="Q9" s="3">
        <f>ChemEnergy!$A$2</f>
        <v>5.2</v>
      </c>
      <c r="R9" s="3">
        <f>Kumar_2020!$D$2</f>
        <v>7.7265499999999996</v>
      </c>
      <c r="T9" s="3">
        <f>Kumar_2020!$B$28</f>
        <v>2.38119718536</v>
      </c>
      <c r="U9" s="3">
        <f>Kumar_2020!$B$27</f>
        <v>7.6226599999999998</v>
      </c>
      <c r="W9" s="3">
        <f>Kumar_2020!$B$31</f>
        <v>1923.15</v>
      </c>
      <c r="X9" s="3">
        <f>Hajidavalloo_2013!$B$2</f>
        <v>1873.15</v>
      </c>
      <c r="Z9" s="11">
        <f t="shared" si="3"/>
        <v>0.19750000000000001</v>
      </c>
      <c r="AA9" s="11">
        <f t="shared" si="4"/>
        <v>0.1</v>
      </c>
      <c r="AB9" s="11"/>
      <c r="AC9">
        <f t="shared" si="5"/>
        <v>0.84756779242388791</v>
      </c>
      <c r="AD9">
        <f t="shared" si="6"/>
        <v>0.84349891893334761</v>
      </c>
      <c r="AF9" s="12">
        <f t="shared" si="7"/>
        <v>0.16739463900371787</v>
      </c>
      <c r="AG9" s="12">
        <f t="shared" si="8"/>
        <v>8.4349891893334764E-2</v>
      </c>
      <c r="AJ9" s="11">
        <f>Freuhan_2000!$C$2/E9</f>
        <v>0.19750000000000001</v>
      </c>
      <c r="AK9" s="11">
        <f>Freuhan_2000!$D$2/Calcs_ChemEx!F9</f>
        <v>0.1</v>
      </c>
      <c r="AL9" s="11"/>
      <c r="AM9" s="14">
        <f t="shared" si="0"/>
        <v>0.97804430379746821</v>
      </c>
      <c r="AN9" s="14">
        <f t="shared" si="9"/>
        <v>5.9434999999999993</v>
      </c>
      <c r="AO9" s="14"/>
      <c r="AP9" s="11">
        <f t="shared" si="10"/>
        <v>0.19316374999999997</v>
      </c>
      <c r="AQ9" s="11">
        <f t="shared" si="11"/>
        <v>0.59434999999999993</v>
      </c>
      <c r="AR9" s="11"/>
      <c r="AT9" s="12">
        <f t="shared" si="12"/>
        <v>0.13</v>
      </c>
      <c r="AU9" s="12">
        <f t="shared" si="13"/>
        <v>0.4</v>
      </c>
      <c r="AV9" s="12"/>
      <c r="AW9">
        <f t="shared" si="14"/>
        <v>1.4858749999999998</v>
      </c>
      <c r="AX9">
        <f t="shared" si="2"/>
        <v>1.4858749999999998</v>
      </c>
      <c r="AZ9" s="12">
        <f t="shared" si="15"/>
        <v>0.19316375</v>
      </c>
      <c r="BA9" s="12">
        <f t="shared" si="16"/>
        <v>0.59434999999999993</v>
      </c>
      <c r="BJ9" s="12">
        <f t="shared" si="17"/>
        <v>0.18231080085366322</v>
      </c>
      <c r="BK9" s="12">
        <f t="shared" si="18"/>
        <v>0.3746631132938234</v>
      </c>
    </row>
    <row r="10" spans="1:64">
      <c r="A10" s="3">
        <v>1966</v>
      </c>
      <c r="B10" s="4"/>
      <c r="C10" s="4"/>
      <c r="D10" s="4"/>
      <c r="E10" s="4">
        <v>39.6</v>
      </c>
      <c r="F10" s="4">
        <v>13</v>
      </c>
      <c r="G10" s="4">
        <v>63.6</v>
      </c>
      <c r="H10" s="3" t="s">
        <v>9</v>
      </c>
      <c r="J10" s="3">
        <f>Freuhan_2000!$C$2</f>
        <v>7.9</v>
      </c>
      <c r="K10" s="3">
        <f>Freuhan_2000!$D$2</f>
        <v>1.3</v>
      </c>
      <c r="L10" s="3">
        <f>Freuhan_2000!$E$2</f>
        <v>7.9</v>
      </c>
      <c r="N10" s="3">
        <f>ChemExergy!$B$5</f>
        <v>0.10909999999999999</v>
      </c>
      <c r="O10" s="3">
        <f>ChemExergy!$B$8</f>
        <v>0.21149999999999999</v>
      </c>
      <c r="P10" s="3">
        <f>Ayres_2006!$W$78</f>
        <v>6.9635999999999996</v>
      </c>
      <c r="Q10" s="3">
        <f>ChemEnergy!$A$2</f>
        <v>5.2</v>
      </c>
      <c r="R10" s="3">
        <f>Kumar_2020!$D$2</f>
        <v>7.7265499999999996</v>
      </c>
      <c r="T10" s="3">
        <f>Kumar_2020!$B$28</f>
        <v>2.38119718536</v>
      </c>
      <c r="U10" s="3">
        <f>Kumar_2020!$B$27</f>
        <v>7.6226599999999998</v>
      </c>
      <c r="W10" s="3">
        <f>Kumar_2020!$B$31</f>
        <v>1923.15</v>
      </c>
      <c r="X10" s="3">
        <f>Hajidavalloo_2013!$B$2</f>
        <v>1873.15</v>
      </c>
      <c r="Z10" s="11">
        <f t="shared" si="3"/>
        <v>0.1994949494949495</v>
      </c>
      <c r="AA10" s="11">
        <f t="shared" si="4"/>
        <v>0.1</v>
      </c>
      <c r="AB10" s="11"/>
      <c r="AC10">
        <f t="shared" si="5"/>
        <v>0.84756779242388791</v>
      </c>
      <c r="AD10">
        <f t="shared" si="6"/>
        <v>0.84349891893334761</v>
      </c>
      <c r="AF10" s="12">
        <f t="shared" si="7"/>
        <v>0.16908549394314937</v>
      </c>
      <c r="AG10" s="12">
        <f t="shared" si="8"/>
        <v>8.4349891893334764E-2</v>
      </c>
      <c r="AJ10" s="11">
        <f>Freuhan_2000!$C$2/E10</f>
        <v>0.1994949494949495</v>
      </c>
      <c r="AK10" s="11">
        <f>Freuhan_2000!$D$2/Calcs_ChemEx!F10</f>
        <v>0.1</v>
      </c>
      <c r="AL10" s="11"/>
      <c r="AM10" s="14">
        <f t="shared" si="0"/>
        <v>0.97804430379746821</v>
      </c>
      <c r="AN10" s="14">
        <f t="shared" si="9"/>
        <v>5.9434999999999993</v>
      </c>
      <c r="AO10" s="14"/>
      <c r="AP10" s="11">
        <f t="shared" si="10"/>
        <v>0.19511489898989898</v>
      </c>
      <c r="AQ10" s="11">
        <f t="shared" si="11"/>
        <v>0.59434999999999993</v>
      </c>
      <c r="AR10" s="11"/>
      <c r="AT10" s="12">
        <f t="shared" si="12"/>
        <v>0.13131313131313133</v>
      </c>
      <c r="AU10" s="12">
        <f t="shared" si="13"/>
        <v>0.4</v>
      </c>
      <c r="AV10" s="12"/>
      <c r="AW10">
        <f t="shared" si="14"/>
        <v>1.4858749999999998</v>
      </c>
      <c r="AX10">
        <f t="shared" si="2"/>
        <v>1.4858749999999998</v>
      </c>
      <c r="AZ10" s="12">
        <f t="shared" si="15"/>
        <v>0.19511489898989898</v>
      </c>
      <c r="BA10" s="12">
        <f t="shared" si="16"/>
        <v>0.59434999999999993</v>
      </c>
      <c r="BJ10" s="12">
        <f t="shared" si="17"/>
        <v>0.18404787185760532</v>
      </c>
      <c r="BK10" s="12">
        <f t="shared" si="18"/>
        <v>0.3746631132938234</v>
      </c>
    </row>
    <row r="11" spans="1:64">
      <c r="A11" s="3">
        <v>1967</v>
      </c>
      <c r="B11" s="4"/>
      <c r="C11" s="4"/>
      <c r="D11" s="4"/>
      <c r="E11" s="4">
        <v>39.200000000000003</v>
      </c>
      <c r="F11" s="4">
        <v>13</v>
      </c>
      <c r="G11" s="4">
        <v>63.2</v>
      </c>
      <c r="H11" s="3" t="s">
        <v>9</v>
      </c>
      <c r="J11" s="3">
        <f>Freuhan_2000!$C$2</f>
        <v>7.9</v>
      </c>
      <c r="K11" s="3">
        <f>Freuhan_2000!$D$2</f>
        <v>1.3</v>
      </c>
      <c r="L11" s="3">
        <f>Freuhan_2000!$E$2</f>
        <v>7.9</v>
      </c>
      <c r="N11" s="3">
        <f>ChemExergy!$B$5</f>
        <v>0.10909999999999999</v>
      </c>
      <c r="O11" s="3">
        <f>ChemExergy!$B$8</f>
        <v>0.21149999999999999</v>
      </c>
      <c r="P11" s="3">
        <f>Ayres_2006!$W$78</f>
        <v>6.9635999999999996</v>
      </c>
      <c r="Q11" s="3">
        <f>ChemEnergy!$A$2</f>
        <v>5.2</v>
      </c>
      <c r="R11" s="3">
        <f>Kumar_2020!$D$2</f>
        <v>7.7265499999999996</v>
      </c>
      <c r="T11" s="3">
        <f>Kumar_2020!$B$28</f>
        <v>2.38119718536</v>
      </c>
      <c r="U11" s="3">
        <f>Kumar_2020!$B$27</f>
        <v>7.6226599999999998</v>
      </c>
      <c r="W11" s="3">
        <f>Kumar_2020!$B$31</f>
        <v>1923.15</v>
      </c>
      <c r="X11" s="3">
        <f>Hajidavalloo_2013!$B$2</f>
        <v>1873.15</v>
      </c>
      <c r="Z11" s="11">
        <f t="shared" si="3"/>
        <v>0.20153061224489796</v>
      </c>
      <c r="AA11" s="11">
        <f t="shared" si="4"/>
        <v>0.1</v>
      </c>
      <c r="AB11" s="11"/>
      <c r="AC11">
        <f t="shared" si="5"/>
        <v>0.84756779242388791</v>
      </c>
      <c r="AD11">
        <f t="shared" si="6"/>
        <v>0.84349891893334761</v>
      </c>
      <c r="AF11" s="12">
        <f t="shared" si="7"/>
        <v>0.17081085612624272</v>
      </c>
      <c r="AG11" s="12">
        <f t="shared" si="8"/>
        <v>8.4349891893334764E-2</v>
      </c>
      <c r="AJ11" s="11">
        <f>Freuhan_2000!$C$2/E11</f>
        <v>0.20153061224489796</v>
      </c>
      <c r="AK11" s="11">
        <f>Freuhan_2000!$D$2/Calcs_ChemEx!F11</f>
        <v>0.1</v>
      </c>
      <c r="AL11" s="11"/>
      <c r="AM11" s="14">
        <f t="shared" si="0"/>
        <v>0.97804430379746821</v>
      </c>
      <c r="AN11" s="14">
        <f t="shared" si="9"/>
        <v>5.9434999999999993</v>
      </c>
      <c r="AO11" s="14"/>
      <c r="AP11" s="11">
        <f t="shared" si="10"/>
        <v>0.19710586734693875</v>
      </c>
      <c r="AQ11" s="11">
        <f t="shared" si="11"/>
        <v>0.59434999999999993</v>
      </c>
      <c r="AR11" s="11"/>
      <c r="AT11" s="12">
        <f t="shared" si="12"/>
        <v>0.1326530612244898</v>
      </c>
      <c r="AU11" s="12">
        <f t="shared" si="13"/>
        <v>0.4</v>
      </c>
      <c r="AV11" s="12"/>
      <c r="AW11">
        <f t="shared" si="14"/>
        <v>1.4858749999999998</v>
      </c>
      <c r="AX11">
        <f t="shared" si="2"/>
        <v>1.4858749999999998</v>
      </c>
      <c r="AZ11" s="12">
        <f t="shared" si="15"/>
        <v>0.19710586734693877</v>
      </c>
      <c r="BA11" s="12">
        <f t="shared" si="16"/>
        <v>0.59434999999999993</v>
      </c>
      <c r="BJ11" s="12">
        <f t="shared" si="17"/>
        <v>0.18581836317883554</v>
      </c>
      <c r="BK11" s="12">
        <f t="shared" si="18"/>
        <v>0.3746631132938234</v>
      </c>
    </row>
    <row r="12" spans="1:64">
      <c r="A12" s="3">
        <v>1968</v>
      </c>
      <c r="B12" s="4"/>
      <c r="C12" s="4"/>
      <c r="D12" s="4"/>
      <c r="E12" s="4">
        <v>38.799999999999997</v>
      </c>
      <c r="F12" s="4">
        <v>13</v>
      </c>
      <c r="G12" s="4">
        <v>62.8</v>
      </c>
      <c r="H12" s="3" t="s">
        <v>9</v>
      </c>
      <c r="J12" s="3">
        <f>Freuhan_2000!$C$2</f>
        <v>7.9</v>
      </c>
      <c r="K12" s="3">
        <f>Freuhan_2000!$D$2</f>
        <v>1.3</v>
      </c>
      <c r="L12" s="3">
        <f>Freuhan_2000!$E$2</f>
        <v>7.9</v>
      </c>
      <c r="N12" s="3">
        <f>ChemExergy!$B$5</f>
        <v>0.10909999999999999</v>
      </c>
      <c r="O12" s="3">
        <f>ChemExergy!$B$8</f>
        <v>0.21149999999999999</v>
      </c>
      <c r="P12" s="3">
        <f>Ayres_2006!$W$78</f>
        <v>6.9635999999999996</v>
      </c>
      <c r="Q12" s="3">
        <f>ChemEnergy!$A$2</f>
        <v>5.2</v>
      </c>
      <c r="R12" s="3">
        <f>Kumar_2020!$D$2</f>
        <v>7.7265499999999996</v>
      </c>
      <c r="T12" s="3">
        <f>Kumar_2020!$B$28</f>
        <v>2.38119718536</v>
      </c>
      <c r="U12" s="3">
        <f>Kumar_2020!$B$27</f>
        <v>7.6226599999999998</v>
      </c>
      <c r="W12" s="3">
        <f>Kumar_2020!$B$31</f>
        <v>1923.15</v>
      </c>
      <c r="X12" s="3">
        <f>Hajidavalloo_2013!$B$2</f>
        <v>1873.15</v>
      </c>
      <c r="Z12" s="11">
        <f t="shared" si="3"/>
        <v>0.20360824742268044</v>
      </c>
      <c r="AA12" s="11">
        <f t="shared" si="4"/>
        <v>0.1</v>
      </c>
      <c r="AB12" s="11"/>
      <c r="AC12">
        <f t="shared" si="5"/>
        <v>0.84756779242388791</v>
      </c>
      <c r="AD12">
        <f t="shared" si="6"/>
        <v>0.84349891893334761</v>
      </c>
      <c r="AF12" s="12">
        <f t="shared" si="7"/>
        <v>0.17257179278733803</v>
      </c>
      <c r="AG12" s="12">
        <f t="shared" si="8"/>
        <v>8.4349891893334764E-2</v>
      </c>
      <c r="AJ12" s="11">
        <f>Freuhan_2000!$C$2/E12</f>
        <v>0.20360824742268044</v>
      </c>
      <c r="AK12" s="11">
        <f>Freuhan_2000!$D$2/Calcs_ChemEx!F12</f>
        <v>0.1</v>
      </c>
      <c r="AL12" s="11"/>
      <c r="AM12" s="14">
        <f t="shared" si="0"/>
        <v>0.97804430379746821</v>
      </c>
      <c r="AN12" s="14">
        <f t="shared" si="9"/>
        <v>5.9434999999999993</v>
      </c>
      <c r="AO12" s="14"/>
      <c r="AP12" s="11">
        <f t="shared" si="10"/>
        <v>0.19913788659793813</v>
      </c>
      <c r="AQ12" s="11">
        <f t="shared" si="11"/>
        <v>0.59434999999999993</v>
      </c>
      <c r="AR12" s="11"/>
      <c r="AT12" s="12">
        <f t="shared" si="12"/>
        <v>0.13402061855670105</v>
      </c>
      <c r="AU12" s="12">
        <f t="shared" si="13"/>
        <v>0.4</v>
      </c>
      <c r="AV12" s="12"/>
      <c r="AW12">
        <f t="shared" si="14"/>
        <v>1.4858749999999998</v>
      </c>
      <c r="AX12">
        <f t="shared" si="2"/>
        <v>1.4858749999999998</v>
      </c>
      <c r="AZ12" s="12">
        <f t="shared" si="15"/>
        <v>0.19913788659793816</v>
      </c>
      <c r="BA12" s="12">
        <f t="shared" si="16"/>
        <v>0.59434999999999993</v>
      </c>
      <c r="BJ12" s="12">
        <f t="shared" si="17"/>
        <v>0.18762324866909902</v>
      </c>
      <c r="BK12" s="12">
        <f t="shared" si="18"/>
        <v>0.3746631132938234</v>
      </c>
    </row>
    <row r="13" spans="1:64">
      <c r="A13" s="3">
        <v>1969</v>
      </c>
      <c r="B13" s="4"/>
      <c r="C13" s="4"/>
      <c r="D13" s="4"/>
      <c r="E13" s="4">
        <v>38.4</v>
      </c>
      <c r="F13" s="4">
        <v>13</v>
      </c>
      <c r="G13" s="4">
        <v>62.4</v>
      </c>
      <c r="H13" s="3" t="s">
        <v>9</v>
      </c>
      <c r="J13" s="3">
        <f>Freuhan_2000!$C$2</f>
        <v>7.9</v>
      </c>
      <c r="K13" s="3">
        <f>Freuhan_2000!$D$2</f>
        <v>1.3</v>
      </c>
      <c r="L13" s="3">
        <f>Freuhan_2000!$E$2</f>
        <v>7.9</v>
      </c>
      <c r="N13" s="3">
        <f>ChemExergy!$B$5</f>
        <v>0.10909999999999999</v>
      </c>
      <c r="O13" s="3">
        <f>ChemExergy!$B$8</f>
        <v>0.21149999999999999</v>
      </c>
      <c r="P13" s="3">
        <f>Ayres_2006!$W$78</f>
        <v>6.9635999999999996</v>
      </c>
      <c r="Q13" s="3">
        <f>ChemEnergy!$A$2</f>
        <v>5.2</v>
      </c>
      <c r="R13" s="3">
        <f>Kumar_2020!$D$2</f>
        <v>7.7265499999999996</v>
      </c>
      <c r="T13" s="3">
        <f>Kumar_2020!$B$28</f>
        <v>2.38119718536</v>
      </c>
      <c r="U13" s="3">
        <f>Kumar_2020!$B$27</f>
        <v>7.6226599999999998</v>
      </c>
      <c r="W13" s="3">
        <f>Kumar_2020!$B$31</f>
        <v>1923.15</v>
      </c>
      <c r="X13" s="3">
        <f>Hajidavalloo_2013!$B$2</f>
        <v>1873.15</v>
      </c>
      <c r="Z13" s="11">
        <f t="shared" si="3"/>
        <v>0.20572916666666669</v>
      </c>
      <c r="AA13" s="11">
        <f t="shared" si="4"/>
        <v>0.1</v>
      </c>
      <c r="AB13" s="11"/>
      <c r="AC13">
        <f t="shared" si="5"/>
        <v>0.84756779242388791</v>
      </c>
      <c r="AD13">
        <f t="shared" si="6"/>
        <v>0.84349891893334761</v>
      </c>
      <c r="AF13" s="12">
        <f t="shared" si="7"/>
        <v>0.17436941562887279</v>
      </c>
      <c r="AG13" s="12">
        <f t="shared" si="8"/>
        <v>8.4349891893334764E-2</v>
      </c>
      <c r="AJ13" s="11">
        <f>Freuhan_2000!$C$2/E13</f>
        <v>0.20572916666666669</v>
      </c>
      <c r="AK13" s="11">
        <f>Freuhan_2000!$D$2/Calcs_ChemEx!F13</f>
        <v>0.1</v>
      </c>
      <c r="AL13" s="11"/>
      <c r="AM13" s="14">
        <f t="shared" si="0"/>
        <v>0.97804430379746821</v>
      </c>
      <c r="AN13" s="14">
        <f t="shared" si="9"/>
        <v>5.9434999999999993</v>
      </c>
      <c r="AO13" s="14"/>
      <c r="AP13" s="11">
        <f t="shared" si="10"/>
        <v>0.20121223958333331</v>
      </c>
      <c r="AQ13" s="11">
        <f t="shared" si="11"/>
        <v>0.59434999999999993</v>
      </c>
      <c r="AR13" s="11"/>
      <c r="AT13" s="12">
        <f t="shared" si="12"/>
        <v>0.13541666666666669</v>
      </c>
      <c r="AU13" s="12">
        <f t="shared" si="13"/>
        <v>0.4</v>
      </c>
      <c r="AV13" s="12"/>
      <c r="AW13">
        <f t="shared" si="14"/>
        <v>1.4858749999999998</v>
      </c>
      <c r="AX13">
        <f t="shared" si="2"/>
        <v>1.4858749999999998</v>
      </c>
      <c r="AZ13" s="12">
        <f t="shared" si="15"/>
        <v>0.20121223958333334</v>
      </c>
      <c r="BA13" s="12">
        <f t="shared" si="16"/>
        <v>0.59434999999999993</v>
      </c>
      <c r="BJ13" s="12">
        <f t="shared" si="17"/>
        <v>0.18946354038801358</v>
      </c>
      <c r="BK13" s="12">
        <f t="shared" si="18"/>
        <v>0.3746631132938234</v>
      </c>
    </row>
    <row r="14" spans="1:64">
      <c r="A14" s="3">
        <v>1970</v>
      </c>
      <c r="B14" s="4">
        <f>WorldSteel!E10</f>
        <v>38</v>
      </c>
      <c r="C14" s="4">
        <f>WorldSteel!F10</f>
        <v>13</v>
      </c>
      <c r="D14" s="4">
        <f>WorldSteel!G10</f>
        <v>62</v>
      </c>
      <c r="E14" s="4">
        <v>38</v>
      </c>
      <c r="F14" s="4">
        <v>13</v>
      </c>
      <c r="G14" s="4">
        <v>62</v>
      </c>
      <c r="H14" s="3" t="s">
        <v>8</v>
      </c>
      <c r="J14" s="3">
        <f>Freuhan_2000!$C$2</f>
        <v>7.9</v>
      </c>
      <c r="K14" s="3">
        <f>Freuhan_2000!$D$2</f>
        <v>1.3</v>
      </c>
      <c r="L14" s="3">
        <f>Freuhan_2000!$E$2</f>
        <v>7.9</v>
      </c>
      <c r="N14" s="3">
        <f>ChemExergy!$B$5</f>
        <v>0.10909999999999999</v>
      </c>
      <c r="O14" s="3">
        <f>ChemExergy!$B$8</f>
        <v>0.21149999999999999</v>
      </c>
      <c r="P14" s="3">
        <f>Ayres_2006!$W$78</f>
        <v>6.9635999999999996</v>
      </c>
      <c r="Q14" s="3">
        <f>ChemEnergy!$A$2</f>
        <v>5.2</v>
      </c>
      <c r="R14" s="3">
        <f>Kumar_2020!$D$2</f>
        <v>7.7265499999999996</v>
      </c>
      <c r="T14" s="3">
        <f>Kumar_2020!$B$28</f>
        <v>2.38119718536</v>
      </c>
      <c r="U14" s="3">
        <f>Kumar_2020!$B$27</f>
        <v>7.6226599999999998</v>
      </c>
      <c r="W14" s="3">
        <f>Kumar_2020!$B$31</f>
        <v>1923.15</v>
      </c>
      <c r="X14" s="3">
        <f>Hajidavalloo_2013!$B$2</f>
        <v>1873.15</v>
      </c>
      <c r="Z14" s="11">
        <f t="shared" si="3"/>
        <v>0.20789473684210527</v>
      </c>
      <c r="AA14" s="11">
        <f t="shared" si="4"/>
        <v>0.1</v>
      </c>
      <c r="AB14" s="11"/>
      <c r="AC14">
        <f t="shared" si="5"/>
        <v>0.84756779242388791</v>
      </c>
      <c r="AD14">
        <f t="shared" si="6"/>
        <v>0.84349891893334761</v>
      </c>
      <c r="AF14" s="12">
        <f t="shared" si="7"/>
        <v>0.1762048831618083</v>
      </c>
      <c r="AG14" s="12">
        <f t="shared" si="8"/>
        <v>8.4349891893334764E-2</v>
      </c>
      <c r="AJ14" s="11">
        <f>Freuhan_2000!$C$2/E14</f>
        <v>0.20789473684210527</v>
      </c>
      <c r="AK14" s="11">
        <f>Freuhan_2000!$D$2/Calcs_ChemEx!F14</f>
        <v>0.1</v>
      </c>
      <c r="AL14" s="11"/>
      <c r="AM14" s="14">
        <f t="shared" si="0"/>
        <v>0.97804430379746821</v>
      </c>
      <c r="AN14" s="14">
        <f t="shared" si="9"/>
        <v>5.9434999999999993</v>
      </c>
      <c r="AO14" s="14"/>
      <c r="AP14" s="11">
        <f t="shared" si="10"/>
        <v>0.20333026315789471</v>
      </c>
      <c r="AQ14" s="11">
        <f t="shared" si="11"/>
        <v>0.59434999999999993</v>
      </c>
      <c r="AR14" s="11"/>
      <c r="AT14" s="12">
        <f t="shared" si="12"/>
        <v>0.1368421052631579</v>
      </c>
      <c r="AU14" s="12">
        <f t="shared" si="13"/>
        <v>0.4</v>
      </c>
      <c r="AV14" s="12"/>
      <c r="AW14">
        <f t="shared" si="14"/>
        <v>1.4858749999999998</v>
      </c>
      <c r="AX14">
        <f t="shared" si="2"/>
        <v>1.4858749999999998</v>
      </c>
      <c r="AZ14" s="12">
        <f t="shared" si="15"/>
        <v>0.20333026315789474</v>
      </c>
      <c r="BA14" s="12">
        <f t="shared" si="16"/>
        <v>0.59434999999999993</v>
      </c>
      <c r="BJ14" s="12">
        <f t="shared" si="17"/>
        <v>0.19134029049542942</v>
      </c>
      <c r="BK14" s="12">
        <f t="shared" si="18"/>
        <v>0.3746631132938234</v>
      </c>
    </row>
    <row r="15" spans="1:64">
      <c r="A15" s="3">
        <v>1971</v>
      </c>
      <c r="B15" s="4"/>
      <c r="C15" s="4"/>
      <c r="D15" s="4"/>
      <c r="E15" s="4">
        <v>37.6</v>
      </c>
      <c r="F15" s="4">
        <v>12.9</v>
      </c>
      <c r="G15" s="4">
        <v>61.6</v>
      </c>
      <c r="H15" s="3" t="s">
        <v>9</v>
      </c>
      <c r="J15" s="3">
        <f>Freuhan_2000!$C$2</f>
        <v>7.9</v>
      </c>
      <c r="K15" s="3">
        <f>Freuhan_2000!$D$2</f>
        <v>1.3</v>
      </c>
      <c r="L15" s="3">
        <f>Freuhan_2000!$E$2</f>
        <v>7.9</v>
      </c>
      <c r="N15" s="3">
        <f>ChemExergy!$B$5</f>
        <v>0.10909999999999999</v>
      </c>
      <c r="O15" s="3">
        <f>ChemExergy!$B$8</f>
        <v>0.21149999999999999</v>
      </c>
      <c r="P15" s="3">
        <f>Ayres_2006!$W$78</f>
        <v>6.9635999999999996</v>
      </c>
      <c r="Q15" s="3">
        <f>ChemEnergy!$A$2</f>
        <v>5.2</v>
      </c>
      <c r="R15" s="3">
        <f>Kumar_2020!$D$2</f>
        <v>7.7265499999999996</v>
      </c>
      <c r="T15" s="3">
        <f>Kumar_2020!$B$28</f>
        <v>2.38119718536</v>
      </c>
      <c r="U15" s="3">
        <f>Kumar_2020!$B$27</f>
        <v>7.6226599999999998</v>
      </c>
      <c r="W15" s="3">
        <f>Kumar_2020!$B$31</f>
        <v>1923.15</v>
      </c>
      <c r="X15" s="3">
        <f>Hajidavalloo_2013!$B$2</f>
        <v>1873.15</v>
      </c>
      <c r="Z15" s="11">
        <f t="shared" si="3"/>
        <v>0.21010638297872342</v>
      </c>
      <c r="AA15" s="11">
        <f t="shared" si="4"/>
        <v>0.10077519379844961</v>
      </c>
      <c r="AB15" s="11"/>
      <c r="AC15">
        <f t="shared" si="5"/>
        <v>0.84756779242388791</v>
      </c>
      <c r="AD15">
        <f t="shared" si="6"/>
        <v>0.84349891893334761</v>
      </c>
      <c r="AF15" s="12">
        <f t="shared" si="7"/>
        <v>0.17807940319544455</v>
      </c>
      <c r="AG15" s="12">
        <f t="shared" si="8"/>
        <v>8.5003767024290841E-2</v>
      </c>
      <c r="AJ15" s="11">
        <f>Freuhan_2000!$C$2/E15</f>
        <v>0.21010638297872342</v>
      </c>
      <c r="AK15" s="11">
        <f>Freuhan_2000!$D$2/Calcs_ChemEx!F15</f>
        <v>0.10077519379844961</v>
      </c>
      <c r="AL15" s="11"/>
      <c r="AM15" s="14">
        <f t="shared" si="0"/>
        <v>0.97804430379746821</v>
      </c>
      <c r="AN15" s="14">
        <f t="shared" si="9"/>
        <v>5.9434999999999993</v>
      </c>
      <c r="AO15" s="14"/>
      <c r="AP15" s="11">
        <f t="shared" si="10"/>
        <v>0.20549335106382977</v>
      </c>
      <c r="AQ15" s="11">
        <f t="shared" si="11"/>
        <v>0.59895736434108515</v>
      </c>
      <c r="AR15" s="11"/>
      <c r="AT15" s="12">
        <f t="shared" si="12"/>
        <v>0.13829787234042554</v>
      </c>
      <c r="AU15" s="12">
        <f t="shared" si="13"/>
        <v>0.40310077519379844</v>
      </c>
      <c r="AV15" s="12"/>
      <c r="AW15">
        <f t="shared" si="14"/>
        <v>1.4858749999999998</v>
      </c>
      <c r="AX15">
        <f t="shared" si="2"/>
        <v>1.4858749999999998</v>
      </c>
      <c r="AZ15" s="12">
        <f t="shared" si="15"/>
        <v>0.20549335106382977</v>
      </c>
      <c r="BA15" s="12">
        <f t="shared" si="16"/>
        <v>0.59895736434108515</v>
      </c>
      <c r="BJ15" s="12">
        <f t="shared" si="17"/>
        <v>0.19325459325738364</v>
      </c>
      <c r="BK15" s="12">
        <f t="shared" si="18"/>
        <v>0.37648872027310293</v>
      </c>
    </row>
    <row r="16" spans="1:64">
      <c r="A16" s="3">
        <v>1972</v>
      </c>
      <c r="B16" s="4"/>
      <c r="C16" s="4"/>
      <c r="D16" s="4"/>
      <c r="E16" s="4">
        <v>37.200000000000003</v>
      </c>
      <c r="F16" s="4">
        <v>12.8</v>
      </c>
      <c r="G16" s="4">
        <v>61.2</v>
      </c>
      <c r="H16" s="3" t="s">
        <v>9</v>
      </c>
      <c r="J16" s="3">
        <f>Freuhan_2000!$C$2</f>
        <v>7.9</v>
      </c>
      <c r="K16" s="3">
        <f>Freuhan_2000!$D$2</f>
        <v>1.3</v>
      </c>
      <c r="L16" s="3">
        <f>Freuhan_2000!$E$2</f>
        <v>7.9</v>
      </c>
      <c r="N16" s="3">
        <f>ChemExergy!$B$5</f>
        <v>0.10909999999999999</v>
      </c>
      <c r="O16" s="3">
        <f>ChemExergy!$B$8</f>
        <v>0.21149999999999999</v>
      </c>
      <c r="P16" s="3">
        <f>Ayres_2006!$W$78</f>
        <v>6.9635999999999996</v>
      </c>
      <c r="Q16" s="3">
        <f>ChemEnergy!$A$2</f>
        <v>5.2</v>
      </c>
      <c r="R16" s="3">
        <f>Kumar_2020!$D$2</f>
        <v>7.7265499999999996</v>
      </c>
      <c r="T16" s="3">
        <f>Kumar_2020!$B$28</f>
        <v>2.38119718536</v>
      </c>
      <c r="U16" s="3">
        <f>Kumar_2020!$B$27</f>
        <v>7.6226599999999998</v>
      </c>
      <c r="W16" s="3">
        <f>Kumar_2020!$B$31</f>
        <v>1923.15</v>
      </c>
      <c r="X16" s="3">
        <f>Hajidavalloo_2013!$B$2</f>
        <v>1873.15</v>
      </c>
      <c r="Z16" s="11">
        <f t="shared" si="3"/>
        <v>0.21236559139784947</v>
      </c>
      <c r="AA16" s="11">
        <f t="shared" si="4"/>
        <v>0.1015625</v>
      </c>
      <c r="AB16" s="11"/>
      <c r="AC16">
        <f t="shared" si="5"/>
        <v>0.84756779242388791</v>
      </c>
      <c r="AD16">
        <f t="shared" si="6"/>
        <v>0.84349891893334761</v>
      </c>
      <c r="AF16" s="12">
        <f t="shared" si="7"/>
        <v>0.17999423548786866</v>
      </c>
      <c r="AG16" s="12">
        <f t="shared" si="8"/>
        <v>8.5667858954168119E-2</v>
      </c>
      <c r="AJ16" s="11">
        <f>Freuhan_2000!$C$2/E16</f>
        <v>0.21236559139784947</v>
      </c>
      <c r="AK16" s="11">
        <f>Freuhan_2000!$D$2/Calcs_ChemEx!F16</f>
        <v>0.1015625</v>
      </c>
      <c r="AL16" s="11"/>
      <c r="AM16" s="14">
        <f t="shared" si="0"/>
        <v>0.97804430379746821</v>
      </c>
      <c r="AN16" s="14">
        <f t="shared" si="9"/>
        <v>5.9434999999999993</v>
      </c>
      <c r="AO16" s="14"/>
      <c r="AP16" s="11">
        <f t="shared" si="10"/>
        <v>0.20770295698924729</v>
      </c>
      <c r="AQ16" s="11">
        <f t="shared" si="11"/>
        <v>0.60363671874999991</v>
      </c>
      <c r="AR16" s="11"/>
      <c r="AT16" s="12">
        <f t="shared" si="12"/>
        <v>0.13978494623655913</v>
      </c>
      <c r="AU16" s="12">
        <f t="shared" si="13"/>
        <v>0.40625</v>
      </c>
      <c r="AV16" s="12"/>
      <c r="AW16">
        <f t="shared" si="14"/>
        <v>1.4858749999999998</v>
      </c>
      <c r="AX16">
        <f t="shared" si="2"/>
        <v>1.4858749999999998</v>
      </c>
      <c r="AZ16" s="12">
        <f t="shared" si="15"/>
        <v>0.20770295698924726</v>
      </c>
      <c r="BA16" s="12">
        <f t="shared" si="16"/>
        <v>0.60363671874999991</v>
      </c>
      <c r="BJ16" s="12">
        <f t="shared" si="17"/>
        <v>0.19520758717368553</v>
      </c>
      <c r="BK16" s="12">
        <f t="shared" si="18"/>
        <v>0.37833220550114427</v>
      </c>
    </row>
    <row r="17" spans="1:63">
      <c r="A17" s="3">
        <v>1973</v>
      </c>
      <c r="B17" s="4"/>
      <c r="C17" s="4"/>
      <c r="D17" s="4"/>
      <c r="E17" s="4">
        <v>36.799999999999997</v>
      </c>
      <c r="F17" s="4">
        <v>12.7</v>
      </c>
      <c r="G17" s="4">
        <v>60.8</v>
      </c>
      <c r="H17" s="3" t="s">
        <v>9</v>
      </c>
      <c r="J17" s="3">
        <f>Freuhan_2000!$C$2</f>
        <v>7.9</v>
      </c>
      <c r="K17" s="3">
        <f>Freuhan_2000!$D$2</f>
        <v>1.3</v>
      </c>
      <c r="L17" s="3">
        <f>Freuhan_2000!$E$2</f>
        <v>7.9</v>
      </c>
      <c r="N17" s="3">
        <f>ChemExergy!$B$5</f>
        <v>0.10909999999999999</v>
      </c>
      <c r="O17" s="3">
        <f>ChemExergy!$B$8</f>
        <v>0.21149999999999999</v>
      </c>
      <c r="P17" s="3">
        <f>Ayres_2006!$W$78</f>
        <v>6.9635999999999996</v>
      </c>
      <c r="Q17" s="3">
        <f>ChemEnergy!$A$2</f>
        <v>5.2</v>
      </c>
      <c r="R17" s="3">
        <f>Kumar_2020!$D$2</f>
        <v>7.7265499999999996</v>
      </c>
      <c r="T17" s="3">
        <f>Kumar_2020!$B$28</f>
        <v>2.38119718536</v>
      </c>
      <c r="U17" s="3">
        <f>Kumar_2020!$B$27</f>
        <v>7.6226599999999998</v>
      </c>
      <c r="W17" s="3">
        <f>Kumar_2020!$B$31</f>
        <v>1923.15</v>
      </c>
      <c r="X17" s="3">
        <f>Hajidavalloo_2013!$B$2</f>
        <v>1873.15</v>
      </c>
      <c r="Z17" s="11">
        <f t="shared" si="3"/>
        <v>0.2146739130434783</v>
      </c>
      <c r="AA17" s="11">
        <f t="shared" si="4"/>
        <v>0.10236220472440946</v>
      </c>
      <c r="AB17" s="11"/>
      <c r="AC17">
        <f t="shared" si="5"/>
        <v>0.84756779242388791</v>
      </c>
      <c r="AD17">
        <f t="shared" si="6"/>
        <v>0.84349891893334761</v>
      </c>
      <c r="AF17" s="12">
        <f t="shared" si="7"/>
        <v>0.18195069456925858</v>
      </c>
      <c r="AG17" s="12">
        <f t="shared" si="8"/>
        <v>8.6342409024673383E-2</v>
      </c>
      <c r="AJ17" s="11">
        <f>Freuhan_2000!$C$2/E17</f>
        <v>0.2146739130434783</v>
      </c>
      <c r="AK17" s="11">
        <f>Freuhan_2000!$D$2/Calcs_ChemEx!F17</f>
        <v>0.10236220472440946</v>
      </c>
      <c r="AL17" s="11"/>
      <c r="AM17" s="14">
        <f t="shared" si="0"/>
        <v>0.97804430379746821</v>
      </c>
      <c r="AN17" s="14">
        <f t="shared" si="9"/>
        <v>5.9434999999999993</v>
      </c>
      <c r="AO17" s="14"/>
      <c r="AP17" s="11">
        <f t="shared" si="10"/>
        <v>0.20996059782608695</v>
      </c>
      <c r="AQ17" s="11">
        <f t="shared" si="11"/>
        <v>0.60838976377952758</v>
      </c>
      <c r="AR17" s="11"/>
      <c r="AT17" s="12">
        <f t="shared" si="12"/>
        <v>0.14130434782608697</v>
      </c>
      <c r="AU17" s="12">
        <f t="shared" si="13"/>
        <v>0.40944881889763785</v>
      </c>
      <c r="AV17" s="12"/>
      <c r="AW17">
        <f t="shared" si="14"/>
        <v>1.4858749999999998</v>
      </c>
      <c r="AX17">
        <f t="shared" si="2"/>
        <v>1.4858749999999998</v>
      </c>
      <c r="AZ17" s="12">
        <f t="shared" si="15"/>
        <v>0.20996059782608695</v>
      </c>
      <c r="BA17" s="12">
        <f t="shared" si="16"/>
        <v>0.60838976377952758</v>
      </c>
      <c r="BJ17" s="12">
        <f t="shared" si="17"/>
        <v>0.19720045723582469</v>
      </c>
      <c r="BK17" s="12">
        <f t="shared" si="18"/>
        <v>0.38019383289392233</v>
      </c>
    </row>
    <row r="18" spans="1:63">
      <c r="A18" s="3">
        <v>1974</v>
      </c>
      <c r="B18" s="4"/>
      <c r="C18" s="4"/>
      <c r="D18" s="4"/>
      <c r="E18" s="4">
        <v>36.4</v>
      </c>
      <c r="F18" s="4">
        <v>12.6</v>
      </c>
      <c r="G18" s="4">
        <v>60.4</v>
      </c>
      <c r="H18" s="3" t="s">
        <v>9</v>
      </c>
      <c r="J18" s="3">
        <f>Freuhan_2000!$C$2</f>
        <v>7.9</v>
      </c>
      <c r="K18" s="3">
        <f>Freuhan_2000!$D$2</f>
        <v>1.3</v>
      </c>
      <c r="L18" s="3">
        <f>Freuhan_2000!$E$2</f>
        <v>7.9</v>
      </c>
      <c r="N18" s="3">
        <f>ChemExergy!$B$5</f>
        <v>0.10909999999999999</v>
      </c>
      <c r="O18" s="3">
        <f>ChemExergy!$B$8</f>
        <v>0.21149999999999999</v>
      </c>
      <c r="P18" s="3">
        <f>Ayres_2006!$W$78</f>
        <v>6.9635999999999996</v>
      </c>
      <c r="Q18" s="3">
        <f>ChemEnergy!$A$2</f>
        <v>5.2</v>
      </c>
      <c r="R18" s="3">
        <f>Kumar_2020!$D$2</f>
        <v>7.7265499999999996</v>
      </c>
      <c r="T18" s="3">
        <f>Kumar_2020!$B$28</f>
        <v>2.38119718536</v>
      </c>
      <c r="U18" s="3">
        <f>Kumar_2020!$B$27</f>
        <v>7.6226599999999998</v>
      </c>
      <c r="W18" s="3">
        <f>Kumar_2020!$B$31</f>
        <v>1923.15</v>
      </c>
      <c r="X18" s="3">
        <f>Hajidavalloo_2013!$B$2</f>
        <v>1873.15</v>
      </c>
      <c r="Z18" s="11">
        <f t="shared" si="3"/>
        <v>0.21703296703296704</v>
      </c>
      <c r="AA18" s="11">
        <f t="shared" si="4"/>
        <v>0.10317460317460318</v>
      </c>
      <c r="AB18" s="11"/>
      <c r="AC18">
        <f t="shared" si="5"/>
        <v>0.84756779242388791</v>
      </c>
      <c r="AD18">
        <f t="shared" si="6"/>
        <v>0.84349891893334761</v>
      </c>
      <c r="AF18" s="12">
        <f t="shared" si="7"/>
        <v>0.1839501527513383</v>
      </c>
      <c r="AG18" s="12">
        <f t="shared" si="8"/>
        <v>8.7027666239154922E-2</v>
      </c>
      <c r="AJ18" s="11">
        <f>Freuhan_2000!$C$2/E18</f>
        <v>0.21703296703296704</v>
      </c>
      <c r="AK18" s="11">
        <f>Freuhan_2000!$D$2/Calcs_ChemEx!F18</f>
        <v>0.10317460317460318</v>
      </c>
      <c r="AL18" s="11"/>
      <c r="AM18" s="14">
        <f t="shared" si="0"/>
        <v>0.97804430379746821</v>
      </c>
      <c r="AN18" s="14">
        <f t="shared" si="9"/>
        <v>5.9434999999999993</v>
      </c>
      <c r="AO18" s="14"/>
      <c r="AP18" s="11">
        <f t="shared" si="10"/>
        <v>0.21226785714285712</v>
      </c>
      <c r="AQ18" s="11">
        <f t="shared" si="11"/>
        <v>0.61321825396825391</v>
      </c>
      <c r="AR18" s="11"/>
      <c r="AT18" s="12">
        <f t="shared" si="12"/>
        <v>0.14285714285714288</v>
      </c>
      <c r="AU18" s="12">
        <f t="shared" si="13"/>
        <v>0.41269841269841273</v>
      </c>
      <c r="AV18" s="12"/>
      <c r="AW18">
        <f t="shared" si="14"/>
        <v>1.4858749999999998</v>
      </c>
      <c r="AX18">
        <f t="shared" si="2"/>
        <v>1.4858749999999998</v>
      </c>
      <c r="AZ18" s="12">
        <f t="shared" si="15"/>
        <v>0.21226785714285715</v>
      </c>
      <c r="BA18" s="12">
        <f t="shared" si="16"/>
        <v>0.61321825396825391</v>
      </c>
      <c r="BJ18" s="12">
        <f t="shared" si="17"/>
        <v>0.19923443732461132</v>
      </c>
      <c r="BK18" s="12">
        <f t="shared" si="18"/>
        <v>0.38207387158761513</v>
      </c>
    </row>
    <row r="19" spans="1:63">
      <c r="A19" s="3">
        <v>1975</v>
      </c>
      <c r="B19" s="4">
        <f>WorldSteel!E11</f>
        <v>36</v>
      </c>
      <c r="C19" s="4">
        <f>WorldSteel!F11</f>
        <v>12.5</v>
      </c>
      <c r="D19" s="4">
        <f>WorldSteel!G11</f>
        <v>60</v>
      </c>
      <c r="E19" s="4">
        <v>36</v>
      </c>
      <c r="F19" s="4">
        <v>12.5</v>
      </c>
      <c r="G19" s="4">
        <v>60</v>
      </c>
      <c r="H19" s="3" t="s">
        <v>8</v>
      </c>
      <c r="J19" s="3">
        <f>Freuhan_2000!$C$2</f>
        <v>7.9</v>
      </c>
      <c r="K19" s="3">
        <f>Freuhan_2000!$D$2</f>
        <v>1.3</v>
      </c>
      <c r="L19" s="3">
        <f>Freuhan_2000!$E$2</f>
        <v>7.9</v>
      </c>
      <c r="N19" s="3">
        <f>ChemExergy!$B$5</f>
        <v>0.10909999999999999</v>
      </c>
      <c r="O19" s="3">
        <f>ChemExergy!$B$8</f>
        <v>0.21149999999999999</v>
      </c>
      <c r="P19" s="3">
        <f>Ayres_2006!$W$78</f>
        <v>6.9635999999999996</v>
      </c>
      <c r="Q19" s="3">
        <f>ChemEnergy!$A$2</f>
        <v>5.2</v>
      </c>
      <c r="R19" s="3">
        <f>Kumar_2020!$D$2</f>
        <v>7.7265499999999996</v>
      </c>
      <c r="T19" s="3">
        <f>Kumar_2020!$B$28</f>
        <v>2.38119718536</v>
      </c>
      <c r="U19" s="3">
        <f>Kumar_2020!$B$27</f>
        <v>7.6226599999999998</v>
      </c>
      <c r="W19" s="3">
        <f>Kumar_2020!$B$31</f>
        <v>1923.15</v>
      </c>
      <c r="X19" s="3">
        <f>Hajidavalloo_2013!$B$2</f>
        <v>1873.15</v>
      </c>
      <c r="Z19" s="11">
        <f t="shared" si="3"/>
        <v>0.21944444444444444</v>
      </c>
      <c r="AA19" s="11">
        <f t="shared" si="4"/>
        <v>0.10400000000000001</v>
      </c>
      <c r="AB19" s="11"/>
      <c r="AC19">
        <f t="shared" si="5"/>
        <v>0.84756779242388791</v>
      </c>
      <c r="AD19">
        <f t="shared" si="6"/>
        <v>0.84349891893334761</v>
      </c>
      <c r="AF19" s="12">
        <f t="shared" si="7"/>
        <v>0.18599404333746428</v>
      </c>
      <c r="AG19" s="12">
        <f t="shared" si="8"/>
        <v>8.7723887569068154E-2</v>
      </c>
      <c r="AJ19" s="11">
        <f>Freuhan_2000!$C$2/E19</f>
        <v>0.21944444444444444</v>
      </c>
      <c r="AK19" s="11">
        <f>Freuhan_2000!$D$2/Calcs_ChemEx!F19</f>
        <v>0.10400000000000001</v>
      </c>
      <c r="AL19" s="11"/>
      <c r="AM19" s="14">
        <f t="shared" si="0"/>
        <v>0.97804430379746821</v>
      </c>
      <c r="AN19" s="14">
        <f t="shared" si="9"/>
        <v>5.9434999999999993</v>
      </c>
      <c r="AO19" s="14"/>
      <c r="AP19" s="11">
        <f t="shared" si="10"/>
        <v>0.21462638888888885</v>
      </c>
      <c r="AQ19" s="11">
        <f t="shared" si="11"/>
        <v>0.61812400000000001</v>
      </c>
      <c r="AR19" s="11"/>
      <c r="AT19" s="12">
        <f t="shared" si="12"/>
        <v>0.14444444444444446</v>
      </c>
      <c r="AU19" s="12">
        <f t="shared" si="13"/>
        <v>0.41600000000000004</v>
      </c>
      <c r="AV19" s="12"/>
      <c r="AW19">
        <f t="shared" si="14"/>
        <v>1.4858749999999998</v>
      </c>
      <c r="AX19">
        <f t="shared" si="2"/>
        <v>1.4858749999999998</v>
      </c>
      <c r="AZ19" s="12">
        <f t="shared" si="15"/>
        <v>0.21462638888888888</v>
      </c>
      <c r="BA19" s="12">
        <f t="shared" si="16"/>
        <v>0.61812400000000001</v>
      </c>
      <c r="BJ19" s="12">
        <f t="shared" si="17"/>
        <v>0.20131081275774246</v>
      </c>
      <c r="BK19" s="12">
        <f t="shared" si="18"/>
        <v>0.38397259606831302</v>
      </c>
    </row>
    <row r="20" spans="1:63">
      <c r="A20" s="3">
        <v>1976</v>
      </c>
      <c r="B20" s="4"/>
      <c r="C20" s="4"/>
      <c r="D20" s="4"/>
      <c r="E20" s="4">
        <v>35.6</v>
      </c>
      <c r="F20" s="4">
        <v>12.5</v>
      </c>
      <c r="G20" s="4">
        <v>59.6</v>
      </c>
      <c r="H20" s="3" t="s">
        <v>9</v>
      </c>
      <c r="J20" s="3">
        <f>Freuhan_2000!$C$2</f>
        <v>7.9</v>
      </c>
      <c r="K20" s="3">
        <f>Freuhan_2000!$D$2</f>
        <v>1.3</v>
      </c>
      <c r="L20" s="3">
        <f>Freuhan_2000!$E$2</f>
        <v>7.9</v>
      </c>
      <c r="N20" s="3">
        <f>ChemExergy!$B$5</f>
        <v>0.10909999999999999</v>
      </c>
      <c r="O20" s="3">
        <f>ChemExergy!$B$8</f>
        <v>0.21149999999999999</v>
      </c>
      <c r="P20" s="3">
        <f>Ayres_2006!$W$78</f>
        <v>6.9635999999999996</v>
      </c>
      <c r="Q20" s="3">
        <f>ChemEnergy!$A$2</f>
        <v>5.2</v>
      </c>
      <c r="R20" s="3">
        <f>Kumar_2020!$D$2</f>
        <v>7.7265499999999996</v>
      </c>
      <c r="T20" s="3">
        <f>Kumar_2020!$B$28</f>
        <v>2.38119718536</v>
      </c>
      <c r="U20" s="3">
        <f>Kumar_2020!$B$27</f>
        <v>7.6226599999999998</v>
      </c>
      <c r="W20" s="3">
        <f>Kumar_2020!$B$31</f>
        <v>1923.15</v>
      </c>
      <c r="X20" s="3">
        <f>Hajidavalloo_2013!$B$2</f>
        <v>1873.15</v>
      </c>
      <c r="Z20" s="11">
        <f t="shared" si="3"/>
        <v>0.22191011235955058</v>
      </c>
      <c r="AA20" s="11">
        <f t="shared" si="4"/>
        <v>0.10400000000000001</v>
      </c>
      <c r="AB20" s="11"/>
      <c r="AC20">
        <f t="shared" si="5"/>
        <v>0.84756779242388791</v>
      </c>
      <c r="AD20">
        <f t="shared" si="6"/>
        <v>0.84349891893334761</v>
      </c>
      <c r="AF20" s="12">
        <f t="shared" si="7"/>
        <v>0.1880838640491212</v>
      </c>
      <c r="AG20" s="12">
        <f t="shared" si="8"/>
        <v>8.7723887569068154E-2</v>
      </c>
      <c r="AJ20" s="11">
        <f>Freuhan_2000!$C$2/E20</f>
        <v>0.22191011235955058</v>
      </c>
      <c r="AK20" s="11">
        <f>Freuhan_2000!$D$2/Calcs_ChemEx!F20</f>
        <v>0.10400000000000001</v>
      </c>
      <c r="AL20" s="11"/>
      <c r="AM20" s="14">
        <f t="shared" si="0"/>
        <v>0.97804430379746821</v>
      </c>
      <c r="AN20" s="14">
        <f t="shared" si="9"/>
        <v>5.9434999999999993</v>
      </c>
      <c r="AO20" s="14"/>
      <c r="AP20" s="11">
        <f t="shared" si="10"/>
        <v>0.21703792134831459</v>
      </c>
      <c r="AQ20" s="11">
        <f t="shared" si="11"/>
        <v>0.61812400000000001</v>
      </c>
      <c r="AR20" s="11"/>
      <c r="AT20" s="12">
        <f t="shared" si="12"/>
        <v>0.14606741573033707</v>
      </c>
      <c r="AU20" s="12">
        <f t="shared" si="13"/>
        <v>0.41600000000000004</v>
      </c>
      <c r="AV20" s="12"/>
      <c r="AW20">
        <f t="shared" si="14"/>
        <v>1.4858749999999998</v>
      </c>
      <c r="AX20">
        <f t="shared" si="14"/>
        <v>1.4858749999999998</v>
      </c>
      <c r="AZ20" s="12">
        <f t="shared" si="15"/>
        <v>0.21703792134831457</v>
      </c>
      <c r="BA20" s="12">
        <f t="shared" si="16"/>
        <v>0.61812400000000001</v>
      </c>
      <c r="BJ20" s="12">
        <f t="shared" si="17"/>
        <v>0.20343092299834686</v>
      </c>
      <c r="BK20" s="12">
        <f t="shared" si="18"/>
        <v>0.38397259606831302</v>
      </c>
    </row>
    <row r="21" spans="1:63">
      <c r="A21" s="3">
        <v>1977</v>
      </c>
      <c r="B21" s="4"/>
      <c r="C21" s="4"/>
      <c r="D21" s="4"/>
      <c r="E21" s="4">
        <v>35.200000000000003</v>
      </c>
      <c r="F21" s="4">
        <v>12.5</v>
      </c>
      <c r="G21" s="4">
        <v>59.2</v>
      </c>
      <c r="H21" s="3" t="s">
        <v>9</v>
      </c>
      <c r="J21" s="3">
        <f>Freuhan_2000!$C$2</f>
        <v>7.9</v>
      </c>
      <c r="K21" s="3">
        <f>Freuhan_2000!$D$2</f>
        <v>1.3</v>
      </c>
      <c r="L21" s="3">
        <f>Freuhan_2000!$E$2</f>
        <v>7.9</v>
      </c>
      <c r="N21" s="3">
        <f>ChemExergy!$B$5</f>
        <v>0.10909999999999999</v>
      </c>
      <c r="O21" s="3">
        <f>ChemExergy!$B$8</f>
        <v>0.21149999999999999</v>
      </c>
      <c r="P21" s="3">
        <f>Ayres_2006!$W$78</f>
        <v>6.9635999999999996</v>
      </c>
      <c r="Q21" s="3">
        <f>ChemEnergy!$A$2</f>
        <v>5.2</v>
      </c>
      <c r="R21" s="3">
        <f>Kumar_2020!$D$2</f>
        <v>7.7265499999999996</v>
      </c>
      <c r="T21" s="3">
        <f>Kumar_2020!$B$28</f>
        <v>2.38119718536</v>
      </c>
      <c r="U21" s="3">
        <f>Kumar_2020!$B$27</f>
        <v>7.6226599999999998</v>
      </c>
      <c r="W21" s="3">
        <f>Kumar_2020!$B$31</f>
        <v>1923.15</v>
      </c>
      <c r="X21" s="3">
        <f>Hajidavalloo_2013!$B$2</f>
        <v>1873.15</v>
      </c>
      <c r="Z21" s="11">
        <f t="shared" si="3"/>
        <v>0.22443181818181818</v>
      </c>
      <c r="AA21" s="11">
        <f t="shared" si="4"/>
        <v>0.10400000000000001</v>
      </c>
      <c r="AB21" s="11"/>
      <c r="AC21">
        <f t="shared" si="5"/>
        <v>0.84756779242388791</v>
      </c>
      <c r="AD21">
        <f t="shared" si="6"/>
        <v>0.84349891893334761</v>
      </c>
      <c r="AF21" s="12">
        <f t="shared" si="7"/>
        <v>0.19022118068604302</v>
      </c>
      <c r="AG21" s="12">
        <f t="shared" si="8"/>
        <v>8.7723887569068154E-2</v>
      </c>
      <c r="AJ21" s="11">
        <f>Freuhan_2000!$C$2/E21</f>
        <v>0.22443181818181818</v>
      </c>
      <c r="AK21" s="11">
        <f>Freuhan_2000!$D$2/Calcs_ChemEx!F21</f>
        <v>0.10400000000000001</v>
      </c>
      <c r="AL21" s="11"/>
      <c r="AM21" s="14">
        <f t="shared" si="0"/>
        <v>0.97804430379746821</v>
      </c>
      <c r="AN21" s="14">
        <f t="shared" si="9"/>
        <v>5.9434999999999993</v>
      </c>
      <c r="AO21" s="14"/>
      <c r="AP21" s="11">
        <f t="shared" si="10"/>
        <v>0.21950426136363632</v>
      </c>
      <c r="AQ21" s="11">
        <f t="shared" si="11"/>
        <v>0.61812400000000001</v>
      </c>
      <c r="AR21" s="11"/>
      <c r="AT21" s="12">
        <f t="shared" si="12"/>
        <v>0.14772727272727271</v>
      </c>
      <c r="AU21" s="12">
        <f t="shared" si="13"/>
        <v>0.41600000000000004</v>
      </c>
      <c r="AV21" s="12"/>
      <c r="AW21">
        <f t="shared" si="14"/>
        <v>1.4858749999999998</v>
      </c>
      <c r="AX21">
        <f t="shared" si="14"/>
        <v>1.4858749999999998</v>
      </c>
      <c r="AZ21" s="12">
        <f t="shared" si="15"/>
        <v>0.21950426136363632</v>
      </c>
      <c r="BA21" s="12">
        <f t="shared" si="16"/>
        <v>0.61812400000000001</v>
      </c>
      <c r="BJ21" s="12">
        <f t="shared" si="17"/>
        <v>0.20559616453650195</v>
      </c>
      <c r="BK21" s="12">
        <f t="shared" si="18"/>
        <v>0.38397259606831302</v>
      </c>
    </row>
    <row r="22" spans="1:63">
      <c r="A22" s="3">
        <v>1978</v>
      </c>
      <c r="B22" s="4"/>
      <c r="C22" s="4"/>
      <c r="D22" s="4"/>
      <c r="E22" s="4">
        <v>34.799999999999997</v>
      </c>
      <c r="F22" s="4">
        <v>12.5</v>
      </c>
      <c r="G22" s="4">
        <v>58.8</v>
      </c>
      <c r="H22" s="3" t="s">
        <v>9</v>
      </c>
      <c r="J22" s="3">
        <f>Freuhan_2000!$C$2</f>
        <v>7.9</v>
      </c>
      <c r="K22" s="3">
        <f>Freuhan_2000!$D$2</f>
        <v>1.3</v>
      </c>
      <c r="L22" s="3">
        <f>Freuhan_2000!$E$2</f>
        <v>7.9</v>
      </c>
      <c r="N22" s="3">
        <f>ChemExergy!$B$5</f>
        <v>0.10909999999999999</v>
      </c>
      <c r="O22" s="3">
        <f>ChemExergy!$B$8</f>
        <v>0.21149999999999999</v>
      </c>
      <c r="P22" s="3">
        <f>Ayres_2006!$W$78</f>
        <v>6.9635999999999996</v>
      </c>
      <c r="Q22" s="3">
        <f>ChemEnergy!$A$2</f>
        <v>5.2</v>
      </c>
      <c r="R22" s="3">
        <f>Kumar_2020!$D$2</f>
        <v>7.7265499999999996</v>
      </c>
      <c r="T22" s="3">
        <f>Kumar_2020!$B$28</f>
        <v>2.38119718536</v>
      </c>
      <c r="U22" s="3">
        <f>Kumar_2020!$B$27</f>
        <v>7.6226599999999998</v>
      </c>
      <c r="W22" s="3">
        <f>Kumar_2020!$B$31</f>
        <v>1923.15</v>
      </c>
      <c r="X22" s="3">
        <f>Hajidavalloo_2013!$B$2</f>
        <v>1873.15</v>
      </c>
      <c r="Z22" s="11">
        <f t="shared" si="3"/>
        <v>0.22701149425287359</v>
      </c>
      <c r="AA22" s="11">
        <f t="shared" si="4"/>
        <v>0.10400000000000001</v>
      </c>
      <c r="AB22" s="11"/>
      <c r="AC22">
        <f t="shared" si="5"/>
        <v>0.84756779242388791</v>
      </c>
      <c r="AD22">
        <f t="shared" si="6"/>
        <v>0.84349891893334761</v>
      </c>
      <c r="AF22" s="12">
        <f t="shared" si="7"/>
        <v>0.19240763103875619</v>
      </c>
      <c r="AG22" s="12">
        <f t="shared" si="8"/>
        <v>8.7723887569068154E-2</v>
      </c>
      <c r="AJ22" s="11">
        <f>Freuhan_2000!$C$2/E22</f>
        <v>0.22701149425287359</v>
      </c>
      <c r="AK22" s="11">
        <f>Freuhan_2000!$D$2/Calcs_ChemEx!F22</f>
        <v>0.10400000000000001</v>
      </c>
      <c r="AL22" s="11"/>
      <c r="AM22" s="14">
        <f t="shared" si="0"/>
        <v>0.97804430379746821</v>
      </c>
      <c r="AN22" s="14">
        <f t="shared" si="9"/>
        <v>5.9434999999999993</v>
      </c>
      <c r="AO22" s="14"/>
      <c r="AP22" s="11">
        <f t="shared" si="10"/>
        <v>0.22202729885057471</v>
      </c>
      <c r="AQ22" s="11">
        <f t="shared" si="11"/>
        <v>0.61812400000000001</v>
      </c>
      <c r="AR22" s="11"/>
      <c r="AT22" s="12">
        <f t="shared" si="12"/>
        <v>0.14942528735632185</v>
      </c>
      <c r="AU22" s="12">
        <f t="shared" si="13"/>
        <v>0.41600000000000004</v>
      </c>
      <c r="AV22" s="12"/>
      <c r="AW22">
        <f t="shared" si="14"/>
        <v>1.4858749999999998</v>
      </c>
      <c r="AX22">
        <f t="shared" si="14"/>
        <v>1.4858749999999998</v>
      </c>
      <c r="AZ22" s="12">
        <f t="shared" si="15"/>
        <v>0.22202729885057471</v>
      </c>
      <c r="BA22" s="12">
        <f t="shared" si="16"/>
        <v>0.61812400000000001</v>
      </c>
      <c r="BJ22" s="12">
        <f t="shared" si="17"/>
        <v>0.20780799395674943</v>
      </c>
      <c r="BK22" s="12">
        <f t="shared" si="18"/>
        <v>0.38397259606831302</v>
      </c>
    </row>
    <row r="23" spans="1:63">
      <c r="A23" s="3">
        <v>1979</v>
      </c>
      <c r="B23" s="4"/>
      <c r="C23" s="4"/>
      <c r="D23" s="4"/>
      <c r="E23" s="4">
        <v>34.4</v>
      </c>
      <c r="F23" s="4">
        <v>12.5</v>
      </c>
      <c r="G23" s="4">
        <v>58.4</v>
      </c>
      <c r="H23" s="3" t="s">
        <v>9</v>
      </c>
      <c r="J23" s="3">
        <f>Freuhan_2000!$C$2</f>
        <v>7.9</v>
      </c>
      <c r="K23" s="3">
        <f>Freuhan_2000!$D$2</f>
        <v>1.3</v>
      </c>
      <c r="L23" s="3">
        <f>Freuhan_2000!$E$2</f>
        <v>7.9</v>
      </c>
      <c r="N23" s="3">
        <f>ChemExergy!$B$5</f>
        <v>0.10909999999999999</v>
      </c>
      <c r="O23" s="3">
        <f>ChemExergy!$B$8</f>
        <v>0.21149999999999999</v>
      </c>
      <c r="P23" s="3">
        <f>Ayres_2006!$W$78</f>
        <v>6.9635999999999996</v>
      </c>
      <c r="Q23" s="3">
        <f>ChemEnergy!$A$2</f>
        <v>5.2</v>
      </c>
      <c r="R23" s="3">
        <f>Kumar_2020!$D$2</f>
        <v>7.7265499999999996</v>
      </c>
      <c r="T23" s="3">
        <f>Kumar_2020!$B$28</f>
        <v>2.38119718536</v>
      </c>
      <c r="U23" s="3">
        <f>Kumar_2020!$B$27</f>
        <v>7.6226599999999998</v>
      </c>
      <c r="W23" s="3">
        <f>Kumar_2020!$B$31</f>
        <v>1923.15</v>
      </c>
      <c r="X23" s="3">
        <f>Hajidavalloo_2013!$B$2</f>
        <v>1873.15</v>
      </c>
      <c r="Z23" s="11">
        <f t="shared" si="3"/>
        <v>0.22965116279069769</v>
      </c>
      <c r="AA23" s="11">
        <f t="shared" si="4"/>
        <v>0.10400000000000001</v>
      </c>
      <c r="AB23" s="11"/>
      <c r="AC23">
        <f t="shared" si="5"/>
        <v>0.84756779242388791</v>
      </c>
      <c r="AD23">
        <f t="shared" si="6"/>
        <v>0.84349891893334761</v>
      </c>
      <c r="AF23" s="12">
        <f t="shared" si="7"/>
        <v>0.19464492907409056</v>
      </c>
      <c r="AG23" s="12">
        <f t="shared" si="8"/>
        <v>8.7723887569068154E-2</v>
      </c>
      <c r="AJ23" s="11">
        <f>Freuhan_2000!$C$2/E23</f>
        <v>0.22965116279069769</v>
      </c>
      <c r="AK23" s="11">
        <f>Freuhan_2000!$D$2/Calcs_ChemEx!F23</f>
        <v>0.10400000000000001</v>
      </c>
      <c r="AL23" s="11"/>
      <c r="AM23" s="14">
        <f t="shared" si="0"/>
        <v>0.97804430379746821</v>
      </c>
      <c r="AN23" s="14">
        <f t="shared" si="9"/>
        <v>5.9434999999999993</v>
      </c>
      <c r="AO23" s="14"/>
      <c r="AP23" s="11">
        <f t="shared" si="10"/>
        <v>0.22460901162790697</v>
      </c>
      <c r="AQ23" s="11">
        <f t="shared" si="11"/>
        <v>0.61812400000000001</v>
      </c>
      <c r="AR23" s="11"/>
      <c r="AT23" s="12">
        <f t="shared" si="12"/>
        <v>0.15116279069767444</v>
      </c>
      <c r="AU23" s="12">
        <f t="shared" si="13"/>
        <v>0.41600000000000004</v>
      </c>
      <c r="AV23" s="12"/>
      <c r="AW23">
        <f t="shared" si="14"/>
        <v>1.4858749999999998</v>
      </c>
      <c r="AX23">
        <f t="shared" si="14"/>
        <v>1.4858749999999998</v>
      </c>
      <c r="AZ23" s="12">
        <f t="shared" si="15"/>
        <v>0.22460901162790697</v>
      </c>
      <c r="BA23" s="12">
        <f t="shared" si="16"/>
        <v>0.61812400000000001</v>
      </c>
      <c r="BJ23" s="12">
        <f t="shared" si="17"/>
        <v>0.21006793120576819</v>
      </c>
      <c r="BK23" s="12">
        <f t="shared" si="18"/>
        <v>0.38397259606831302</v>
      </c>
    </row>
    <row r="24" spans="1:63">
      <c r="A24" s="3">
        <v>1980</v>
      </c>
      <c r="B24" s="4">
        <f>WorldSteel!E12</f>
        <v>34</v>
      </c>
      <c r="C24" s="4">
        <f>WorldSteel!F12</f>
        <v>12.5</v>
      </c>
      <c r="D24" s="4">
        <f>WorldSteel!G12</f>
        <v>58</v>
      </c>
      <c r="E24" s="4">
        <v>34</v>
      </c>
      <c r="F24" s="4">
        <v>12.5</v>
      </c>
      <c r="G24" s="4">
        <v>58</v>
      </c>
      <c r="H24" s="3" t="s">
        <v>8</v>
      </c>
      <c r="J24" s="3">
        <f>Freuhan_2000!$C$2</f>
        <v>7.9</v>
      </c>
      <c r="K24" s="3">
        <f>Freuhan_2000!$D$2</f>
        <v>1.3</v>
      </c>
      <c r="L24" s="3">
        <f>Freuhan_2000!$E$2</f>
        <v>7.9</v>
      </c>
      <c r="N24" s="3">
        <f>ChemExergy!$B$5</f>
        <v>0.10909999999999999</v>
      </c>
      <c r="O24" s="3">
        <f>ChemExergy!$B$8</f>
        <v>0.21149999999999999</v>
      </c>
      <c r="P24" s="3">
        <f>Ayres_2006!$W$78</f>
        <v>6.9635999999999996</v>
      </c>
      <c r="Q24" s="3">
        <f>ChemEnergy!$A$2</f>
        <v>5.2</v>
      </c>
      <c r="R24" s="3">
        <f>Kumar_2020!$D$2</f>
        <v>7.7265499999999996</v>
      </c>
      <c r="T24" s="3">
        <f>Kumar_2020!$B$28</f>
        <v>2.38119718536</v>
      </c>
      <c r="U24" s="3">
        <f>Kumar_2020!$B$27</f>
        <v>7.6226599999999998</v>
      </c>
      <c r="W24" s="3">
        <f>Kumar_2020!$B$31</f>
        <v>1923.15</v>
      </c>
      <c r="X24" s="3">
        <f>Hajidavalloo_2013!$B$2</f>
        <v>1873.15</v>
      </c>
      <c r="Z24" s="11">
        <f t="shared" si="3"/>
        <v>0.2323529411764706</v>
      </c>
      <c r="AA24" s="11">
        <f t="shared" si="4"/>
        <v>0.10400000000000001</v>
      </c>
      <c r="AB24" s="11"/>
      <c r="AC24">
        <f t="shared" si="5"/>
        <v>0.84756779242388791</v>
      </c>
      <c r="AD24">
        <f t="shared" si="6"/>
        <v>0.84349891893334761</v>
      </c>
      <c r="AF24" s="12">
        <f t="shared" si="7"/>
        <v>0.19693486941613866</v>
      </c>
      <c r="AG24" s="12">
        <f t="shared" si="8"/>
        <v>8.7723887569068154E-2</v>
      </c>
      <c r="AJ24" s="11">
        <f>Freuhan_2000!$C$2/E24</f>
        <v>0.2323529411764706</v>
      </c>
      <c r="AK24" s="11">
        <f>Freuhan_2000!$D$2/Calcs_ChemEx!F24</f>
        <v>0.10400000000000001</v>
      </c>
      <c r="AL24" s="11"/>
      <c r="AM24" s="14">
        <f t="shared" si="0"/>
        <v>0.97804430379746821</v>
      </c>
      <c r="AN24" s="14">
        <f t="shared" si="9"/>
        <v>5.9434999999999993</v>
      </c>
      <c r="AO24" s="14"/>
      <c r="AP24" s="11">
        <f t="shared" si="10"/>
        <v>0.22725147058823528</v>
      </c>
      <c r="AQ24" s="11">
        <f t="shared" si="11"/>
        <v>0.61812400000000001</v>
      </c>
      <c r="AR24" s="11"/>
      <c r="AT24" s="12">
        <f t="shared" si="12"/>
        <v>0.15294117647058825</v>
      </c>
      <c r="AU24" s="12">
        <f t="shared" si="13"/>
        <v>0.41600000000000004</v>
      </c>
      <c r="AV24" s="12"/>
      <c r="AW24">
        <f t="shared" si="14"/>
        <v>1.4858749999999998</v>
      </c>
      <c r="AX24">
        <f t="shared" si="14"/>
        <v>1.4858749999999998</v>
      </c>
      <c r="AZ24" s="12">
        <f t="shared" si="15"/>
        <v>0.22725147058823528</v>
      </c>
      <c r="BA24" s="12">
        <f t="shared" si="16"/>
        <v>0.61812400000000001</v>
      </c>
      <c r="BJ24" s="12">
        <f t="shared" si="17"/>
        <v>0.21237756307561004</v>
      </c>
      <c r="BK24" s="12">
        <f t="shared" si="18"/>
        <v>0.38397259606831302</v>
      </c>
    </row>
    <row r="25" spans="1:63">
      <c r="A25" s="3">
        <v>1981</v>
      </c>
      <c r="B25" s="4"/>
      <c r="C25" s="4"/>
      <c r="D25" s="4"/>
      <c r="E25" s="4">
        <v>33.6</v>
      </c>
      <c r="F25" s="4">
        <v>12.4</v>
      </c>
      <c r="G25" s="4">
        <v>57.6</v>
      </c>
      <c r="H25" s="3" t="s">
        <v>9</v>
      </c>
      <c r="J25" s="3">
        <f>Freuhan_2000!$C$2</f>
        <v>7.9</v>
      </c>
      <c r="K25" s="3">
        <f>Freuhan_2000!$D$2</f>
        <v>1.3</v>
      </c>
      <c r="L25" s="3">
        <f>Freuhan_2000!$E$2</f>
        <v>7.9</v>
      </c>
      <c r="N25" s="3">
        <f>ChemExergy!$B$5</f>
        <v>0.10909999999999999</v>
      </c>
      <c r="O25" s="3">
        <f>ChemExergy!$B$8</f>
        <v>0.21149999999999999</v>
      </c>
      <c r="P25" s="3">
        <f>Ayres_2006!$W$78</f>
        <v>6.9635999999999996</v>
      </c>
      <c r="Q25" s="3">
        <f>ChemEnergy!$A$2</f>
        <v>5.2</v>
      </c>
      <c r="R25" s="3">
        <f>Kumar_2020!$D$2</f>
        <v>7.7265499999999996</v>
      </c>
      <c r="T25" s="3">
        <f>Kumar_2020!$B$28</f>
        <v>2.38119718536</v>
      </c>
      <c r="U25" s="3">
        <f>Kumar_2020!$B$27</f>
        <v>7.6226599999999998</v>
      </c>
      <c r="W25" s="3">
        <f>Kumar_2020!$B$31</f>
        <v>1923.15</v>
      </c>
      <c r="X25" s="3">
        <f>Hajidavalloo_2013!$B$2</f>
        <v>1873.15</v>
      </c>
      <c r="Z25" s="11">
        <f t="shared" si="3"/>
        <v>0.23511904761904762</v>
      </c>
      <c r="AA25" s="11">
        <f t="shared" si="4"/>
        <v>0.10483870967741936</v>
      </c>
      <c r="AB25" s="11"/>
      <c r="AC25">
        <f t="shared" si="5"/>
        <v>0.84756779242388791</v>
      </c>
      <c r="AD25">
        <f t="shared" si="6"/>
        <v>0.84349891893334761</v>
      </c>
      <c r="AF25" s="12">
        <f t="shared" si="7"/>
        <v>0.19927933214728316</v>
      </c>
      <c r="AG25" s="12">
        <f t="shared" si="8"/>
        <v>8.8431338275270319E-2</v>
      </c>
      <c r="AJ25" s="11">
        <f>Freuhan_2000!$C$2/E25</f>
        <v>0.23511904761904762</v>
      </c>
      <c r="AK25" s="11">
        <f>Freuhan_2000!$D$2/Calcs_ChemEx!F25</f>
        <v>0.10483870967741936</v>
      </c>
      <c r="AL25" s="11"/>
      <c r="AM25" s="14">
        <f t="shared" si="0"/>
        <v>0.97804430379746821</v>
      </c>
      <c r="AN25" s="14">
        <f t="shared" si="9"/>
        <v>5.9434999999999993</v>
      </c>
      <c r="AO25" s="14"/>
      <c r="AP25" s="11">
        <f t="shared" si="10"/>
        <v>0.2299568452380952</v>
      </c>
      <c r="AQ25" s="11">
        <f t="shared" si="11"/>
        <v>0.62310887096774192</v>
      </c>
      <c r="AR25" s="11"/>
      <c r="AT25" s="12">
        <f t="shared" si="12"/>
        <v>0.15476190476190477</v>
      </c>
      <c r="AU25" s="12">
        <f t="shared" si="13"/>
        <v>0.41935483870967744</v>
      </c>
      <c r="AV25" s="12"/>
      <c r="AW25">
        <f t="shared" si="14"/>
        <v>1.4858749999999998</v>
      </c>
      <c r="AX25">
        <f t="shared" si="14"/>
        <v>1.4858749999999998</v>
      </c>
      <c r="AZ25" s="12">
        <f t="shared" si="15"/>
        <v>0.22995684523809523</v>
      </c>
      <c r="BA25" s="12">
        <f t="shared" si="16"/>
        <v>0.62310887096774192</v>
      </c>
      <c r="BJ25" s="12">
        <f t="shared" si="17"/>
        <v>0.2147385469192718</v>
      </c>
      <c r="BK25" s="12">
        <f t="shared" si="18"/>
        <v>0.38589028630561567</v>
      </c>
    </row>
    <row r="26" spans="1:63">
      <c r="A26" s="3">
        <v>1982</v>
      </c>
      <c r="B26" s="4"/>
      <c r="C26" s="4"/>
      <c r="D26" s="4"/>
      <c r="E26" s="4">
        <v>33.200000000000003</v>
      </c>
      <c r="F26" s="4">
        <v>12.3</v>
      </c>
      <c r="G26" s="4">
        <v>57.2</v>
      </c>
      <c r="H26" s="3" t="s">
        <v>9</v>
      </c>
      <c r="J26" s="3">
        <f>Freuhan_2000!$C$2</f>
        <v>7.9</v>
      </c>
      <c r="K26" s="3">
        <f>Freuhan_2000!$D$2</f>
        <v>1.3</v>
      </c>
      <c r="L26" s="3">
        <f>Freuhan_2000!$E$2</f>
        <v>7.9</v>
      </c>
      <c r="N26" s="3">
        <f>ChemExergy!$B$5</f>
        <v>0.10909999999999999</v>
      </c>
      <c r="O26" s="3">
        <f>ChemExergy!$B$8</f>
        <v>0.21149999999999999</v>
      </c>
      <c r="P26" s="3">
        <f>Ayres_2006!$W$78</f>
        <v>6.9635999999999996</v>
      </c>
      <c r="Q26" s="3">
        <f>ChemEnergy!$A$2</f>
        <v>5.2</v>
      </c>
      <c r="R26" s="3">
        <f>Kumar_2020!$D$2</f>
        <v>7.7265499999999996</v>
      </c>
      <c r="T26" s="3">
        <f>Kumar_2020!$B$28</f>
        <v>2.38119718536</v>
      </c>
      <c r="U26" s="3">
        <f>Kumar_2020!$B$27</f>
        <v>7.6226599999999998</v>
      </c>
      <c r="W26" s="3">
        <f>Kumar_2020!$B$31</f>
        <v>1923.15</v>
      </c>
      <c r="X26" s="3">
        <f>Hajidavalloo_2013!$B$2</f>
        <v>1873.15</v>
      </c>
      <c r="Z26" s="11">
        <f t="shared" si="3"/>
        <v>0.23795180722891565</v>
      </c>
      <c r="AA26" s="11">
        <f t="shared" si="4"/>
        <v>0.1056910569105691</v>
      </c>
      <c r="AB26" s="11"/>
      <c r="AC26">
        <f t="shared" si="5"/>
        <v>0.84756779242388791</v>
      </c>
      <c r="AD26">
        <f t="shared" si="6"/>
        <v>0.84349891893334761</v>
      </c>
      <c r="AF26" s="12">
        <f t="shared" si="7"/>
        <v>0.20168028795628656</v>
      </c>
      <c r="AG26" s="12">
        <f t="shared" si="8"/>
        <v>8.9150292244987953E-2</v>
      </c>
      <c r="AJ26" s="11">
        <f>Freuhan_2000!$C$2/E26</f>
        <v>0.23795180722891565</v>
      </c>
      <c r="AK26" s="11">
        <f>Freuhan_2000!$D$2/Calcs_ChemEx!F26</f>
        <v>0.1056910569105691</v>
      </c>
      <c r="AL26" s="11"/>
      <c r="AM26" s="14">
        <f t="shared" si="0"/>
        <v>0.97804430379746821</v>
      </c>
      <c r="AN26" s="14">
        <f t="shared" si="9"/>
        <v>5.9434999999999993</v>
      </c>
      <c r="AO26" s="14"/>
      <c r="AP26" s="11">
        <f t="shared" si="10"/>
        <v>0.23272740963855418</v>
      </c>
      <c r="AQ26" s="11">
        <f t="shared" si="11"/>
        <v>0.62817479674796739</v>
      </c>
      <c r="AR26" s="11"/>
      <c r="AT26" s="12">
        <f t="shared" si="12"/>
        <v>0.15662650602409639</v>
      </c>
      <c r="AU26" s="12">
        <f t="shared" si="13"/>
        <v>0.42276422764227639</v>
      </c>
      <c r="AV26" s="12"/>
      <c r="AW26">
        <f t="shared" si="14"/>
        <v>1.4858749999999998</v>
      </c>
      <c r="AX26">
        <f t="shared" si="14"/>
        <v>1.4858749999999998</v>
      </c>
      <c r="AZ26" s="12">
        <f t="shared" si="15"/>
        <v>0.23272740963855421</v>
      </c>
      <c r="BA26" s="12">
        <f t="shared" si="16"/>
        <v>0.62817479674796739</v>
      </c>
      <c r="BJ26" s="12">
        <f t="shared" si="17"/>
        <v>0.21715261461688853</v>
      </c>
      <c r="BK26" s="12">
        <f t="shared" si="18"/>
        <v>0.38782722789025159</v>
      </c>
    </row>
    <row r="27" spans="1:63">
      <c r="A27" s="3">
        <v>1983</v>
      </c>
      <c r="B27" s="4"/>
      <c r="C27" s="4"/>
      <c r="D27" s="4"/>
      <c r="E27" s="4">
        <v>32.799999999999997</v>
      </c>
      <c r="F27" s="4">
        <v>12.2</v>
      </c>
      <c r="G27" s="4">
        <v>56.8</v>
      </c>
      <c r="H27" s="3" t="s">
        <v>9</v>
      </c>
      <c r="J27" s="3">
        <f>Freuhan_2000!$C$2</f>
        <v>7.9</v>
      </c>
      <c r="K27" s="3">
        <f>Freuhan_2000!$D$2</f>
        <v>1.3</v>
      </c>
      <c r="L27" s="3">
        <f>Freuhan_2000!$E$2</f>
        <v>7.9</v>
      </c>
      <c r="N27" s="3">
        <f>ChemExergy!$B$5</f>
        <v>0.10909999999999999</v>
      </c>
      <c r="O27" s="3">
        <f>ChemExergy!$B$8</f>
        <v>0.21149999999999999</v>
      </c>
      <c r="P27" s="3">
        <f>Ayres_2006!$W$78</f>
        <v>6.9635999999999996</v>
      </c>
      <c r="Q27" s="3">
        <f>ChemEnergy!$A$2</f>
        <v>5.2</v>
      </c>
      <c r="R27" s="3">
        <f>Kumar_2020!$D$2</f>
        <v>7.7265499999999996</v>
      </c>
      <c r="T27" s="3">
        <f>Kumar_2020!$B$28</f>
        <v>2.38119718536</v>
      </c>
      <c r="U27" s="3">
        <f>Kumar_2020!$B$27</f>
        <v>7.6226599999999998</v>
      </c>
      <c r="W27" s="3">
        <f>Kumar_2020!$B$31</f>
        <v>1923.15</v>
      </c>
      <c r="X27" s="3">
        <f>Hajidavalloo_2013!$B$2</f>
        <v>1873.15</v>
      </c>
      <c r="Z27" s="11">
        <f t="shared" si="3"/>
        <v>0.24085365853658539</v>
      </c>
      <c r="AA27" s="11">
        <f t="shared" si="4"/>
        <v>0.10655737704918034</v>
      </c>
      <c r="AB27" s="11"/>
      <c r="AC27">
        <f t="shared" si="5"/>
        <v>0.84756779242388791</v>
      </c>
      <c r="AD27">
        <f t="shared" si="6"/>
        <v>0.84349891893334761</v>
      </c>
      <c r="AF27" s="12">
        <f t="shared" si="7"/>
        <v>0.20413980366307058</v>
      </c>
      <c r="AG27" s="12">
        <f t="shared" si="8"/>
        <v>8.9881032345356715E-2</v>
      </c>
      <c r="AJ27" s="11">
        <f>Freuhan_2000!$C$2/E27</f>
        <v>0.24085365853658539</v>
      </c>
      <c r="AK27" s="11">
        <f>Freuhan_2000!$D$2/Calcs_ChemEx!F27</f>
        <v>0.10655737704918034</v>
      </c>
      <c r="AL27" s="11"/>
      <c r="AM27" s="14">
        <f t="shared" si="0"/>
        <v>0.97804430379746821</v>
      </c>
      <c r="AN27" s="14">
        <f t="shared" si="9"/>
        <v>5.9434999999999993</v>
      </c>
      <c r="AO27" s="14"/>
      <c r="AP27" s="11">
        <f t="shared" si="10"/>
        <v>0.2355655487804878</v>
      </c>
      <c r="AQ27" s="11">
        <f t="shared" si="11"/>
        <v>0.63332377049180322</v>
      </c>
      <c r="AR27" s="11"/>
      <c r="AT27" s="12">
        <f t="shared" si="12"/>
        <v>0.15853658536585369</v>
      </c>
      <c r="AU27" s="12">
        <f t="shared" si="13"/>
        <v>0.42622950819672134</v>
      </c>
      <c r="AV27" s="12"/>
      <c r="AW27">
        <f t="shared" si="14"/>
        <v>1.4858749999999998</v>
      </c>
      <c r="AX27">
        <f t="shared" si="14"/>
        <v>1.4858749999999998</v>
      </c>
      <c r="AZ27" s="12">
        <f t="shared" si="15"/>
        <v>0.23556554878048783</v>
      </c>
      <c r="BA27" s="12">
        <f t="shared" si="16"/>
        <v>0.63332377049180322</v>
      </c>
      <c r="BJ27" s="12">
        <f t="shared" si="17"/>
        <v>0.21962157681249289</v>
      </c>
      <c r="BK27" s="12">
        <f t="shared" si="18"/>
        <v>0.38978371217586338</v>
      </c>
    </row>
    <row r="28" spans="1:63">
      <c r="A28" s="3">
        <v>1984</v>
      </c>
      <c r="B28" s="4"/>
      <c r="C28" s="4"/>
      <c r="D28" s="4"/>
      <c r="E28" s="4">
        <v>32.4</v>
      </c>
      <c r="F28" s="4">
        <v>12.1</v>
      </c>
      <c r="G28" s="4">
        <v>56.4</v>
      </c>
      <c r="H28" s="3" t="s">
        <v>9</v>
      </c>
      <c r="J28" s="3">
        <f>Freuhan_2000!$C$2</f>
        <v>7.9</v>
      </c>
      <c r="K28" s="3">
        <f>Freuhan_2000!$D$2</f>
        <v>1.3</v>
      </c>
      <c r="L28" s="3">
        <f>Freuhan_2000!$E$2</f>
        <v>7.9</v>
      </c>
      <c r="N28" s="3">
        <f>ChemExergy!$B$5</f>
        <v>0.10909999999999999</v>
      </c>
      <c r="O28" s="3">
        <f>ChemExergy!$B$8</f>
        <v>0.21149999999999999</v>
      </c>
      <c r="P28" s="3">
        <f>Ayres_2006!$W$78</f>
        <v>6.9635999999999996</v>
      </c>
      <c r="Q28" s="3">
        <f>ChemEnergy!$A$2</f>
        <v>5.2</v>
      </c>
      <c r="R28" s="3">
        <f>Kumar_2020!$D$2</f>
        <v>7.7265499999999996</v>
      </c>
      <c r="T28" s="3">
        <f>Kumar_2020!$B$28</f>
        <v>2.38119718536</v>
      </c>
      <c r="U28" s="3">
        <f>Kumar_2020!$B$27</f>
        <v>7.6226599999999998</v>
      </c>
      <c r="W28" s="3">
        <f>Kumar_2020!$B$31</f>
        <v>1923.15</v>
      </c>
      <c r="X28" s="3">
        <f>Hajidavalloo_2013!$B$2</f>
        <v>1873.15</v>
      </c>
      <c r="Z28" s="11">
        <f t="shared" si="3"/>
        <v>0.24382716049382719</v>
      </c>
      <c r="AA28" s="11">
        <f t="shared" si="4"/>
        <v>0.10743801652892562</v>
      </c>
      <c r="AB28" s="11"/>
      <c r="AC28">
        <f t="shared" si="5"/>
        <v>0.84756779242388791</v>
      </c>
      <c r="AD28">
        <f t="shared" si="6"/>
        <v>0.84349891893334761</v>
      </c>
      <c r="AF28" s="12">
        <f t="shared" si="7"/>
        <v>0.20666004815273811</v>
      </c>
      <c r="AG28" s="12">
        <f t="shared" si="8"/>
        <v>9.0623850794491895E-2</v>
      </c>
      <c r="AJ28" s="11">
        <f>Freuhan_2000!$C$2/E28</f>
        <v>0.24382716049382719</v>
      </c>
      <c r="AK28" s="11">
        <f>Freuhan_2000!$D$2/Calcs_ChemEx!F28</f>
        <v>0.10743801652892562</v>
      </c>
      <c r="AL28" s="11"/>
      <c r="AM28" s="14">
        <f t="shared" si="0"/>
        <v>0.97804430379746821</v>
      </c>
      <c r="AN28" s="14">
        <f t="shared" si="9"/>
        <v>5.9434999999999993</v>
      </c>
      <c r="AO28" s="14"/>
      <c r="AP28" s="11">
        <f t="shared" si="10"/>
        <v>0.23847376543209875</v>
      </c>
      <c r="AQ28" s="11">
        <f t="shared" si="11"/>
        <v>0.63855785123966935</v>
      </c>
      <c r="AR28" s="11"/>
      <c r="AT28" s="12">
        <f t="shared" si="12"/>
        <v>0.16049382716049385</v>
      </c>
      <c r="AU28" s="12">
        <f t="shared" si="13"/>
        <v>0.42975206611570249</v>
      </c>
      <c r="AV28" s="12"/>
      <c r="AW28">
        <f t="shared" si="14"/>
        <v>1.4858749999999998</v>
      </c>
      <c r="AX28">
        <f t="shared" si="14"/>
        <v>1.4858749999999998</v>
      </c>
      <c r="AZ28" s="12">
        <f t="shared" si="15"/>
        <v>0.23847376543209878</v>
      </c>
      <c r="BA28" s="12">
        <f t="shared" si="16"/>
        <v>0.63855785123966935</v>
      </c>
      <c r="BJ28" s="12">
        <f t="shared" si="17"/>
        <v>0.2221473274431231</v>
      </c>
      <c r="BK28" s="12">
        <f t="shared" si="18"/>
        <v>0.39176003642510698</v>
      </c>
    </row>
    <row r="29" spans="1:63">
      <c r="A29" s="3">
        <v>1985</v>
      </c>
      <c r="B29" s="4">
        <f>WorldSteel!E13</f>
        <v>32</v>
      </c>
      <c r="C29" s="4">
        <f>WorldSteel!F13</f>
        <v>12</v>
      </c>
      <c r="D29" s="4">
        <f>WorldSteel!G13</f>
        <v>56</v>
      </c>
      <c r="E29" s="4">
        <v>32</v>
      </c>
      <c r="F29" s="4">
        <v>12</v>
      </c>
      <c r="G29" s="4">
        <v>56</v>
      </c>
      <c r="H29" s="3" t="s">
        <v>8</v>
      </c>
      <c r="J29" s="3">
        <f>Freuhan_2000!$C$2</f>
        <v>7.9</v>
      </c>
      <c r="K29" s="3">
        <f>Freuhan_2000!$D$2</f>
        <v>1.3</v>
      </c>
      <c r="L29" s="3">
        <f>Freuhan_2000!$E$2</f>
        <v>7.9</v>
      </c>
      <c r="N29" s="3">
        <f>ChemExergy!$B$5</f>
        <v>0.10909999999999999</v>
      </c>
      <c r="O29" s="3">
        <f>ChemExergy!$B$8</f>
        <v>0.21149999999999999</v>
      </c>
      <c r="P29" s="3">
        <f>Ayres_2006!$W$78</f>
        <v>6.9635999999999996</v>
      </c>
      <c r="Q29" s="3">
        <f>ChemEnergy!$A$2</f>
        <v>5.2</v>
      </c>
      <c r="R29" s="3">
        <f>Kumar_2020!$D$2</f>
        <v>7.7265499999999996</v>
      </c>
      <c r="T29" s="3">
        <f>Kumar_2020!$B$28</f>
        <v>2.38119718536</v>
      </c>
      <c r="U29" s="3">
        <f>Kumar_2020!$B$27</f>
        <v>7.6226599999999998</v>
      </c>
      <c r="W29" s="3">
        <f>Kumar_2020!$B$31</f>
        <v>1923.15</v>
      </c>
      <c r="X29" s="3">
        <f>Hajidavalloo_2013!$B$2</f>
        <v>1873.15</v>
      </c>
      <c r="Z29" s="11">
        <f t="shared" si="3"/>
        <v>0.24687500000000001</v>
      </c>
      <c r="AA29" s="11">
        <f t="shared" si="4"/>
        <v>0.10833333333333334</v>
      </c>
      <c r="AB29" s="11"/>
      <c r="AC29">
        <f t="shared" si="5"/>
        <v>0.84756779242388791</v>
      </c>
      <c r="AD29">
        <f t="shared" si="6"/>
        <v>0.84349891893334761</v>
      </c>
      <c r="AF29" s="12">
        <f t="shared" si="7"/>
        <v>0.20924329875464734</v>
      </c>
      <c r="AG29" s="12">
        <f t="shared" si="8"/>
        <v>9.1379049551112659E-2</v>
      </c>
      <c r="AJ29" s="11">
        <f>Freuhan_2000!$C$2/E29</f>
        <v>0.24687500000000001</v>
      </c>
      <c r="AK29" s="11">
        <f>Freuhan_2000!$D$2/Calcs_ChemEx!F29</f>
        <v>0.10833333333333334</v>
      </c>
      <c r="AL29" s="11"/>
      <c r="AM29" s="14">
        <f t="shared" si="0"/>
        <v>0.97804430379746821</v>
      </c>
      <c r="AN29" s="14">
        <f t="shared" si="9"/>
        <v>5.9434999999999993</v>
      </c>
      <c r="AO29" s="14"/>
      <c r="AP29" s="11">
        <f t="shared" si="10"/>
        <v>0.24145468749999999</v>
      </c>
      <c r="AQ29" s="11">
        <f t="shared" si="11"/>
        <v>0.64387916666666667</v>
      </c>
      <c r="AR29" s="11"/>
      <c r="AT29" s="12">
        <f t="shared" si="12"/>
        <v>0.16250000000000001</v>
      </c>
      <c r="AU29" s="12">
        <f t="shared" si="13"/>
        <v>0.43333333333333335</v>
      </c>
      <c r="AV29" s="12"/>
      <c r="AW29">
        <f t="shared" si="14"/>
        <v>1.4858749999999998</v>
      </c>
      <c r="AX29">
        <f t="shared" si="14"/>
        <v>1.4858749999999998</v>
      </c>
      <c r="AZ29" s="12">
        <f t="shared" si="15"/>
        <v>0.24145468749999999</v>
      </c>
      <c r="BA29" s="12">
        <f t="shared" si="16"/>
        <v>0.64387916666666667</v>
      </c>
      <c r="BJ29" s="12">
        <f t="shared" si="17"/>
        <v>0.2247318485840881</v>
      </c>
      <c r="BK29" s="12">
        <f t="shared" si="18"/>
        <v>0.39375650396021739</v>
      </c>
    </row>
    <row r="30" spans="1:63">
      <c r="A30" s="3">
        <v>1986</v>
      </c>
      <c r="B30" s="4"/>
      <c r="C30" s="4"/>
      <c r="D30" s="4"/>
      <c r="E30" s="4">
        <v>31.6</v>
      </c>
      <c r="F30" s="4">
        <v>12</v>
      </c>
      <c r="G30" s="4">
        <v>55.2</v>
      </c>
      <c r="H30" s="3" t="s">
        <v>9</v>
      </c>
      <c r="J30" s="3">
        <f>Freuhan_2000!$C$2</f>
        <v>7.9</v>
      </c>
      <c r="K30" s="3">
        <f>Freuhan_2000!$D$2</f>
        <v>1.3</v>
      </c>
      <c r="L30" s="3">
        <f>Freuhan_2000!$E$2</f>
        <v>7.9</v>
      </c>
      <c r="N30" s="3">
        <f>ChemExergy!$B$5</f>
        <v>0.10909999999999999</v>
      </c>
      <c r="O30" s="3">
        <f>ChemExergy!$B$8</f>
        <v>0.21149999999999999</v>
      </c>
      <c r="P30" s="3">
        <f>Ayres_2006!$W$78</f>
        <v>6.9635999999999996</v>
      </c>
      <c r="Q30" s="3">
        <f>ChemEnergy!$A$2</f>
        <v>5.2</v>
      </c>
      <c r="R30" s="3">
        <f>Kumar_2020!$D$2</f>
        <v>7.7265499999999996</v>
      </c>
      <c r="T30" s="3">
        <f>Kumar_2020!$B$28</f>
        <v>2.38119718536</v>
      </c>
      <c r="U30" s="3">
        <f>Kumar_2020!$B$27</f>
        <v>7.6226599999999998</v>
      </c>
      <c r="W30" s="3">
        <f>Kumar_2020!$B$31</f>
        <v>1923.15</v>
      </c>
      <c r="X30" s="3">
        <f>Hajidavalloo_2013!$B$2</f>
        <v>1873.15</v>
      </c>
      <c r="Z30" s="11">
        <f t="shared" si="3"/>
        <v>0.25</v>
      </c>
      <c r="AA30" s="11">
        <f t="shared" si="4"/>
        <v>0.10833333333333334</v>
      </c>
      <c r="AB30" s="11"/>
      <c r="AC30">
        <f t="shared" si="5"/>
        <v>0.84756779242388791</v>
      </c>
      <c r="AD30">
        <f t="shared" si="6"/>
        <v>0.84349891893334761</v>
      </c>
      <c r="AF30" s="12">
        <f t="shared" si="7"/>
        <v>0.21189194810597198</v>
      </c>
      <c r="AG30" s="12">
        <f t="shared" si="8"/>
        <v>9.1379049551112659E-2</v>
      </c>
      <c r="AJ30" s="11">
        <f>Freuhan_2000!$C$2/E30</f>
        <v>0.25</v>
      </c>
      <c r="AK30" s="11">
        <f>Freuhan_2000!$D$2/Calcs_ChemEx!F30</f>
        <v>0.10833333333333334</v>
      </c>
      <c r="AL30" s="11"/>
      <c r="AM30" s="14">
        <f t="shared" si="0"/>
        <v>0.97804430379746821</v>
      </c>
      <c r="AN30" s="14">
        <f t="shared" si="9"/>
        <v>5.9434999999999993</v>
      </c>
      <c r="AO30" s="14"/>
      <c r="AP30" s="11">
        <f t="shared" si="10"/>
        <v>0.24451107594936705</v>
      </c>
      <c r="AQ30" s="11">
        <f t="shared" si="11"/>
        <v>0.64387916666666667</v>
      </c>
      <c r="AR30" s="11"/>
      <c r="AT30" s="12">
        <f t="shared" si="12"/>
        <v>0.16455696202531644</v>
      </c>
      <c r="AU30" s="12">
        <f t="shared" si="13"/>
        <v>0.43333333333333335</v>
      </c>
      <c r="AV30" s="12"/>
      <c r="AW30">
        <f t="shared" si="14"/>
        <v>1.4858749999999998</v>
      </c>
      <c r="AX30">
        <f t="shared" si="14"/>
        <v>1.4858749999999998</v>
      </c>
      <c r="AZ30" s="12">
        <f t="shared" si="15"/>
        <v>0.24451107594936705</v>
      </c>
      <c r="BA30" s="12">
        <f t="shared" si="16"/>
        <v>0.64387916666666667</v>
      </c>
      <c r="BJ30" s="12">
        <f t="shared" si="17"/>
        <v>0.22737721563644031</v>
      </c>
      <c r="BK30" s="12">
        <f t="shared" si="18"/>
        <v>0.39375650396021739</v>
      </c>
    </row>
    <row r="31" spans="1:63">
      <c r="A31" s="3">
        <v>1987</v>
      </c>
      <c r="B31" s="4"/>
      <c r="C31" s="4"/>
      <c r="D31" s="4"/>
      <c r="E31" s="4">
        <v>31.2</v>
      </c>
      <c r="F31" s="4">
        <v>12</v>
      </c>
      <c r="G31" s="4">
        <v>54.4</v>
      </c>
      <c r="H31" s="3" t="s">
        <v>9</v>
      </c>
      <c r="J31" s="3">
        <f>Freuhan_2000!$C$2</f>
        <v>7.9</v>
      </c>
      <c r="K31" s="3">
        <f>Freuhan_2000!$D$2</f>
        <v>1.3</v>
      </c>
      <c r="L31" s="3">
        <f>Freuhan_2000!$E$2</f>
        <v>7.9</v>
      </c>
      <c r="N31" s="3">
        <f>ChemExergy!$B$5</f>
        <v>0.10909999999999999</v>
      </c>
      <c r="O31" s="3">
        <f>ChemExergy!$B$8</f>
        <v>0.21149999999999999</v>
      </c>
      <c r="P31" s="3">
        <f>Ayres_2006!$W$78</f>
        <v>6.9635999999999996</v>
      </c>
      <c r="Q31" s="3">
        <f>ChemEnergy!$A$2</f>
        <v>5.2</v>
      </c>
      <c r="R31" s="3">
        <f>Kumar_2020!$D$2</f>
        <v>7.7265499999999996</v>
      </c>
      <c r="T31" s="3">
        <f>Kumar_2020!$B$28</f>
        <v>2.38119718536</v>
      </c>
      <c r="U31" s="3">
        <f>Kumar_2020!$B$27</f>
        <v>7.6226599999999998</v>
      </c>
      <c r="W31" s="3">
        <f>Kumar_2020!$B$31</f>
        <v>1923.15</v>
      </c>
      <c r="X31" s="3">
        <f>Hajidavalloo_2013!$B$2</f>
        <v>1873.15</v>
      </c>
      <c r="Z31" s="11">
        <f t="shared" si="3"/>
        <v>0.25320512820512825</v>
      </c>
      <c r="AA31" s="11">
        <f t="shared" si="4"/>
        <v>0.10833333333333334</v>
      </c>
      <c r="AB31" s="11"/>
      <c r="AC31">
        <f t="shared" si="5"/>
        <v>0.84756779242388791</v>
      </c>
      <c r="AD31">
        <f t="shared" si="6"/>
        <v>0.84349891893334761</v>
      </c>
      <c r="AF31" s="12">
        <f t="shared" si="7"/>
        <v>0.21460851154322808</v>
      </c>
      <c r="AG31" s="12">
        <f t="shared" si="8"/>
        <v>9.1379049551112659E-2</v>
      </c>
      <c r="AJ31" s="11">
        <f>Freuhan_2000!$C$2/E31</f>
        <v>0.25320512820512825</v>
      </c>
      <c r="AK31" s="11">
        <f>Freuhan_2000!$D$2/Calcs_ChemEx!F31</f>
        <v>0.10833333333333334</v>
      </c>
      <c r="AL31" s="11"/>
      <c r="AM31" s="14">
        <f t="shared" si="0"/>
        <v>0.97804430379746821</v>
      </c>
      <c r="AN31" s="14">
        <f t="shared" si="9"/>
        <v>5.9434999999999993</v>
      </c>
      <c r="AO31" s="14"/>
      <c r="AP31" s="11">
        <f t="shared" si="10"/>
        <v>0.24764583333333334</v>
      </c>
      <c r="AQ31" s="11">
        <f t="shared" si="11"/>
        <v>0.64387916666666667</v>
      </c>
      <c r="AR31" s="11"/>
      <c r="AT31" s="12">
        <f t="shared" si="12"/>
        <v>0.16666666666666669</v>
      </c>
      <c r="AU31" s="12">
        <f t="shared" si="13"/>
        <v>0.43333333333333335</v>
      </c>
      <c r="AV31" s="12"/>
      <c r="AW31">
        <f t="shared" si="14"/>
        <v>1.4858749999999998</v>
      </c>
      <c r="AX31">
        <f t="shared" si="14"/>
        <v>1.4858749999999998</v>
      </c>
      <c r="AZ31" s="12">
        <f t="shared" si="15"/>
        <v>0.24764583333333334</v>
      </c>
      <c r="BA31" s="12">
        <f t="shared" si="16"/>
        <v>0.64387916666666667</v>
      </c>
      <c r="BJ31" s="12">
        <f t="shared" si="17"/>
        <v>0.23008560288518998</v>
      </c>
      <c r="BK31" s="12">
        <f t="shared" si="18"/>
        <v>0.39375650396021739</v>
      </c>
    </row>
    <row r="32" spans="1:63">
      <c r="A32" s="3">
        <v>1988</v>
      </c>
      <c r="B32" s="4"/>
      <c r="C32" s="4"/>
      <c r="D32" s="4"/>
      <c r="E32" s="4">
        <v>30.8</v>
      </c>
      <c r="F32" s="4">
        <v>12</v>
      </c>
      <c r="G32" s="4">
        <v>53.6</v>
      </c>
      <c r="H32" s="3" t="s">
        <v>9</v>
      </c>
      <c r="J32" s="3">
        <f>Freuhan_2000!$C$2</f>
        <v>7.9</v>
      </c>
      <c r="K32" s="3">
        <f>Freuhan_2000!$D$2</f>
        <v>1.3</v>
      </c>
      <c r="L32" s="3">
        <f>Freuhan_2000!$E$2</f>
        <v>7.9</v>
      </c>
      <c r="N32" s="3">
        <f>ChemExergy!$B$5</f>
        <v>0.10909999999999999</v>
      </c>
      <c r="O32" s="3">
        <f>ChemExergy!$B$8</f>
        <v>0.21149999999999999</v>
      </c>
      <c r="P32" s="3">
        <f>Ayres_2006!$W$78</f>
        <v>6.9635999999999996</v>
      </c>
      <c r="Q32" s="3">
        <f>ChemEnergy!$A$2</f>
        <v>5.2</v>
      </c>
      <c r="R32" s="3">
        <f>Kumar_2020!$D$2</f>
        <v>7.7265499999999996</v>
      </c>
      <c r="T32" s="3">
        <f>Kumar_2020!$B$28</f>
        <v>2.38119718536</v>
      </c>
      <c r="U32" s="3">
        <f>Kumar_2020!$B$27</f>
        <v>7.6226599999999998</v>
      </c>
      <c r="W32" s="3">
        <f>Kumar_2020!$B$31</f>
        <v>1923.15</v>
      </c>
      <c r="X32" s="3">
        <f>Hajidavalloo_2013!$B$2</f>
        <v>1873.15</v>
      </c>
      <c r="Z32" s="11">
        <f t="shared" si="3"/>
        <v>0.2564935064935065</v>
      </c>
      <c r="AA32" s="11">
        <f t="shared" si="4"/>
        <v>0.10833333333333334</v>
      </c>
      <c r="AB32" s="11"/>
      <c r="AC32">
        <f t="shared" si="5"/>
        <v>0.84756779242388791</v>
      </c>
      <c r="AD32">
        <f t="shared" si="6"/>
        <v>0.84349891893334761</v>
      </c>
      <c r="AF32" s="12">
        <f t="shared" si="7"/>
        <v>0.21739563506976345</v>
      </c>
      <c r="AG32" s="12">
        <f t="shared" si="8"/>
        <v>9.1379049551112659E-2</v>
      </c>
      <c r="AJ32" s="11">
        <f>Freuhan_2000!$C$2/E32</f>
        <v>0.2564935064935065</v>
      </c>
      <c r="AK32" s="11">
        <f>Freuhan_2000!$D$2/Calcs_ChemEx!F32</f>
        <v>0.10833333333333334</v>
      </c>
      <c r="AL32" s="11"/>
      <c r="AM32" s="14">
        <f t="shared" si="0"/>
        <v>0.97804430379746821</v>
      </c>
      <c r="AN32" s="14">
        <f t="shared" si="9"/>
        <v>5.9434999999999993</v>
      </c>
      <c r="AO32" s="14"/>
      <c r="AP32" s="11">
        <f t="shared" si="10"/>
        <v>0.25086201298701294</v>
      </c>
      <c r="AQ32" s="11">
        <f t="shared" si="11"/>
        <v>0.64387916666666667</v>
      </c>
      <c r="AR32" s="11"/>
      <c r="AT32" s="12">
        <f t="shared" si="12"/>
        <v>0.16883116883116883</v>
      </c>
      <c r="AU32" s="12">
        <f t="shared" si="13"/>
        <v>0.43333333333333335</v>
      </c>
      <c r="AV32" s="12"/>
      <c r="AW32">
        <f t="shared" si="14"/>
        <v>1.4858749999999998</v>
      </c>
      <c r="AX32">
        <f t="shared" si="14"/>
        <v>1.4858749999999998</v>
      </c>
      <c r="AZ32" s="12">
        <f t="shared" si="15"/>
        <v>0.25086201298701294</v>
      </c>
      <c r="BA32" s="12">
        <f t="shared" si="16"/>
        <v>0.64387916666666667</v>
      </c>
      <c r="BJ32" s="12">
        <f t="shared" si="17"/>
        <v>0.23285928945954548</v>
      </c>
      <c r="BK32" s="12">
        <f t="shared" si="18"/>
        <v>0.39375650396021739</v>
      </c>
    </row>
    <row r="33" spans="1:63">
      <c r="A33" s="3">
        <v>1989</v>
      </c>
      <c r="B33" s="4"/>
      <c r="C33" s="4"/>
      <c r="D33" s="4"/>
      <c r="E33" s="4">
        <v>30.4</v>
      </c>
      <c r="F33" s="4">
        <v>12</v>
      </c>
      <c r="G33" s="4">
        <v>52.8</v>
      </c>
      <c r="H33" s="3" t="s">
        <v>9</v>
      </c>
      <c r="J33" s="3">
        <f>Freuhan_2000!$C$2</f>
        <v>7.9</v>
      </c>
      <c r="K33" s="3">
        <f>Freuhan_2000!$D$2</f>
        <v>1.3</v>
      </c>
      <c r="L33" s="3">
        <f>Freuhan_2000!$E$2</f>
        <v>7.9</v>
      </c>
      <c r="N33" s="3">
        <f>ChemExergy!$B$5</f>
        <v>0.10909999999999999</v>
      </c>
      <c r="O33" s="3">
        <f>ChemExergy!$B$8</f>
        <v>0.21149999999999999</v>
      </c>
      <c r="P33" s="3">
        <f>Ayres_2006!$W$78</f>
        <v>6.9635999999999996</v>
      </c>
      <c r="Q33" s="3">
        <f>ChemEnergy!$A$2</f>
        <v>5.2</v>
      </c>
      <c r="R33" s="3">
        <f>Kumar_2020!$D$2</f>
        <v>7.7265499999999996</v>
      </c>
      <c r="T33" s="3">
        <f>Kumar_2020!$B$28</f>
        <v>2.38119718536</v>
      </c>
      <c r="U33" s="3">
        <f>Kumar_2020!$B$27</f>
        <v>7.6226599999999998</v>
      </c>
      <c r="W33" s="3">
        <f>Kumar_2020!$B$31</f>
        <v>1923.15</v>
      </c>
      <c r="X33" s="3">
        <f>Hajidavalloo_2013!$B$2</f>
        <v>1873.15</v>
      </c>
      <c r="Z33" s="11">
        <f t="shared" si="3"/>
        <v>0.25986842105263158</v>
      </c>
      <c r="AA33" s="11">
        <f t="shared" si="4"/>
        <v>0.10833333333333334</v>
      </c>
      <c r="AB33" s="11"/>
      <c r="AC33">
        <f t="shared" si="5"/>
        <v>0.84756779242388791</v>
      </c>
      <c r="AD33">
        <f t="shared" si="6"/>
        <v>0.84349891893334761</v>
      </c>
      <c r="AF33" s="12">
        <f t="shared" si="7"/>
        <v>0.22025610395226033</v>
      </c>
      <c r="AG33" s="12">
        <f t="shared" si="8"/>
        <v>9.1379049551112659E-2</v>
      </c>
      <c r="AJ33" s="11">
        <f>Freuhan_2000!$C$2/E33</f>
        <v>0.25986842105263158</v>
      </c>
      <c r="AK33" s="11">
        <f>Freuhan_2000!$D$2/Calcs_ChemEx!F33</f>
        <v>0.10833333333333334</v>
      </c>
      <c r="AL33" s="11"/>
      <c r="AM33" s="14">
        <f t="shared" si="0"/>
        <v>0.97804430379746821</v>
      </c>
      <c r="AN33" s="14">
        <f t="shared" si="9"/>
        <v>5.9434999999999993</v>
      </c>
      <c r="AO33" s="14"/>
      <c r="AP33" s="11">
        <f t="shared" si="10"/>
        <v>0.25416282894736836</v>
      </c>
      <c r="AQ33" s="11">
        <f t="shared" si="11"/>
        <v>0.64387916666666667</v>
      </c>
      <c r="AR33" s="11"/>
      <c r="AT33" s="12">
        <f t="shared" si="12"/>
        <v>0.17105263157894737</v>
      </c>
      <c r="AU33" s="12">
        <f t="shared" si="13"/>
        <v>0.43333333333333335</v>
      </c>
      <c r="AV33" s="12"/>
      <c r="AW33">
        <f t="shared" si="14"/>
        <v>1.4858749999999998</v>
      </c>
      <c r="AX33">
        <f t="shared" si="14"/>
        <v>1.4858749999999998</v>
      </c>
      <c r="AZ33" s="12">
        <f t="shared" si="15"/>
        <v>0.25416282894736841</v>
      </c>
      <c r="BA33" s="12">
        <f t="shared" si="16"/>
        <v>0.64387916666666667</v>
      </c>
      <c r="BJ33" s="12">
        <f t="shared" si="17"/>
        <v>0.23570066572951939</v>
      </c>
      <c r="BK33" s="12">
        <f t="shared" si="18"/>
        <v>0.39375650396021739</v>
      </c>
    </row>
    <row r="34" spans="1:63">
      <c r="A34" s="3">
        <v>1990</v>
      </c>
      <c r="B34" s="4">
        <f>WorldSteel!E14</f>
        <v>30</v>
      </c>
      <c r="C34" s="4">
        <f>WorldSteel!F14</f>
        <v>12</v>
      </c>
      <c r="D34" s="4">
        <f>WorldSteel!G14</f>
        <v>52</v>
      </c>
      <c r="E34" s="4">
        <v>30</v>
      </c>
      <c r="F34" s="4">
        <v>12</v>
      </c>
      <c r="G34" s="4">
        <v>52</v>
      </c>
      <c r="H34" s="3" t="s">
        <v>8</v>
      </c>
      <c r="J34" s="3">
        <f>Freuhan_2000!$C$2</f>
        <v>7.9</v>
      </c>
      <c r="K34" s="3">
        <f>Freuhan_2000!$D$2</f>
        <v>1.3</v>
      </c>
      <c r="L34" s="3">
        <f>Freuhan_2000!$E$2</f>
        <v>7.9</v>
      </c>
      <c r="N34" s="3">
        <f>ChemExergy!$B$5</f>
        <v>0.10909999999999999</v>
      </c>
      <c r="O34" s="3">
        <f>ChemExergy!$B$8</f>
        <v>0.21149999999999999</v>
      </c>
      <c r="P34" s="3">
        <f>Ayres_2006!$W$78</f>
        <v>6.9635999999999996</v>
      </c>
      <c r="Q34" s="3">
        <f>ChemEnergy!$A$2</f>
        <v>5.2</v>
      </c>
      <c r="R34" s="3">
        <f>Kumar_2020!$D$2</f>
        <v>7.7265499999999996</v>
      </c>
      <c r="T34" s="3">
        <f>Kumar_2020!$B$28</f>
        <v>2.38119718536</v>
      </c>
      <c r="U34" s="3">
        <f>Kumar_2020!$B$27</f>
        <v>7.6226599999999998</v>
      </c>
      <c r="W34" s="3">
        <f>Kumar_2020!$B$31</f>
        <v>1923.15</v>
      </c>
      <c r="X34" s="3">
        <f>Hajidavalloo_2013!$B$2</f>
        <v>1873.15</v>
      </c>
      <c r="Z34" s="11">
        <f t="shared" si="3"/>
        <v>0.26333333333333336</v>
      </c>
      <c r="AA34" s="11">
        <f t="shared" si="4"/>
        <v>0.10833333333333334</v>
      </c>
      <c r="AB34" s="11"/>
      <c r="AC34">
        <f t="shared" si="5"/>
        <v>0.84756779242388791</v>
      </c>
      <c r="AD34">
        <f t="shared" si="6"/>
        <v>0.84349891893334761</v>
      </c>
      <c r="AF34" s="12">
        <f t="shared" si="7"/>
        <v>0.22319285200495717</v>
      </c>
      <c r="AG34" s="12">
        <f t="shared" si="8"/>
        <v>9.1379049551112659E-2</v>
      </c>
      <c r="AJ34" s="11">
        <f>Freuhan_2000!$C$2/E34</f>
        <v>0.26333333333333336</v>
      </c>
      <c r="AK34" s="11">
        <f>Freuhan_2000!$D$2/Calcs_ChemEx!F34</f>
        <v>0.10833333333333334</v>
      </c>
      <c r="AL34" s="11"/>
      <c r="AM34" s="14">
        <f t="shared" si="0"/>
        <v>0.97804430379746821</v>
      </c>
      <c r="AN34" s="14">
        <f t="shared" si="9"/>
        <v>5.9434999999999993</v>
      </c>
      <c r="AO34" s="14"/>
      <c r="AP34" s="11">
        <f t="shared" si="10"/>
        <v>0.25755166666666668</v>
      </c>
      <c r="AQ34" s="11">
        <f t="shared" si="11"/>
        <v>0.64387916666666667</v>
      </c>
      <c r="AR34" s="11"/>
      <c r="AT34" s="12">
        <f t="shared" si="12"/>
        <v>0.17333333333333334</v>
      </c>
      <c r="AU34" s="12">
        <f t="shared" si="13"/>
        <v>0.43333333333333335</v>
      </c>
      <c r="AV34" s="12"/>
      <c r="AW34">
        <f t="shared" si="14"/>
        <v>1.4858749999999998</v>
      </c>
      <c r="AX34">
        <f t="shared" si="14"/>
        <v>1.4858749999999998</v>
      </c>
      <c r="AZ34" s="12">
        <f t="shared" si="15"/>
        <v>0.25755166666666662</v>
      </c>
      <c r="BA34" s="12">
        <f t="shared" si="16"/>
        <v>0.64387916666666667</v>
      </c>
      <c r="BJ34" s="12">
        <f t="shared" si="17"/>
        <v>0.23861224017663196</v>
      </c>
      <c r="BK34" s="12">
        <f t="shared" si="18"/>
        <v>0.39375650396021739</v>
      </c>
    </row>
    <row r="35" spans="1:63">
      <c r="A35" s="3">
        <v>1991</v>
      </c>
      <c r="B35" s="4"/>
      <c r="C35" s="4"/>
      <c r="D35" s="4"/>
      <c r="E35" s="4">
        <v>29.6</v>
      </c>
      <c r="F35" s="4">
        <v>11.9</v>
      </c>
      <c r="G35" s="4">
        <v>51.2</v>
      </c>
      <c r="H35" s="3" t="s">
        <v>9</v>
      </c>
      <c r="J35" s="3">
        <f>Freuhan_2000!$C$2</f>
        <v>7.9</v>
      </c>
      <c r="K35" s="3">
        <f>Freuhan_2000!$D$2</f>
        <v>1.3</v>
      </c>
      <c r="L35" s="3">
        <f>Freuhan_2000!$E$2</f>
        <v>7.9</v>
      </c>
      <c r="N35" s="3">
        <f>ChemExergy!$B$5</f>
        <v>0.10909999999999999</v>
      </c>
      <c r="O35" s="3">
        <f>ChemExergy!$B$8</f>
        <v>0.21149999999999999</v>
      </c>
      <c r="P35" s="3">
        <f>Ayres_2006!$W$78</f>
        <v>6.9635999999999996</v>
      </c>
      <c r="Q35" s="3">
        <f>ChemEnergy!$A$2</f>
        <v>5.2</v>
      </c>
      <c r="R35" s="3">
        <f>Kumar_2020!$D$2</f>
        <v>7.7265499999999996</v>
      </c>
      <c r="T35" s="3">
        <f>Kumar_2020!$B$28</f>
        <v>2.38119718536</v>
      </c>
      <c r="U35" s="3">
        <f>Kumar_2020!$B$27</f>
        <v>7.6226599999999998</v>
      </c>
      <c r="W35" s="3">
        <f>Kumar_2020!$B$31</f>
        <v>1923.15</v>
      </c>
      <c r="X35" s="3">
        <f>Hajidavalloo_2013!$B$2</f>
        <v>1873.15</v>
      </c>
      <c r="Z35" s="11">
        <f t="shared" si="3"/>
        <v>0.26689189189189189</v>
      </c>
      <c r="AA35" s="11">
        <f t="shared" si="4"/>
        <v>0.1092436974789916</v>
      </c>
      <c r="AB35" s="11"/>
      <c r="AC35">
        <f t="shared" si="5"/>
        <v>0.84756779242388791</v>
      </c>
      <c r="AD35">
        <f t="shared" si="6"/>
        <v>0.84349891893334761</v>
      </c>
      <c r="AF35" s="12">
        <f t="shared" si="7"/>
        <v>0.22620897162664574</v>
      </c>
      <c r="AG35" s="12">
        <f t="shared" si="8"/>
        <v>9.2146940723811077E-2</v>
      </c>
      <c r="AJ35" s="11">
        <f>Freuhan_2000!$C$2/E35</f>
        <v>0.26689189189189189</v>
      </c>
      <c r="AK35" s="11">
        <f>Freuhan_2000!$D$2/Calcs_ChemEx!F35</f>
        <v>0.1092436974789916</v>
      </c>
      <c r="AL35" s="11"/>
      <c r="AM35" s="14">
        <f t="shared" si="0"/>
        <v>0.97804430379746821</v>
      </c>
      <c r="AN35" s="14">
        <f t="shared" si="9"/>
        <v>5.9434999999999993</v>
      </c>
      <c r="AO35" s="14"/>
      <c r="AP35" s="11">
        <f t="shared" si="10"/>
        <v>0.26103209459459453</v>
      </c>
      <c r="AQ35" s="11">
        <f t="shared" si="11"/>
        <v>0.64928991596638652</v>
      </c>
      <c r="AR35" s="11"/>
      <c r="AT35" s="12">
        <f t="shared" si="12"/>
        <v>0.17567567567567569</v>
      </c>
      <c r="AU35" s="12">
        <f t="shared" si="13"/>
        <v>0.43697478991596639</v>
      </c>
      <c r="AV35" s="12"/>
      <c r="AW35">
        <f t="shared" si="14"/>
        <v>1.4858749999999998</v>
      </c>
      <c r="AX35">
        <f t="shared" si="14"/>
        <v>1.4858749999999998</v>
      </c>
      <c r="AZ35" s="12">
        <f t="shared" si="15"/>
        <v>0.26103209459459459</v>
      </c>
      <c r="BA35" s="12">
        <f t="shared" si="16"/>
        <v>0.64928991596638652</v>
      </c>
      <c r="BJ35" s="12">
        <f t="shared" si="17"/>
        <v>0.24159664678022041</v>
      </c>
      <c r="BK35" s="12">
        <f t="shared" si="18"/>
        <v>0.3957734243182025</v>
      </c>
    </row>
    <row r="36" spans="1:63">
      <c r="A36" s="3">
        <v>1992</v>
      </c>
      <c r="B36" s="4"/>
      <c r="C36" s="4"/>
      <c r="D36" s="4"/>
      <c r="E36" s="4">
        <v>29.2</v>
      </c>
      <c r="F36" s="4">
        <v>11.8</v>
      </c>
      <c r="G36" s="4">
        <v>50.4</v>
      </c>
      <c r="H36" s="3" t="s">
        <v>9</v>
      </c>
      <c r="J36" s="3">
        <f>Freuhan_2000!$C$2</f>
        <v>7.9</v>
      </c>
      <c r="K36" s="3">
        <f>Freuhan_2000!$D$2</f>
        <v>1.3</v>
      </c>
      <c r="L36" s="3">
        <f>Freuhan_2000!$E$2</f>
        <v>7.9</v>
      </c>
      <c r="N36" s="3">
        <f>ChemExergy!$B$5</f>
        <v>0.10909999999999999</v>
      </c>
      <c r="O36" s="3">
        <f>ChemExergy!$B$8</f>
        <v>0.21149999999999999</v>
      </c>
      <c r="P36" s="3">
        <f>Ayres_2006!$W$78</f>
        <v>6.9635999999999996</v>
      </c>
      <c r="Q36" s="3">
        <f>ChemEnergy!$A$2</f>
        <v>5.2</v>
      </c>
      <c r="R36" s="3">
        <f>Kumar_2020!$D$2</f>
        <v>7.7265499999999996</v>
      </c>
      <c r="T36" s="3">
        <f>Kumar_2020!$B$28</f>
        <v>2.38119718536</v>
      </c>
      <c r="U36" s="3">
        <f>Kumar_2020!$B$27</f>
        <v>7.6226599999999998</v>
      </c>
      <c r="W36" s="3">
        <f>Kumar_2020!$B$31</f>
        <v>1923.15</v>
      </c>
      <c r="X36" s="3">
        <f>Hajidavalloo_2013!$B$2</f>
        <v>1873.15</v>
      </c>
      <c r="Z36" s="11">
        <f t="shared" si="3"/>
        <v>0.27054794520547948</v>
      </c>
      <c r="AA36" s="11">
        <f t="shared" si="4"/>
        <v>0.11016949152542373</v>
      </c>
      <c r="AB36" s="11"/>
      <c r="AC36">
        <f t="shared" si="5"/>
        <v>0.84756779242388791</v>
      </c>
      <c r="AD36">
        <f t="shared" si="6"/>
        <v>0.84349891893334761</v>
      </c>
      <c r="AF36" s="12">
        <f t="shared" si="7"/>
        <v>0.22930772466262722</v>
      </c>
      <c r="AG36" s="12">
        <f t="shared" si="8"/>
        <v>9.2927847001131519E-2</v>
      </c>
      <c r="AJ36" s="11">
        <f>Freuhan_2000!$C$2/E36</f>
        <v>0.27054794520547948</v>
      </c>
      <c r="AK36" s="11">
        <f>Freuhan_2000!$D$2/Calcs_ChemEx!F36</f>
        <v>0.11016949152542373</v>
      </c>
      <c r="AL36" s="11"/>
      <c r="AM36" s="14">
        <f t="shared" ref="AM36:AM64" si="19">$R36/J36</f>
        <v>0.97804430379746821</v>
      </c>
      <c r="AN36" s="14">
        <f t="shared" si="9"/>
        <v>5.9434999999999993</v>
      </c>
      <c r="AO36" s="14"/>
      <c r="AP36" s="11">
        <f t="shared" si="10"/>
        <v>0.26460787671232877</v>
      </c>
      <c r="AQ36" s="11">
        <f t="shared" si="11"/>
        <v>0.65479237288135583</v>
      </c>
      <c r="AR36" s="11"/>
      <c r="AT36" s="12">
        <f t="shared" si="12"/>
        <v>0.17808219178082194</v>
      </c>
      <c r="AU36" s="12">
        <f t="shared" si="13"/>
        <v>0.44067796610169491</v>
      </c>
      <c r="AV36" s="12"/>
      <c r="AW36">
        <f t="shared" si="14"/>
        <v>1.4858749999999998</v>
      </c>
      <c r="AX36">
        <f t="shared" si="14"/>
        <v>1.4858749999999998</v>
      </c>
      <c r="AZ36" s="12">
        <f t="shared" si="15"/>
        <v>0.26460787671232877</v>
      </c>
      <c r="BA36" s="12">
        <f t="shared" si="16"/>
        <v>0.65479237288135583</v>
      </c>
      <c r="BJ36" s="12">
        <f t="shared" si="17"/>
        <v>0.24465665296506786</v>
      </c>
      <c r="BK36" s="12">
        <f t="shared" si="18"/>
        <v>0.39781111341083042</v>
      </c>
    </row>
    <row r="37" spans="1:63">
      <c r="A37" s="3">
        <v>1993</v>
      </c>
      <c r="B37" s="4"/>
      <c r="C37" s="4"/>
      <c r="D37" s="4"/>
      <c r="E37" s="4">
        <v>28.8</v>
      </c>
      <c r="F37" s="4">
        <v>11.7</v>
      </c>
      <c r="G37" s="4">
        <v>49.6</v>
      </c>
      <c r="H37" s="3" t="s">
        <v>9</v>
      </c>
      <c r="J37" s="3">
        <f>Freuhan_2000!$C$2</f>
        <v>7.9</v>
      </c>
      <c r="K37" s="3">
        <f>Freuhan_2000!$D$2</f>
        <v>1.3</v>
      </c>
      <c r="L37" s="3">
        <f>Freuhan_2000!$E$2</f>
        <v>7.9</v>
      </c>
      <c r="N37" s="3">
        <f>ChemExergy!$B$5</f>
        <v>0.10909999999999999</v>
      </c>
      <c r="O37" s="3">
        <f>ChemExergy!$B$8</f>
        <v>0.21149999999999999</v>
      </c>
      <c r="P37" s="3">
        <f>Ayres_2006!$W$78</f>
        <v>6.9635999999999996</v>
      </c>
      <c r="Q37" s="3">
        <f>ChemEnergy!$A$2</f>
        <v>5.2</v>
      </c>
      <c r="R37" s="3">
        <f>Kumar_2020!$D$2</f>
        <v>7.7265499999999996</v>
      </c>
      <c r="T37" s="3">
        <f>Kumar_2020!$B$28</f>
        <v>2.38119718536</v>
      </c>
      <c r="U37" s="3">
        <f>Kumar_2020!$B$27</f>
        <v>7.6226599999999998</v>
      </c>
      <c r="W37" s="3">
        <f>Kumar_2020!$B$31</f>
        <v>1923.15</v>
      </c>
      <c r="X37" s="3">
        <f>Hajidavalloo_2013!$B$2</f>
        <v>1873.15</v>
      </c>
      <c r="Z37" s="11">
        <f t="shared" si="3"/>
        <v>0.27430555555555558</v>
      </c>
      <c r="AA37" s="11">
        <f t="shared" si="4"/>
        <v>0.11111111111111112</v>
      </c>
      <c r="AB37" s="11"/>
      <c r="AC37">
        <f t="shared" si="5"/>
        <v>0.84756779242388791</v>
      </c>
      <c r="AD37">
        <f t="shared" si="6"/>
        <v>0.84349891893334761</v>
      </c>
      <c r="AF37" s="12">
        <f t="shared" si="7"/>
        <v>0.23249255417183037</v>
      </c>
      <c r="AG37" s="12">
        <f t="shared" si="8"/>
        <v>9.3722102103705296E-2</v>
      </c>
      <c r="AJ37" s="11">
        <f>Freuhan_2000!$C$2/E37</f>
        <v>0.27430555555555558</v>
      </c>
      <c r="AK37" s="11">
        <f>Freuhan_2000!$D$2/Calcs_ChemEx!F37</f>
        <v>0.11111111111111112</v>
      </c>
      <c r="AL37" s="11"/>
      <c r="AM37" s="14">
        <f t="shared" si="19"/>
        <v>0.97804430379746821</v>
      </c>
      <c r="AN37" s="14">
        <f t="shared" ref="AN37:AN64" si="20">$R37/K37</f>
        <v>5.9434999999999993</v>
      </c>
      <c r="AO37" s="14"/>
      <c r="AP37" s="11">
        <f t="shared" si="10"/>
        <v>0.26828298611111112</v>
      </c>
      <c r="AQ37" s="11">
        <f t="shared" si="11"/>
        <v>0.66038888888888891</v>
      </c>
      <c r="AR37" s="11"/>
      <c r="AT37" s="12">
        <f t="shared" si="12"/>
        <v>0.18055555555555555</v>
      </c>
      <c r="AU37" s="12">
        <f t="shared" si="13"/>
        <v>0.44444444444444448</v>
      </c>
      <c r="AV37" s="12"/>
      <c r="AW37">
        <f t="shared" ref="AW37:AX64" si="21">$R37/$Q37</f>
        <v>1.4858749999999998</v>
      </c>
      <c r="AX37">
        <f t="shared" si="21"/>
        <v>1.4858749999999998</v>
      </c>
      <c r="AZ37" s="12">
        <f t="shared" si="15"/>
        <v>0.26828298611111107</v>
      </c>
      <c r="BA37" s="12">
        <f t="shared" si="16"/>
        <v>0.66038888888888891</v>
      </c>
      <c r="BJ37" s="12">
        <f t="shared" si="17"/>
        <v>0.24779516816075683</v>
      </c>
      <c r="BK37" s="12">
        <f t="shared" si="18"/>
        <v>0.3998698936895852</v>
      </c>
    </row>
    <row r="38" spans="1:63">
      <c r="A38" s="3">
        <v>1994</v>
      </c>
      <c r="B38" s="4"/>
      <c r="C38" s="4"/>
      <c r="D38" s="4"/>
      <c r="E38" s="4">
        <v>28.4</v>
      </c>
      <c r="F38" s="4">
        <v>11.6</v>
      </c>
      <c r="G38" s="4">
        <v>48.8</v>
      </c>
      <c r="H38" s="3" t="s">
        <v>9</v>
      </c>
      <c r="J38" s="3">
        <f>Freuhan_2000!$C$2</f>
        <v>7.9</v>
      </c>
      <c r="K38" s="3">
        <f>Freuhan_2000!$D$2</f>
        <v>1.3</v>
      </c>
      <c r="L38" s="3">
        <f>Freuhan_2000!$E$2</f>
        <v>7.9</v>
      </c>
      <c r="N38" s="3">
        <f>ChemExergy!$B$5</f>
        <v>0.10909999999999999</v>
      </c>
      <c r="O38" s="3">
        <f>ChemExergy!$B$8</f>
        <v>0.21149999999999999</v>
      </c>
      <c r="P38" s="3">
        <f>Ayres_2006!$W$78</f>
        <v>6.9635999999999996</v>
      </c>
      <c r="Q38" s="3">
        <f>ChemEnergy!$A$2</f>
        <v>5.2</v>
      </c>
      <c r="R38" s="3">
        <f>Kumar_2020!$D$2</f>
        <v>7.7265499999999996</v>
      </c>
      <c r="T38" s="3">
        <f>Kumar_2020!$B$28</f>
        <v>2.38119718536</v>
      </c>
      <c r="U38" s="3">
        <f>Kumar_2020!$B$27</f>
        <v>7.6226599999999998</v>
      </c>
      <c r="W38" s="3">
        <f>Kumar_2020!$B$31</f>
        <v>1923.15</v>
      </c>
      <c r="X38" s="3">
        <f>Hajidavalloo_2013!$B$2</f>
        <v>1873.15</v>
      </c>
      <c r="Z38" s="11">
        <f t="shared" si="3"/>
        <v>0.27816901408450706</v>
      </c>
      <c r="AA38" s="11">
        <f t="shared" si="4"/>
        <v>0.11206896551724138</v>
      </c>
      <c r="AB38" s="11"/>
      <c r="AC38">
        <f t="shared" si="5"/>
        <v>0.84756779242388791</v>
      </c>
      <c r="AD38">
        <f t="shared" si="6"/>
        <v>0.84349891893334761</v>
      </c>
      <c r="AF38" s="12">
        <f t="shared" si="7"/>
        <v>0.23576709718833502</v>
      </c>
      <c r="AG38" s="12">
        <f t="shared" si="8"/>
        <v>9.4530051259771722E-2</v>
      </c>
      <c r="AJ38" s="11">
        <f>Freuhan_2000!$C$2/E38</f>
        <v>0.27816901408450706</v>
      </c>
      <c r="AK38" s="11">
        <f>Freuhan_2000!$D$2/Calcs_ChemEx!F38</f>
        <v>0.11206896551724138</v>
      </c>
      <c r="AL38" s="11"/>
      <c r="AM38" s="14">
        <f t="shared" si="19"/>
        <v>0.97804430379746821</v>
      </c>
      <c r="AN38" s="14">
        <f t="shared" si="20"/>
        <v>5.9434999999999993</v>
      </c>
      <c r="AO38" s="14"/>
      <c r="AP38" s="11">
        <f t="shared" si="10"/>
        <v>0.27206161971830983</v>
      </c>
      <c r="AQ38" s="11">
        <f t="shared" si="11"/>
        <v>0.66608189655172412</v>
      </c>
      <c r="AR38" s="11"/>
      <c r="AT38" s="12">
        <f t="shared" si="12"/>
        <v>0.18309859154929578</v>
      </c>
      <c r="AU38" s="12">
        <f t="shared" si="13"/>
        <v>0.44827586206896552</v>
      </c>
      <c r="AV38" s="12"/>
      <c r="AW38">
        <f t="shared" si="21"/>
        <v>1.4858749999999998</v>
      </c>
      <c r="AX38">
        <f t="shared" si="21"/>
        <v>1.4858749999999998</v>
      </c>
      <c r="AZ38" s="12">
        <f t="shared" si="15"/>
        <v>0.27206161971830983</v>
      </c>
      <c r="BA38" s="12">
        <f t="shared" si="16"/>
        <v>0.66608189655172412</v>
      </c>
      <c r="BJ38" s="12">
        <f t="shared" si="17"/>
        <v>0.251015253028393</v>
      </c>
      <c r="BK38" s="12">
        <f t="shared" si="18"/>
        <v>0.40195009431577111</v>
      </c>
    </row>
    <row r="39" spans="1:63">
      <c r="A39" s="3">
        <v>1995</v>
      </c>
      <c r="B39" s="4">
        <f>WorldSteel!E15</f>
        <v>28</v>
      </c>
      <c r="C39" s="4">
        <f>WorldSteel!F15</f>
        <v>11.5</v>
      </c>
      <c r="D39" s="4">
        <f>WorldSteel!G15</f>
        <v>48</v>
      </c>
      <c r="E39" s="4">
        <v>28</v>
      </c>
      <c r="F39" s="4">
        <v>11.5</v>
      </c>
      <c r="G39" s="4">
        <v>48</v>
      </c>
      <c r="H39" s="3" t="s">
        <v>8</v>
      </c>
      <c r="J39" s="3">
        <f>Freuhan_2000!$C$2</f>
        <v>7.9</v>
      </c>
      <c r="K39" s="3">
        <f>Freuhan_2000!$D$2</f>
        <v>1.3</v>
      </c>
      <c r="L39" s="3">
        <f>Freuhan_2000!$E$2</f>
        <v>7.9</v>
      </c>
      <c r="N39" s="3">
        <f>ChemExergy!$B$5</f>
        <v>0.10909999999999999</v>
      </c>
      <c r="O39" s="3">
        <f>ChemExergy!$B$8</f>
        <v>0.21149999999999999</v>
      </c>
      <c r="P39" s="3">
        <f>Ayres_2006!$W$78</f>
        <v>6.9635999999999996</v>
      </c>
      <c r="Q39" s="3">
        <f>ChemEnergy!$A$2</f>
        <v>5.2</v>
      </c>
      <c r="R39" s="3">
        <f>Kumar_2020!$D$2</f>
        <v>7.7265499999999996</v>
      </c>
      <c r="T39" s="3">
        <f>Kumar_2020!$B$28</f>
        <v>2.38119718536</v>
      </c>
      <c r="U39" s="3">
        <f>Kumar_2020!$B$27</f>
        <v>7.6226599999999998</v>
      </c>
      <c r="W39" s="3">
        <f>Kumar_2020!$B$31</f>
        <v>1923.15</v>
      </c>
      <c r="X39" s="3">
        <f>Hajidavalloo_2013!$B$2</f>
        <v>1873.15</v>
      </c>
      <c r="Z39" s="11">
        <f t="shared" si="3"/>
        <v>0.28214285714285714</v>
      </c>
      <c r="AA39" s="11">
        <f t="shared" si="4"/>
        <v>0.11304347826086956</v>
      </c>
      <c r="AB39" s="11"/>
      <c r="AC39">
        <f t="shared" si="5"/>
        <v>0.84756779242388791</v>
      </c>
      <c r="AD39">
        <f t="shared" si="6"/>
        <v>0.84349891893334761</v>
      </c>
      <c r="AF39" s="12">
        <f t="shared" si="7"/>
        <v>0.23913519857673979</v>
      </c>
      <c r="AG39" s="12">
        <f t="shared" si="8"/>
        <v>9.5352051705508853E-2</v>
      </c>
      <c r="AJ39" s="11">
        <f>Freuhan_2000!$C$2/E39</f>
        <v>0.28214285714285714</v>
      </c>
      <c r="AK39" s="11">
        <f>Freuhan_2000!$D$2/Calcs_ChemEx!F39</f>
        <v>0.11304347826086956</v>
      </c>
      <c r="AL39" s="11"/>
      <c r="AM39" s="14">
        <f t="shared" si="19"/>
        <v>0.97804430379746821</v>
      </c>
      <c r="AN39" s="14">
        <f t="shared" si="20"/>
        <v>5.9434999999999993</v>
      </c>
      <c r="AO39" s="14"/>
      <c r="AP39" s="11">
        <f t="shared" si="10"/>
        <v>0.27594821428571426</v>
      </c>
      <c r="AQ39" s="11">
        <f t="shared" si="11"/>
        <v>0.67187391304347821</v>
      </c>
      <c r="AR39" s="11"/>
      <c r="AT39" s="12">
        <f t="shared" si="12"/>
        <v>0.18571428571428572</v>
      </c>
      <c r="AU39" s="12">
        <f t="shared" si="13"/>
        <v>0.45217391304347826</v>
      </c>
      <c r="AV39" s="12"/>
      <c r="AW39">
        <f t="shared" si="21"/>
        <v>1.4858749999999998</v>
      </c>
      <c r="AX39">
        <f t="shared" si="21"/>
        <v>1.4858749999999998</v>
      </c>
      <c r="AZ39" s="12">
        <f t="shared" si="15"/>
        <v>0.27594821428571426</v>
      </c>
      <c r="BA39" s="12">
        <f t="shared" si="16"/>
        <v>0.67187391304347821</v>
      </c>
      <c r="BJ39" s="12">
        <f t="shared" si="17"/>
        <v>0.25432012941620502</v>
      </c>
      <c r="BK39" s="12">
        <f t="shared" si="18"/>
        <v>0.40405205133595429</v>
      </c>
    </row>
    <row r="40" spans="1:63">
      <c r="A40" s="3">
        <v>1996</v>
      </c>
      <c r="B40" s="4"/>
      <c r="C40" s="4"/>
      <c r="D40" s="4"/>
      <c r="E40" s="4">
        <v>27.6</v>
      </c>
      <c r="F40" s="4">
        <v>11.5</v>
      </c>
      <c r="G40" s="4">
        <v>47.64</v>
      </c>
      <c r="H40" s="3" t="s">
        <v>9</v>
      </c>
      <c r="J40" s="3">
        <f>Freuhan_2000!$C$2</f>
        <v>7.9</v>
      </c>
      <c r="K40" s="3">
        <f>Freuhan_2000!$D$2</f>
        <v>1.3</v>
      </c>
      <c r="L40" s="3">
        <f>Freuhan_2000!$E$2</f>
        <v>7.9</v>
      </c>
      <c r="N40" s="3">
        <f>ChemExergy!$B$5</f>
        <v>0.10909999999999999</v>
      </c>
      <c r="O40" s="3">
        <f>ChemExergy!$B$8</f>
        <v>0.21149999999999999</v>
      </c>
      <c r="P40" s="3">
        <f>Ayres_2006!$W$78</f>
        <v>6.9635999999999996</v>
      </c>
      <c r="Q40" s="3">
        <f>ChemEnergy!$A$2</f>
        <v>5.2</v>
      </c>
      <c r="R40" s="3">
        <f>Kumar_2020!$D$2</f>
        <v>7.7265499999999996</v>
      </c>
      <c r="T40" s="3">
        <f>Kumar_2020!$B$28</f>
        <v>2.38119718536</v>
      </c>
      <c r="U40" s="3">
        <f>Kumar_2020!$B$27</f>
        <v>7.6226599999999998</v>
      </c>
      <c r="W40" s="3">
        <f>Kumar_2020!$B$31</f>
        <v>1923.15</v>
      </c>
      <c r="X40" s="3">
        <f>Hajidavalloo_2013!$B$2</f>
        <v>1873.15</v>
      </c>
      <c r="Z40" s="11">
        <f t="shared" si="3"/>
        <v>0.28623188405797101</v>
      </c>
      <c r="AA40" s="11">
        <f t="shared" si="4"/>
        <v>0.11304347826086956</v>
      </c>
      <c r="AB40" s="11"/>
      <c r="AC40">
        <f t="shared" si="5"/>
        <v>0.84756779242388791</v>
      </c>
      <c r="AD40">
        <f t="shared" si="6"/>
        <v>0.84349891893334761</v>
      </c>
      <c r="AF40" s="12">
        <f t="shared" si="7"/>
        <v>0.24260092609234471</v>
      </c>
      <c r="AG40" s="12">
        <f t="shared" si="8"/>
        <v>9.5352051705508853E-2</v>
      </c>
      <c r="AJ40" s="11">
        <f>Freuhan_2000!$C$2/E40</f>
        <v>0.28623188405797101</v>
      </c>
      <c r="AK40" s="11">
        <f>Freuhan_2000!$D$2/Calcs_ChemEx!F40</f>
        <v>0.11304347826086956</v>
      </c>
      <c r="AL40" s="11"/>
      <c r="AM40" s="14">
        <f t="shared" si="19"/>
        <v>0.97804430379746821</v>
      </c>
      <c r="AN40" s="14">
        <f t="shared" si="20"/>
        <v>5.9434999999999993</v>
      </c>
      <c r="AO40" s="14"/>
      <c r="AP40" s="11">
        <f t="shared" si="10"/>
        <v>0.27994746376811591</v>
      </c>
      <c r="AQ40" s="11">
        <f t="shared" si="11"/>
        <v>0.67187391304347821</v>
      </c>
      <c r="AR40" s="11"/>
      <c r="AT40" s="12">
        <f t="shared" si="12"/>
        <v>0.18840579710144928</v>
      </c>
      <c r="AU40" s="12">
        <f t="shared" si="13"/>
        <v>0.45217391304347826</v>
      </c>
      <c r="AV40" s="12"/>
      <c r="AW40">
        <f t="shared" si="21"/>
        <v>1.4858749999999998</v>
      </c>
      <c r="AX40">
        <f t="shared" si="21"/>
        <v>1.4858749999999998</v>
      </c>
      <c r="AZ40" s="12">
        <f t="shared" si="15"/>
        <v>0.27994746376811591</v>
      </c>
      <c r="BA40" s="12">
        <f t="shared" si="16"/>
        <v>0.67187391304347821</v>
      </c>
      <c r="BJ40" s="12">
        <f t="shared" si="17"/>
        <v>0.25771319111209207</v>
      </c>
      <c r="BK40" s="12">
        <f t="shared" si="18"/>
        <v>0.40405205133595429</v>
      </c>
    </row>
    <row r="41" spans="1:63">
      <c r="A41" s="3">
        <v>1997</v>
      </c>
      <c r="B41" s="4"/>
      <c r="C41" s="4"/>
      <c r="D41" s="4"/>
      <c r="E41" s="4">
        <v>27.2</v>
      </c>
      <c r="F41" s="4">
        <v>11.5</v>
      </c>
      <c r="G41" s="4">
        <v>47.28</v>
      </c>
      <c r="H41" s="3" t="s">
        <v>9</v>
      </c>
      <c r="J41" s="3">
        <f>Freuhan_2000!$C$2</f>
        <v>7.9</v>
      </c>
      <c r="K41" s="3">
        <f>Freuhan_2000!$D$2</f>
        <v>1.3</v>
      </c>
      <c r="L41" s="3">
        <f>Freuhan_2000!$E$2</f>
        <v>7.9</v>
      </c>
      <c r="N41" s="3">
        <f>ChemExergy!$B$5</f>
        <v>0.10909999999999999</v>
      </c>
      <c r="O41" s="3">
        <f>ChemExergy!$B$8</f>
        <v>0.21149999999999999</v>
      </c>
      <c r="P41" s="3">
        <f>Ayres_2006!$W$78</f>
        <v>6.9635999999999996</v>
      </c>
      <c r="Q41" s="3">
        <f>ChemEnergy!$A$2</f>
        <v>5.2</v>
      </c>
      <c r="R41" s="3">
        <f>Kumar_2020!$D$2</f>
        <v>7.7265499999999996</v>
      </c>
      <c r="T41" s="3">
        <f>Kumar_2020!$B$28</f>
        <v>2.38119718536</v>
      </c>
      <c r="U41" s="3">
        <f>Kumar_2020!$B$27</f>
        <v>7.6226599999999998</v>
      </c>
      <c r="W41" s="3">
        <f>Kumar_2020!$B$31</f>
        <v>1923.15</v>
      </c>
      <c r="X41" s="3">
        <f>Hajidavalloo_2013!$B$2</f>
        <v>1873.15</v>
      </c>
      <c r="Z41" s="11">
        <f t="shared" si="3"/>
        <v>0.29044117647058826</v>
      </c>
      <c r="AA41" s="11">
        <f t="shared" si="4"/>
        <v>0.11304347826086956</v>
      </c>
      <c r="AB41" s="11"/>
      <c r="AC41">
        <f t="shared" si="5"/>
        <v>0.84756779242388791</v>
      </c>
      <c r="AD41">
        <f t="shared" si="6"/>
        <v>0.84349891893334761</v>
      </c>
      <c r="AF41" s="12">
        <f t="shared" si="7"/>
        <v>0.24616858677017334</v>
      </c>
      <c r="AG41" s="12">
        <f t="shared" si="8"/>
        <v>9.5352051705508853E-2</v>
      </c>
      <c r="AJ41" s="11">
        <f>Freuhan_2000!$C$2/E41</f>
        <v>0.29044117647058826</v>
      </c>
      <c r="AK41" s="11">
        <f>Freuhan_2000!$D$2/Calcs_ChemEx!F41</f>
        <v>0.11304347826086956</v>
      </c>
      <c r="AL41" s="11"/>
      <c r="AM41" s="14">
        <f t="shared" si="19"/>
        <v>0.97804430379746821</v>
      </c>
      <c r="AN41" s="14">
        <f t="shared" si="20"/>
        <v>5.9434999999999993</v>
      </c>
      <c r="AO41" s="14"/>
      <c r="AP41" s="11">
        <f t="shared" si="10"/>
        <v>0.28406433823529409</v>
      </c>
      <c r="AQ41" s="11">
        <f t="shared" si="11"/>
        <v>0.67187391304347821</v>
      </c>
      <c r="AR41" s="11"/>
      <c r="AT41" s="12">
        <f t="shared" si="12"/>
        <v>0.19117647058823531</v>
      </c>
      <c r="AU41" s="12">
        <f t="shared" si="13"/>
        <v>0.45217391304347826</v>
      </c>
      <c r="AV41" s="12"/>
      <c r="AW41">
        <f t="shared" si="21"/>
        <v>1.4858749999999998</v>
      </c>
      <c r="AX41">
        <f t="shared" si="21"/>
        <v>1.4858749999999998</v>
      </c>
      <c r="AZ41" s="12">
        <f t="shared" si="15"/>
        <v>0.28406433823529409</v>
      </c>
      <c r="BA41" s="12">
        <f t="shared" si="16"/>
        <v>0.67187391304347821</v>
      </c>
      <c r="BJ41" s="12">
        <f t="shared" si="17"/>
        <v>0.26119801546855376</v>
      </c>
      <c r="BK41" s="12">
        <f t="shared" si="18"/>
        <v>0.40405205133595429</v>
      </c>
    </row>
    <row r="42" spans="1:63">
      <c r="A42" s="3">
        <v>1998</v>
      </c>
      <c r="B42" s="4"/>
      <c r="C42" s="4"/>
      <c r="D42" s="4"/>
      <c r="E42" s="4">
        <v>26.8</v>
      </c>
      <c r="F42" s="4">
        <v>11.5</v>
      </c>
      <c r="G42" s="4">
        <v>46.92</v>
      </c>
      <c r="H42" s="3" t="s">
        <v>9</v>
      </c>
      <c r="J42" s="3">
        <f>Freuhan_2000!$C$2</f>
        <v>7.9</v>
      </c>
      <c r="K42" s="3">
        <f>Freuhan_2000!$D$2</f>
        <v>1.3</v>
      </c>
      <c r="L42" s="3">
        <f>Freuhan_2000!$E$2</f>
        <v>7.9</v>
      </c>
      <c r="N42" s="3">
        <f>ChemExergy!$B$5</f>
        <v>0.10909999999999999</v>
      </c>
      <c r="O42" s="3">
        <f>ChemExergy!$B$8</f>
        <v>0.21149999999999999</v>
      </c>
      <c r="P42" s="3">
        <f>Ayres_2006!$W$78</f>
        <v>6.9635999999999996</v>
      </c>
      <c r="Q42" s="3">
        <f>ChemEnergy!$A$2</f>
        <v>5.2</v>
      </c>
      <c r="R42" s="3">
        <f>Kumar_2020!$D$2</f>
        <v>7.7265499999999996</v>
      </c>
      <c r="T42" s="3">
        <f>Kumar_2020!$B$28</f>
        <v>2.38119718536</v>
      </c>
      <c r="U42" s="3">
        <f>Kumar_2020!$B$27</f>
        <v>7.6226599999999998</v>
      </c>
      <c r="W42" s="3">
        <f>Kumar_2020!$B$31</f>
        <v>1923.15</v>
      </c>
      <c r="X42" s="3">
        <f>Hajidavalloo_2013!$B$2</f>
        <v>1873.15</v>
      </c>
      <c r="Z42" s="11">
        <f t="shared" si="3"/>
        <v>0.29477611940298509</v>
      </c>
      <c r="AA42" s="11">
        <f t="shared" si="4"/>
        <v>0.11304347826086956</v>
      </c>
      <c r="AB42" s="11"/>
      <c r="AC42">
        <f t="shared" si="5"/>
        <v>0.84756779242388791</v>
      </c>
      <c r="AD42">
        <f t="shared" si="6"/>
        <v>0.84349891893334761</v>
      </c>
      <c r="AF42" s="12">
        <f t="shared" si="7"/>
        <v>0.24984274478166846</v>
      </c>
      <c r="AG42" s="12">
        <f t="shared" si="8"/>
        <v>9.5352051705508853E-2</v>
      </c>
      <c r="AJ42" s="11">
        <f>Freuhan_2000!$C$2/E42</f>
        <v>0.29477611940298509</v>
      </c>
      <c r="AK42" s="11">
        <f>Freuhan_2000!$D$2/Calcs_ChemEx!F42</f>
        <v>0.11304347826086956</v>
      </c>
      <c r="AL42" s="11"/>
      <c r="AM42" s="14">
        <f t="shared" si="19"/>
        <v>0.97804430379746821</v>
      </c>
      <c r="AN42" s="14">
        <f t="shared" si="20"/>
        <v>5.9434999999999993</v>
      </c>
      <c r="AO42" s="14"/>
      <c r="AP42" s="11">
        <f t="shared" si="10"/>
        <v>0.2883041044776119</v>
      </c>
      <c r="AQ42" s="11">
        <f t="shared" si="11"/>
        <v>0.67187391304347821</v>
      </c>
      <c r="AR42" s="11"/>
      <c r="AT42" s="12">
        <f t="shared" si="12"/>
        <v>0.19402985074626866</v>
      </c>
      <c r="AU42" s="12">
        <f t="shared" si="13"/>
        <v>0.45217391304347826</v>
      </c>
      <c r="AV42" s="12"/>
      <c r="AW42">
        <f t="shared" si="21"/>
        <v>1.4858749999999998</v>
      </c>
      <c r="AX42">
        <f t="shared" si="21"/>
        <v>1.4858749999999998</v>
      </c>
      <c r="AZ42" s="12">
        <f t="shared" si="15"/>
        <v>0.2883041044776119</v>
      </c>
      <c r="BA42" s="12">
        <f t="shared" si="16"/>
        <v>0.67187391304347821</v>
      </c>
      <c r="BJ42" s="12">
        <f t="shared" si="17"/>
        <v>0.26477837598370896</v>
      </c>
      <c r="BK42" s="12">
        <f t="shared" si="18"/>
        <v>0.40405205133595429</v>
      </c>
    </row>
    <row r="43" spans="1:63">
      <c r="A43" s="3">
        <v>1999</v>
      </c>
      <c r="B43" s="4"/>
      <c r="C43" s="4"/>
      <c r="D43" s="4"/>
      <c r="E43" s="4">
        <v>26.4</v>
      </c>
      <c r="F43" s="4">
        <v>11.5</v>
      </c>
      <c r="G43" s="4">
        <v>46.56</v>
      </c>
      <c r="H43" s="3" t="s">
        <v>9</v>
      </c>
      <c r="J43" s="3">
        <f>Freuhan_2000!$C$2</f>
        <v>7.9</v>
      </c>
      <c r="K43" s="3">
        <f>Freuhan_2000!$D$2</f>
        <v>1.3</v>
      </c>
      <c r="L43" s="3">
        <f>Freuhan_2000!$E$2</f>
        <v>7.9</v>
      </c>
      <c r="N43" s="3">
        <f>ChemExergy!$B$5</f>
        <v>0.10909999999999999</v>
      </c>
      <c r="O43" s="3">
        <f>ChemExergy!$B$8</f>
        <v>0.21149999999999999</v>
      </c>
      <c r="P43" s="3">
        <f>Ayres_2006!$W$78</f>
        <v>6.9635999999999996</v>
      </c>
      <c r="Q43" s="3">
        <f>ChemEnergy!$A$2</f>
        <v>5.2</v>
      </c>
      <c r="R43" s="3">
        <f>Kumar_2020!$D$2</f>
        <v>7.7265499999999996</v>
      </c>
      <c r="T43" s="3">
        <f>Kumar_2020!$B$28</f>
        <v>2.38119718536</v>
      </c>
      <c r="U43" s="3">
        <f>Kumar_2020!$B$27</f>
        <v>7.6226599999999998</v>
      </c>
      <c r="W43" s="3">
        <f>Kumar_2020!$B$31</f>
        <v>1923.15</v>
      </c>
      <c r="X43" s="3">
        <f>Hajidavalloo_2013!$B$2</f>
        <v>1873.15</v>
      </c>
      <c r="Z43" s="11">
        <f t="shared" si="3"/>
        <v>0.29924242424242425</v>
      </c>
      <c r="AA43" s="11">
        <f t="shared" si="4"/>
        <v>0.11304347826086956</v>
      </c>
      <c r="AB43" s="11"/>
      <c r="AC43">
        <f t="shared" si="5"/>
        <v>0.84756779242388791</v>
      </c>
      <c r="AD43">
        <f t="shared" si="6"/>
        <v>0.84349891893334761</v>
      </c>
      <c r="AF43" s="12">
        <f t="shared" si="7"/>
        <v>0.25362824091472402</v>
      </c>
      <c r="AG43" s="12">
        <f t="shared" si="8"/>
        <v>9.5352051705508853E-2</v>
      </c>
      <c r="AJ43" s="11">
        <f>Freuhan_2000!$C$2/E43</f>
        <v>0.29924242424242425</v>
      </c>
      <c r="AK43" s="11">
        <f>Freuhan_2000!$D$2/Calcs_ChemEx!F43</f>
        <v>0.11304347826086956</v>
      </c>
      <c r="AL43" s="11"/>
      <c r="AM43" s="14">
        <f t="shared" si="19"/>
        <v>0.97804430379746821</v>
      </c>
      <c r="AN43" s="14">
        <f t="shared" si="20"/>
        <v>5.9434999999999993</v>
      </c>
      <c r="AO43" s="14"/>
      <c r="AP43" s="11">
        <f t="shared" si="10"/>
        <v>0.29267234848484847</v>
      </c>
      <c r="AQ43" s="11">
        <f t="shared" si="11"/>
        <v>0.67187391304347821</v>
      </c>
      <c r="AR43" s="11"/>
      <c r="AT43" s="12">
        <f t="shared" si="12"/>
        <v>0.19696969696969699</v>
      </c>
      <c r="AU43" s="12">
        <f t="shared" si="13"/>
        <v>0.45217391304347826</v>
      </c>
      <c r="AV43" s="12"/>
      <c r="AW43">
        <f t="shared" si="21"/>
        <v>1.4858749999999998</v>
      </c>
      <c r="AX43">
        <f t="shared" si="21"/>
        <v>1.4858749999999998</v>
      </c>
      <c r="AZ43" s="12">
        <f t="shared" si="15"/>
        <v>0.29267234848484847</v>
      </c>
      <c r="BA43" s="12">
        <f t="shared" si="16"/>
        <v>0.67187391304347821</v>
      </c>
      <c r="BJ43" s="12">
        <f t="shared" si="17"/>
        <v>0.26845825593141859</v>
      </c>
      <c r="BK43" s="12">
        <f t="shared" si="18"/>
        <v>0.40405205133595429</v>
      </c>
    </row>
    <row r="44" spans="1:63">
      <c r="A44" s="3">
        <v>2000</v>
      </c>
      <c r="B44" s="4">
        <f>WorldSteel!E16</f>
        <v>26</v>
      </c>
      <c r="C44" s="4">
        <f>WorldSteel!F16</f>
        <v>11.5</v>
      </c>
      <c r="D44" s="4">
        <f>WorldSteel!G16</f>
        <v>46.2</v>
      </c>
      <c r="E44" s="4">
        <v>26</v>
      </c>
      <c r="F44" s="4">
        <v>11.5</v>
      </c>
      <c r="G44" s="4">
        <v>46.2</v>
      </c>
      <c r="H44" s="3" t="s">
        <v>8</v>
      </c>
      <c r="J44" s="3">
        <f>Freuhan_2000!$C$2</f>
        <v>7.9</v>
      </c>
      <c r="K44" s="3">
        <f>Freuhan_2000!$D$2</f>
        <v>1.3</v>
      </c>
      <c r="L44" s="3">
        <f>Freuhan_2000!$E$2</f>
        <v>7.9</v>
      </c>
      <c r="N44" s="3">
        <f>ChemExergy!$B$5</f>
        <v>0.10909999999999999</v>
      </c>
      <c r="O44" s="3">
        <f>ChemExergy!$B$8</f>
        <v>0.21149999999999999</v>
      </c>
      <c r="P44" s="3">
        <f>Ayres_2006!$W$78</f>
        <v>6.9635999999999996</v>
      </c>
      <c r="Q44" s="3">
        <f>ChemEnergy!$A$2</f>
        <v>5.2</v>
      </c>
      <c r="R44" s="3">
        <f>Kumar_2020!$D$2</f>
        <v>7.7265499999999996</v>
      </c>
      <c r="T44" s="3">
        <f>Kumar_2020!$B$28</f>
        <v>2.38119718536</v>
      </c>
      <c r="U44" s="3">
        <f>Kumar_2020!$B$27</f>
        <v>7.6226599999999998</v>
      </c>
      <c r="W44" s="3">
        <f>Kumar_2020!$B$31</f>
        <v>1923.15</v>
      </c>
      <c r="X44" s="3">
        <f>Hajidavalloo_2013!$B$2</f>
        <v>1873.15</v>
      </c>
      <c r="Z44" s="11">
        <f t="shared" si="3"/>
        <v>0.30384615384615388</v>
      </c>
      <c r="AA44" s="11">
        <f t="shared" si="4"/>
        <v>0.11304347826086956</v>
      </c>
      <c r="AB44" s="11"/>
      <c r="AC44">
        <f t="shared" si="5"/>
        <v>0.84756779242388791</v>
      </c>
      <c r="AD44">
        <f t="shared" si="6"/>
        <v>0.84349891893334761</v>
      </c>
      <c r="AF44" s="12">
        <f t="shared" si="7"/>
        <v>0.25753021385187364</v>
      </c>
      <c r="AG44" s="12">
        <f t="shared" si="8"/>
        <v>9.5352051705508853E-2</v>
      </c>
      <c r="AJ44" s="11">
        <f>Freuhan_2000!$C$2/E44</f>
        <v>0.30384615384615388</v>
      </c>
      <c r="AK44" s="11">
        <f>Freuhan_2000!$D$2/Calcs_ChemEx!F44</f>
        <v>0.11304347826086956</v>
      </c>
      <c r="AL44" s="11"/>
      <c r="AM44" s="14">
        <f t="shared" si="19"/>
        <v>0.97804430379746821</v>
      </c>
      <c r="AN44" s="14">
        <f t="shared" si="20"/>
        <v>5.9434999999999993</v>
      </c>
      <c r="AO44" s="14"/>
      <c r="AP44" s="11">
        <f t="shared" si="10"/>
        <v>0.29717499999999997</v>
      </c>
      <c r="AQ44" s="11">
        <f t="shared" si="11"/>
        <v>0.67187391304347821</v>
      </c>
      <c r="AR44" s="11"/>
      <c r="AT44" s="12">
        <f t="shared" si="12"/>
        <v>0.2</v>
      </c>
      <c r="AU44" s="12">
        <f t="shared" si="13"/>
        <v>0.45217391304347826</v>
      </c>
      <c r="AV44" s="12"/>
      <c r="AW44">
        <f t="shared" si="21"/>
        <v>1.4858749999999998</v>
      </c>
      <c r="AX44">
        <f t="shared" si="21"/>
        <v>1.4858749999999998</v>
      </c>
      <c r="AZ44" s="12">
        <f t="shared" si="15"/>
        <v>0.29717499999999997</v>
      </c>
      <c r="BA44" s="12">
        <f t="shared" si="16"/>
        <v>0.67187391304347821</v>
      </c>
      <c r="BJ44" s="12">
        <f t="shared" si="17"/>
        <v>0.27224186314401211</v>
      </c>
      <c r="BK44" s="12">
        <f t="shared" si="18"/>
        <v>0.40405205133595429</v>
      </c>
    </row>
    <row r="45" spans="1:63">
      <c r="A45" s="3">
        <v>2001</v>
      </c>
      <c r="B45" s="4"/>
      <c r="C45" s="4"/>
      <c r="D45" s="4"/>
      <c r="E45" s="4">
        <v>25.6</v>
      </c>
      <c r="F45" s="4">
        <v>11.4</v>
      </c>
      <c r="G45" s="4">
        <v>46.2</v>
      </c>
      <c r="H45" s="3" t="s">
        <v>9</v>
      </c>
      <c r="J45" s="3">
        <f>Freuhan_2000!$C$2</f>
        <v>7.9</v>
      </c>
      <c r="K45" s="3">
        <f>Freuhan_2000!$D$2</f>
        <v>1.3</v>
      </c>
      <c r="L45" s="3">
        <f>Freuhan_2000!$E$2</f>
        <v>7.9</v>
      </c>
      <c r="N45" s="3">
        <f>ChemExergy!$B$5</f>
        <v>0.10909999999999999</v>
      </c>
      <c r="O45" s="3">
        <f>ChemExergy!$B$8</f>
        <v>0.21149999999999999</v>
      </c>
      <c r="P45" s="3">
        <f>Ayres_2006!$W$78</f>
        <v>6.9635999999999996</v>
      </c>
      <c r="Q45" s="3">
        <f>ChemEnergy!$A$2</f>
        <v>5.2</v>
      </c>
      <c r="R45" s="3">
        <f>Kumar_2020!$D$2</f>
        <v>7.7265499999999996</v>
      </c>
      <c r="T45" s="3">
        <f>Kumar_2020!$B$28</f>
        <v>2.38119718536</v>
      </c>
      <c r="U45" s="3">
        <f>Kumar_2020!$B$27</f>
        <v>7.6226599999999998</v>
      </c>
      <c r="W45" s="3">
        <f>Kumar_2020!$B$31</f>
        <v>1923.15</v>
      </c>
      <c r="X45" s="3">
        <f>Hajidavalloo_2013!$B$2</f>
        <v>1873.15</v>
      </c>
      <c r="Z45" s="11">
        <f t="shared" si="3"/>
        <v>0.30859375</v>
      </c>
      <c r="AA45" s="11">
        <f t="shared" si="4"/>
        <v>0.11403508771929824</v>
      </c>
      <c r="AB45" s="11"/>
      <c r="AC45">
        <f t="shared" si="5"/>
        <v>0.84756779242388791</v>
      </c>
      <c r="AD45">
        <f t="shared" si="6"/>
        <v>0.84349891893334761</v>
      </c>
      <c r="AF45" s="12">
        <f t="shared" si="7"/>
        <v>0.26155412344330914</v>
      </c>
      <c r="AG45" s="12">
        <f t="shared" si="8"/>
        <v>9.6188473211697531E-2</v>
      </c>
      <c r="AJ45" s="11">
        <f>Freuhan_2000!$C$2/E45</f>
        <v>0.30859375</v>
      </c>
      <c r="AK45" s="11">
        <f>Freuhan_2000!$D$2/Calcs_ChemEx!F45</f>
        <v>0.11403508771929824</v>
      </c>
      <c r="AL45" s="11"/>
      <c r="AM45" s="14">
        <f t="shared" si="19"/>
        <v>0.97804430379746821</v>
      </c>
      <c r="AN45" s="14">
        <f t="shared" si="20"/>
        <v>5.9434999999999993</v>
      </c>
      <c r="AO45" s="14"/>
      <c r="AP45" s="11">
        <f t="shared" si="10"/>
        <v>0.30181835937499996</v>
      </c>
      <c r="AQ45" s="11">
        <f t="shared" si="11"/>
        <v>0.67776754385964899</v>
      </c>
      <c r="AR45" s="11"/>
      <c r="AT45" s="12">
        <f t="shared" si="12"/>
        <v>0.203125</v>
      </c>
      <c r="AU45" s="12">
        <f t="shared" si="13"/>
        <v>0.45614035087719296</v>
      </c>
      <c r="AV45" s="12"/>
      <c r="AW45">
        <f t="shared" si="21"/>
        <v>1.4858749999999998</v>
      </c>
      <c r="AX45">
        <f t="shared" si="21"/>
        <v>1.4858749999999998</v>
      </c>
      <c r="AZ45" s="12">
        <f t="shared" si="15"/>
        <v>0.30181835937499996</v>
      </c>
      <c r="BA45" s="12">
        <f t="shared" si="16"/>
        <v>0.67776754385964899</v>
      </c>
      <c r="BJ45" s="12">
        <f t="shared" si="17"/>
        <v>0.27613364606295671</v>
      </c>
      <c r="BK45" s="12">
        <f t="shared" si="18"/>
        <v>0.40617610786293812</v>
      </c>
    </row>
    <row r="46" spans="1:63">
      <c r="A46" s="3">
        <v>2002</v>
      </c>
      <c r="B46" s="4"/>
      <c r="C46" s="4"/>
      <c r="D46" s="4"/>
      <c r="E46" s="4">
        <v>25.2</v>
      </c>
      <c r="F46" s="4">
        <v>11.3</v>
      </c>
      <c r="G46" s="4">
        <v>46.2</v>
      </c>
      <c r="H46" s="3" t="s">
        <v>9</v>
      </c>
      <c r="J46" s="3">
        <f>Freuhan_2000!$C$2</f>
        <v>7.9</v>
      </c>
      <c r="K46" s="3">
        <f>Freuhan_2000!$D$2</f>
        <v>1.3</v>
      </c>
      <c r="L46" s="3">
        <f>Freuhan_2000!$E$2</f>
        <v>7.9</v>
      </c>
      <c r="N46" s="3">
        <f>ChemExergy!$B$5</f>
        <v>0.10909999999999999</v>
      </c>
      <c r="O46" s="3">
        <f>ChemExergy!$B$8</f>
        <v>0.21149999999999999</v>
      </c>
      <c r="P46" s="3">
        <f>Ayres_2006!$W$78</f>
        <v>6.9635999999999996</v>
      </c>
      <c r="Q46" s="3">
        <f>ChemEnergy!$A$2</f>
        <v>5.2</v>
      </c>
      <c r="R46" s="3">
        <f>Kumar_2020!$D$2</f>
        <v>7.7265499999999996</v>
      </c>
      <c r="T46" s="3">
        <f>Kumar_2020!$B$28</f>
        <v>2.38119718536</v>
      </c>
      <c r="U46" s="3">
        <f>Kumar_2020!$B$27</f>
        <v>7.6226599999999998</v>
      </c>
      <c r="W46" s="3">
        <f>Kumar_2020!$B$31</f>
        <v>1923.15</v>
      </c>
      <c r="X46" s="3">
        <f>Hajidavalloo_2013!$B$2</f>
        <v>1873.15</v>
      </c>
      <c r="Z46" s="11">
        <f t="shared" si="3"/>
        <v>0.31349206349206349</v>
      </c>
      <c r="AA46" s="11">
        <f t="shared" si="4"/>
        <v>0.11504424778761062</v>
      </c>
      <c r="AB46" s="11"/>
      <c r="AC46">
        <f t="shared" si="5"/>
        <v>0.84756779242388791</v>
      </c>
      <c r="AD46">
        <f t="shared" si="6"/>
        <v>0.84349891893334761</v>
      </c>
      <c r="AF46" s="12">
        <f t="shared" si="7"/>
        <v>0.26570577619637753</v>
      </c>
      <c r="AG46" s="12">
        <f t="shared" si="8"/>
        <v>9.7039698638349728E-2</v>
      </c>
      <c r="AJ46" s="11">
        <f>Freuhan_2000!$C$2/E46</f>
        <v>0.31349206349206349</v>
      </c>
      <c r="AK46" s="11">
        <f>Freuhan_2000!$D$2/Calcs_ChemEx!F46</f>
        <v>0.11504424778761062</v>
      </c>
      <c r="AL46" s="11"/>
      <c r="AM46" s="14">
        <f t="shared" si="19"/>
        <v>0.97804430379746821</v>
      </c>
      <c r="AN46" s="14">
        <f t="shared" si="20"/>
        <v>5.9434999999999993</v>
      </c>
      <c r="AO46" s="14"/>
      <c r="AP46" s="11">
        <f t="shared" si="10"/>
        <v>0.30660912698412696</v>
      </c>
      <c r="AQ46" s="11">
        <f t="shared" si="11"/>
        <v>0.68376548672566362</v>
      </c>
      <c r="AR46" s="11"/>
      <c r="AT46" s="12">
        <f t="shared" si="12"/>
        <v>0.20634920634920637</v>
      </c>
      <c r="AU46" s="12">
        <f t="shared" si="13"/>
        <v>0.46017699115044247</v>
      </c>
      <c r="AV46" s="12"/>
      <c r="AW46">
        <f t="shared" si="21"/>
        <v>1.4858749999999998</v>
      </c>
      <c r="AX46">
        <f t="shared" si="21"/>
        <v>1.4858749999999998</v>
      </c>
      <c r="AZ46" s="12">
        <f t="shared" si="15"/>
        <v>0.30660912698412696</v>
      </c>
      <c r="BA46" s="12">
        <f t="shared" si="16"/>
        <v>0.68376548672566362</v>
      </c>
      <c r="BJ46" s="12">
        <f t="shared" si="17"/>
        <v>0.28013831118618826</v>
      </c>
      <c r="BK46" s="12">
        <f t="shared" si="18"/>
        <v>0.40832261426247679</v>
      </c>
    </row>
    <row r="47" spans="1:63">
      <c r="A47" s="3">
        <v>2003</v>
      </c>
      <c r="B47" s="4"/>
      <c r="C47" s="4"/>
      <c r="D47" s="4"/>
      <c r="E47" s="4">
        <v>24.8</v>
      </c>
      <c r="F47" s="4">
        <v>11.2</v>
      </c>
      <c r="G47" s="4">
        <v>46.2</v>
      </c>
      <c r="H47" s="3" t="s">
        <v>9</v>
      </c>
      <c r="J47" s="3">
        <f>Freuhan_2000!$C$2</f>
        <v>7.9</v>
      </c>
      <c r="K47" s="3">
        <f>Freuhan_2000!$D$2</f>
        <v>1.3</v>
      </c>
      <c r="L47" s="3">
        <f>Freuhan_2000!$E$2</f>
        <v>7.9</v>
      </c>
      <c r="N47" s="3">
        <f>ChemExergy!$B$5</f>
        <v>0.10909999999999999</v>
      </c>
      <c r="O47" s="3">
        <f>ChemExergy!$B$8</f>
        <v>0.21149999999999999</v>
      </c>
      <c r="P47" s="3">
        <f>Ayres_2006!$W$78</f>
        <v>6.9635999999999996</v>
      </c>
      <c r="Q47" s="3">
        <f>ChemEnergy!$A$2</f>
        <v>5.2</v>
      </c>
      <c r="R47" s="3">
        <f>Kumar_2020!$D$2</f>
        <v>7.7265499999999996</v>
      </c>
      <c r="T47" s="3">
        <f>Kumar_2020!$B$28</f>
        <v>2.38119718536</v>
      </c>
      <c r="U47" s="3">
        <f>Kumar_2020!$B$27</f>
        <v>7.6226599999999998</v>
      </c>
      <c r="W47" s="3">
        <f>Kumar_2020!$B$31</f>
        <v>1923.15</v>
      </c>
      <c r="X47" s="3">
        <f>Hajidavalloo_2013!$B$2</f>
        <v>1873.15</v>
      </c>
      <c r="Z47" s="11">
        <f t="shared" si="3"/>
        <v>0.31854838709677419</v>
      </c>
      <c r="AA47" s="11">
        <f t="shared" si="4"/>
        <v>0.11607142857142859</v>
      </c>
      <c r="AB47" s="11"/>
      <c r="AC47">
        <f t="shared" si="5"/>
        <v>0.84756779242388791</v>
      </c>
      <c r="AD47">
        <f t="shared" si="6"/>
        <v>0.84349891893334761</v>
      </c>
      <c r="AF47" s="12">
        <f t="shared" si="7"/>
        <v>0.26999135323180301</v>
      </c>
      <c r="AG47" s="12">
        <f t="shared" si="8"/>
        <v>9.7906124519049287E-2</v>
      </c>
      <c r="AJ47" s="11">
        <f>Freuhan_2000!$C$2/E47</f>
        <v>0.31854838709677419</v>
      </c>
      <c r="AK47" s="11">
        <f>Freuhan_2000!$D$2/Calcs_ChemEx!F47</f>
        <v>0.11607142857142859</v>
      </c>
      <c r="AL47" s="11"/>
      <c r="AM47" s="14">
        <f t="shared" si="19"/>
        <v>0.97804430379746821</v>
      </c>
      <c r="AN47" s="14">
        <f t="shared" si="20"/>
        <v>5.9434999999999993</v>
      </c>
      <c r="AO47" s="14"/>
      <c r="AP47" s="11">
        <f t="shared" si="10"/>
        <v>0.31155443548387091</v>
      </c>
      <c r="AQ47" s="11">
        <f t="shared" si="11"/>
        <v>0.68987053571428569</v>
      </c>
      <c r="AR47" s="11"/>
      <c r="AT47" s="12">
        <f t="shared" si="12"/>
        <v>0.20967741935483872</v>
      </c>
      <c r="AU47" s="12">
        <f t="shared" si="13"/>
        <v>0.46428571428571436</v>
      </c>
      <c r="AV47" s="12"/>
      <c r="AW47">
        <f t="shared" si="21"/>
        <v>1.4858749999999998</v>
      </c>
      <c r="AX47">
        <f t="shared" si="21"/>
        <v>1.4858749999999998</v>
      </c>
      <c r="AZ47" s="12">
        <f t="shared" si="15"/>
        <v>0.31155443548387096</v>
      </c>
      <c r="BA47" s="12">
        <f t="shared" si="16"/>
        <v>0.68987053571428569</v>
      </c>
      <c r="BJ47" s="12">
        <f t="shared" si="17"/>
        <v>0.28426084205597751</v>
      </c>
      <c r="BK47" s="12">
        <f t="shared" si="18"/>
        <v>0.41049192834594045</v>
      </c>
    </row>
    <row r="48" spans="1:63">
      <c r="A48" s="3">
        <v>2004</v>
      </c>
      <c r="B48" s="4"/>
      <c r="C48" s="4"/>
      <c r="D48" s="4"/>
      <c r="E48" s="4">
        <v>24.4</v>
      </c>
      <c r="F48" s="4">
        <v>11.1</v>
      </c>
      <c r="G48" s="4">
        <v>46.2</v>
      </c>
      <c r="H48" s="3" t="s">
        <v>9</v>
      </c>
      <c r="J48" s="3">
        <f>Freuhan_2000!$C$2</f>
        <v>7.9</v>
      </c>
      <c r="K48" s="3">
        <f>Freuhan_2000!$D$2</f>
        <v>1.3</v>
      </c>
      <c r="L48" s="3">
        <f>Freuhan_2000!$E$2</f>
        <v>7.9</v>
      </c>
      <c r="N48" s="3">
        <f>ChemExergy!$B$5</f>
        <v>0.10909999999999999</v>
      </c>
      <c r="O48" s="3">
        <f>ChemExergy!$B$8</f>
        <v>0.21149999999999999</v>
      </c>
      <c r="P48" s="3">
        <f>Ayres_2006!$W$78</f>
        <v>6.9635999999999996</v>
      </c>
      <c r="Q48" s="3">
        <f>ChemEnergy!$A$2</f>
        <v>5.2</v>
      </c>
      <c r="R48" s="3">
        <f>Kumar_2020!$D$2</f>
        <v>7.7265499999999996</v>
      </c>
      <c r="T48" s="3">
        <f>Kumar_2020!$B$28</f>
        <v>2.38119718536</v>
      </c>
      <c r="U48" s="3">
        <f>Kumar_2020!$B$27</f>
        <v>7.6226599999999998</v>
      </c>
      <c r="W48" s="3">
        <f>Kumar_2020!$B$31</f>
        <v>1923.15</v>
      </c>
      <c r="X48" s="3">
        <f>Hajidavalloo_2013!$B$2</f>
        <v>1873.15</v>
      </c>
      <c r="Z48" s="11">
        <f t="shared" si="3"/>
        <v>0.32377049180327871</v>
      </c>
      <c r="AA48" s="11">
        <f t="shared" si="4"/>
        <v>0.11711711711711713</v>
      </c>
      <c r="AB48" s="11"/>
      <c r="AC48">
        <f t="shared" si="5"/>
        <v>0.84756779242388791</v>
      </c>
      <c r="AD48">
        <f t="shared" si="6"/>
        <v>0.84349891893334761</v>
      </c>
      <c r="AF48" s="12">
        <f t="shared" si="7"/>
        <v>0.27441744098970144</v>
      </c>
      <c r="AG48" s="12">
        <f t="shared" si="8"/>
        <v>9.8788161676878553E-2</v>
      </c>
      <c r="AJ48" s="11">
        <f>Freuhan_2000!$C$2/E48</f>
        <v>0.32377049180327871</v>
      </c>
      <c r="AK48" s="11">
        <f>Freuhan_2000!$D$2/Calcs_ChemEx!F48</f>
        <v>0.11711711711711713</v>
      </c>
      <c r="AL48" s="11"/>
      <c r="AM48" s="14">
        <f t="shared" si="19"/>
        <v>0.97804430379746821</v>
      </c>
      <c r="AN48" s="14">
        <f t="shared" si="20"/>
        <v>5.9434999999999993</v>
      </c>
      <c r="AO48" s="14"/>
      <c r="AP48" s="11">
        <f t="shared" si="10"/>
        <v>0.31666188524590161</v>
      </c>
      <c r="AQ48" s="11">
        <f t="shared" si="11"/>
        <v>0.69608558558558553</v>
      </c>
      <c r="AR48" s="11"/>
      <c r="AT48" s="12">
        <f t="shared" si="12"/>
        <v>0.21311475409836067</v>
      </c>
      <c r="AU48" s="12">
        <f t="shared" si="13"/>
        <v>0.46846846846846851</v>
      </c>
      <c r="AV48" s="12"/>
      <c r="AW48">
        <f t="shared" si="21"/>
        <v>1.4858749999999998</v>
      </c>
      <c r="AX48">
        <f t="shared" si="21"/>
        <v>1.4858749999999998</v>
      </c>
      <c r="AZ48" s="12">
        <f t="shared" si="15"/>
        <v>0.31666188524590161</v>
      </c>
      <c r="BA48" s="12">
        <f t="shared" si="16"/>
        <v>0.69608558558558553</v>
      </c>
      <c r="BJ48" s="12">
        <f t="shared" si="17"/>
        <v>0.28850651994839632</v>
      </c>
      <c r="BK48" s="12">
        <f t="shared" si="18"/>
        <v>0.41268441556915525</v>
      </c>
    </row>
    <row r="49" spans="1:63">
      <c r="A49" s="3">
        <v>2005</v>
      </c>
      <c r="B49" s="4">
        <f>WorldSteel!E17</f>
        <v>24</v>
      </c>
      <c r="C49" s="4">
        <f>WorldSteel!F17</f>
        <v>11</v>
      </c>
      <c r="D49" s="4">
        <f>WorldSteel!G17</f>
        <v>46.2</v>
      </c>
      <c r="E49" s="4">
        <v>24</v>
      </c>
      <c r="F49" s="4">
        <v>11</v>
      </c>
      <c r="G49" s="4">
        <v>46.2</v>
      </c>
      <c r="H49" s="3" t="s">
        <v>8</v>
      </c>
      <c r="J49" s="3">
        <f>Freuhan_2000!$C$2</f>
        <v>7.9</v>
      </c>
      <c r="K49" s="3">
        <f>Freuhan_2000!$D$2</f>
        <v>1.3</v>
      </c>
      <c r="L49" s="3">
        <f>Freuhan_2000!$E$2</f>
        <v>7.9</v>
      </c>
      <c r="N49" s="3">
        <f>ChemExergy!$B$5</f>
        <v>0.10909999999999999</v>
      </c>
      <c r="O49" s="3">
        <f>ChemExergy!$B$8</f>
        <v>0.21149999999999999</v>
      </c>
      <c r="P49" s="3">
        <f>Ayres_2006!$W$78</f>
        <v>6.9635999999999996</v>
      </c>
      <c r="Q49" s="3">
        <f>ChemEnergy!$A$2</f>
        <v>5.2</v>
      </c>
      <c r="R49" s="3">
        <f>Kumar_2020!$D$2</f>
        <v>7.7265499999999996</v>
      </c>
      <c r="T49" s="3">
        <f>Kumar_2020!$B$28</f>
        <v>2.38119718536</v>
      </c>
      <c r="U49" s="3">
        <f>Kumar_2020!$B$27</f>
        <v>7.6226599999999998</v>
      </c>
      <c r="W49" s="3">
        <f>Kumar_2020!$B$31</f>
        <v>1923.15</v>
      </c>
      <c r="X49" s="3">
        <f>Hajidavalloo_2013!$B$2</f>
        <v>1873.15</v>
      </c>
      <c r="Z49" s="11">
        <f t="shared" si="3"/>
        <v>0.32916666666666666</v>
      </c>
      <c r="AA49" s="11">
        <f t="shared" si="4"/>
        <v>0.11818181818181818</v>
      </c>
      <c r="AB49" s="11"/>
      <c r="AC49">
        <f t="shared" si="5"/>
        <v>0.84756779242388791</v>
      </c>
      <c r="AD49">
        <f t="shared" si="6"/>
        <v>0.84349891893334761</v>
      </c>
      <c r="AF49" s="12">
        <f t="shared" si="7"/>
        <v>0.27899106500619641</v>
      </c>
      <c r="AG49" s="12">
        <f t="shared" si="8"/>
        <v>9.9686235873941084E-2</v>
      </c>
      <c r="AJ49" s="11">
        <f>Freuhan_2000!$C$2/E49</f>
        <v>0.32916666666666666</v>
      </c>
      <c r="AK49" s="11">
        <f>Freuhan_2000!$D$2/Calcs_ChemEx!F49</f>
        <v>0.11818181818181818</v>
      </c>
      <c r="AL49" s="11"/>
      <c r="AM49" s="14">
        <f t="shared" si="19"/>
        <v>0.97804430379746821</v>
      </c>
      <c r="AN49" s="14">
        <f t="shared" si="20"/>
        <v>5.9434999999999993</v>
      </c>
      <c r="AO49" s="14"/>
      <c r="AP49" s="11">
        <f t="shared" si="10"/>
        <v>0.32193958333333328</v>
      </c>
      <c r="AQ49" s="11">
        <f t="shared" si="11"/>
        <v>0.7024136363636363</v>
      </c>
      <c r="AR49" s="11"/>
      <c r="AT49" s="12">
        <f t="shared" si="12"/>
        <v>0.21666666666666667</v>
      </c>
      <c r="AU49" s="12">
        <f t="shared" si="13"/>
        <v>0.47272727272727272</v>
      </c>
      <c r="AV49" s="12"/>
      <c r="AW49">
        <f t="shared" si="21"/>
        <v>1.4858749999999998</v>
      </c>
      <c r="AX49">
        <f t="shared" si="21"/>
        <v>1.4858749999999998</v>
      </c>
      <c r="AZ49" s="12">
        <f t="shared" si="15"/>
        <v>0.32193958333333333</v>
      </c>
      <c r="BA49" s="12">
        <f t="shared" si="16"/>
        <v>0.7024136363636363</v>
      </c>
      <c r="BJ49" s="12">
        <f t="shared" si="17"/>
        <v>0.29288094644498452</v>
      </c>
      <c r="BK49" s="12">
        <f t="shared" si="18"/>
        <v>0.41490044923764918</v>
      </c>
    </row>
    <row r="50" spans="1:63">
      <c r="A50" s="3">
        <v>2006</v>
      </c>
      <c r="B50" s="4"/>
      <c r="C50" s="4"/>
      <c r="D50" s="4"/>
      <c r="E50" s="4">
        <v>24.15</v>
      </c>
      <c r="F50" s="4">
        <v>10.9</v>
      </c>
      <c r="G50" s="4">
        <v>39.35</v>
      </c>
      <c r="H50" s="3" t="s">
        <v>9</v>
      </c>
      <c r="J50" s="3">
        <f>Freuhan_2000!$C$2</f>
        <v>7.9</v>
      </c>
      <c r="K50" s="3">
        <f>Freuhan_2000!$D$2</f>
        <v>1.3</v>
      </c>
      <c r="L50" s="3">
        <f>Freuhan_2000!$E$2</f>
        <v>7.9</v>
      </c>
      <c r="N50" s="3">
        <f>ChemExergy!$B$5</f>
        <v>0.10909999999999999</v>
      </c>
      <c r="O50" s="3">
        <f>ChemExergy!$B$8</f>
        <v>0.21149999999999999</v>
      </c>
      <c r="P50" s="3">
        <f>Ayres_2006!$W$78</f>
        <v>6.9635999999999996</v>
      </c>
      <c r="Q50" s="3">
        <f>ChemEnergy!$A$2</f>
        <v>5.2</v>
      </c>
      <c r="R50" s="3">
        <f>Kumar_2020!$D$2</f>
        <v>7.7265499999999996</v>
      </c>
      <c r="T50" s="3">
        <f>Kumar_2020!$B$28</f>
        <v>2.38119718536</v>
      </c>
      <c r="U50" s="3">
        <f>Kumar_2020!$B$27</f>
        <v>7.6226599999999998</v>
      </c>
      <c r="W50" s="3">
        <f>Kumar_2020!$B$31</f>
        <v>1923.15</v>
      </c>
      <c r="X50" s="3">
        <f>Hajidavalloo_2013!$B$2</f>
        <v>1873.15</v>
      </c>
      <c r="Z50" s="11">
        <f t="shared" si="3"/>
        <v>0.32712215320910976</v>
      </c>
      <c r="AA50" s="11">
        <f t="shared" si="4"/>
        <v>0.11926605504587157</v>
      </c>
      <c r="AB50" s="11"/>
      <c r="AC50">
        <f t="shared" si="5"/>
        <v>0.84756779242388791</v>
      </c>
      <c r="AD50">
        <f t="shared" si="6"/>
        <v>0.84349891893334761</v>
      </c>
      <c r="AF50" s="12">
        <f t="shared" si="7"/>
        <v>0.27725820124839401</v>
      </c>
      <c r="AG50" s="12">
        <f t="shared" si="8"/>
        <v>0.1006007884966378</v>
      </c>
      <c r="AJ50" s="11">
        <f>Freuhan_2000!$C$2/E50</f>
        <v>0.32712215320910976</v>
      </c>
      <c r="AK50" s="11">
        <f>Freuhan_2000!$D$2/Calcs_ChemEx!F50</f>
        <v>0.11926605504587157</v>
      </c>
      <c r="AL50" s="11"/>
      <c r="AM50" s="14">
        <f t="shared" si="19"/>
        <v>0.97804430379746821</v>
      </c>
      <c r="AN50" s="14">
        <f t="shared" si="20"/>
        <v>5.9434999999999993</v>
      </c>
      <c r="AO50" s="14"/>
      <c r="AP50" s="11">
        <f t="shared" si="10"/>
        <v>0.31993995859213248</v>
      </c>
      <c r="AQ50" s="11">
        <f t="shared" si="11"/>
        <v>0.70885779816513761</v>
      </c>
      <c r="AR50" s="11"/>
      <c r="AT50" s="12">
        <f t="shared" si="12"/>
        <v>0.21532091097308489</v>
      </c>
      <c r="AU50" s="12">
        <f t="shared" si="13"/>
        <v>0.47706422018348627</v>
      </c>
      <c r="AV50" s="12"/>
      <c r="AW50">
        <f t="shared" si="21"/>
        <v>1.4858749999999998</v>
      </c>
      <c r="AX50">
        <f t="shared" si="21"/>
        <v>1.4858749999999998</v>
      </c>
      <c r="AZ50" s="12">
        <f t="shared" si="15"/>
        <v>0.31993995859213248</v>
      </c>
      <c r="BA50" s="12">
        <f t="shared" si="16"/>
        <v>0.70885779816513761</v>
      </c>
      <c r="BJ50" s="12">
        <f t="shared" si="17"/>
        <v>0.29122507914054985</v>
      </c>
      <c r="BK50" s="12">
        <f t="shared" si="18"/>
        <v>0.41714041071854685</v>
      </c>
    </row>
    <row r="51" spans="1:63">
      <c r="A51" s="3">
        <v>2007</v>
      </c>
      <c r="B51" s="4">
        <f>WorldSteel!E18</f>
        <v>24.3</v>
      </c>
      <c r="C51" s="4">
        <f>WorldSteel!F18</f>
        <v>10.8</v>
      </c>
      <c r="D51" s="4">
        <f>WorldSteel!G18</f>
        <v>32.5</v>
      </c>
      <c r="E51" s="4">
        <v>24.3</v>
      </c>
      <c r="F51" s="4">
        <v>10.8</v>
      </c>
      <c r="G51" s="4">
        <v>32.5</v>
      </c>
      <c r="H51" s="3" t="s">
        <v>8</v>
      </c>
      <c r="J51" s="3">
        <f>Freuhan_2000!$C$2</f>
        <v>7.9</v>
      </c>
      <c r="K51" s="3">
        <f>Freuhan_2000!$D$2</f>
        <v>1.3</v>
      </c>
      <c r="L51" s="3">
        <f>Freuhan_2000!$E$2</f>
        <v>7.9</v>
      </c>
      <c r="N51" s="3">
        <f>ChemExergy!$B$5</f>
        <v>0.10909999999999999</v>
      </c>
      <c r="O51" s="3">
        <f>ChemExergy!$B$8</f>
        <v>0.21149999999999999</v>
      </c>
      <c r="P51" s="3">
        <f>Ayres_2006!$W$78</f>
        <v>6.9635999999999996</v>
      </c>
      <c r="Q51" s="3">
        <f>ChemEnergy!$A$2</f>
        <v>5.2</v>
      </c>
      <c r="R51" s="3">
        <f>Kumar_2020!$D$2</f>
        <v>7.7265499999999996</v>
      </c>
      <c r="T51" s="3">
        <f>Kumar_2020!$B$28</f>
        <v>2.38119718536</v>
      </c>
      <c r="U51" s="3">
        <f>Kumar_2020!$B$27</f>
        <v>7.6226599999999998</v>
      </c>
      <c r="W51" s="3">
        <f>Kumar_2020!$B$31</f>
        <v>1923.15</v>
      </c>
      <c r="X51" s="3">
        <f>Hajidavalloo_2013!$B$2</f>
        <v>1873.15</v>
      </c>
      <c r="Z51" s="11">
        <f t="shared" si="3"/>
        <v>0.32510288065843623</v>
      </c>
      <c r="AA51" s="11">
        <f t="shared" si="4"/>
        <v>0.12037037037037036</v>
      </c>
      <c r="AB51" s="11"/>
      <c r="AC51">
        <f t="shared" si="5"/>
        <v>0.84756779242388791</v>
      </c>
      <c r="AD51">
        <f t="shared" si="6"/>
        <v>0.84349891893334761</v>
      </c>
      <c r="AF51" s="12">
        <f t="shared" si="7"/>
        <v>0.2755467308703175</v>
      </c>
      <c r="AG51" s="12">
        <f t="shared" si="8"/>
        <v>0.10153227727901405</v>
      </c>
      <c r="AJ51" s="11">
        <f>Freuhan_2000!$C$2/E51</f>
        <v>0.32510288065843623</v>
      </c>
      <c r="AK51" s="11">
        <f>Freuhan_2000!$D$2/Calcs_ChemEx!F51</f>
        <v>0.12037037037037036</v>
      </c>
      <c r="AL51" s="11"/>
      <c r="AM51" s="14">
        <f t="shared" si="19"/>
        <v>0.97804430379746821</v>
      </c>
      <c r="AN51" s="14">
        <f t="shared" si="20"/>
        <v>5.9434999999999993</v>
      </c>
      <c r="AO51" s="14"/>
      <c r="AP51" s="11">
        <f t="shared" si="10"/>
        <v>0.31796502057613169</v>
      </c>
      <c r="AQ51" s="11">
        <f t="shared" si="11"/>
        <v>0.71542129629629614</v>
      </c>
      <c r="AR51" s="11"/>
      <c r="AT51" s="12">
        <f t="shared" si="12"/>
        <v>0.2139917695473251</v>
      </c>
      <c r="AU51" s="12">
        <f t="shared" si="13"/>
        <v>0.48148148148148145</v>
      </c>
      <c r="AV51" s="12"/>
      <c r="AW51">
        <f t="shared" si="21"/>
        <v>1.4858749999999998</v>
      </c>
      <c r="AX51">
        <f t="shared" si="21"/>
        <v>1.4858749999999998</v>
      </c>
      <c r="AZ51" s="12">
        <f t="shared" si="15"/>
        <v>0.31796502057613163</v>
      </c>
      <c r="BA51" s="12">
        <f t="shared" si="16"/>
        <v>0.71542129629629614</v>
      </c>
      <c r="BJ51" s="12">
        <f t="shared" si="17"/>
        <v>0.2895878301982478</v>
      </c>
      <c r="BK51" s="12">
        <f t="shared" si="18"/>
        <v>0.41940468965936512</v>
      </c>
    </row>
    <row r="52" spans="1:63">
      <c r="A52" s="3">
        <v>2008</v>
      </c>
      <c r="B52" s="4">
        <f>WorldSteel!E19</f>
        <v>24.5</v>
      </c>
      <c r="C52" s="4">
        <f>WorldSteel!F19</f>
        <v>10</v>
      </c>
      <c r="D52" s="4">
        <f>WorldSteel!G19</f>
        <v>39.799999999999997</v>
      </c>
      <c r="E52" s="4">
        <v>24.5</v>
      </c>
      <c r="F52" s="4">
        <v>10</v>
      </c>
      <c r="G52" s="4">
        <v>39.799999999999997</v>
      </c>
      <c r="H52" s="3" t="s">
        <v>8</v>
      </c>
      <c r="J52" s="3">
        <f>Freuhan_2000!$C$2</f>
        <v>7.9</v>
      </c>
      <c r="K52" s="3">
        <f>Freuhan_2000!$D$2</f>
        <v>1.3</v>
      </c>
      <c r="L52" s="3">
        <f>Freuhan_2000!$E$2</f>
        <v>7.9</v>
      </c>
      <c r="N52" s="3">
        <f>ChemExergy!$B$5</f>
        <v>0.10909999999999999</v>
      </c>
      <c r="O52" s="3">
        <f>ChemExergy!$B$8</f>
        <v>0.21149999999999999</v>
      </c>
      <c r="P52" s="3">
        <f>Ayres_2006!$W$78</f>
        <v>6.9635999999999996</v>
      </c>
      <c r="Q52" s="3">
        <f>ChemEnergy!$A$2</f>
        <v>5.2</v>
      </c>
      <c r="R52" s="3">
        <f>Kumar_2020!$D$2</f>
        <v>7.7265499999999996</v>
      </c>
      <c r="T52" s="3">
        <f>Kumar_2020!$B$28</f>
        <v>2.38119718536</v>
      </c>
      <c r="U52" s="3">
        <f>Kumar_2020!$B$27</f>
        <v>7.6226599999999998</v>
      </c>
      <c r="W52" s="3">
        <f>Kumar_2020!$B$31</f>
        <v>1923.15</v>
      </c>
      <c r="X52" s="3">
        <f>Hajidavalloo_2013!$B$2</f>
        <v>1873.15</v>
      </c>
      <c r="Z52" s="11">
        <f t="shared" si="3"/>
        <v>0.32244897959183677</v>
      </c>
      <c r="AA52" s="11">
        <f t="shared" si="4"/>
        <v>0.13</v>
      </c>
      <c r="AB52" s="11"/>
      <c r="AC52">
        <f t="shared" si="5"/>
        <v>0.84756779242388791</v>
      </c>
      <c r="AD52">
        <f t="shared" si="6"/>
        <v>0.84349891893334761</v>
      </c>
      <c r="AF52" s="12">
        <f t="shared" si="7"/>
        <v>0.27329736980198838</v>
      </c>
      <c r="AG52" s="12">
        <f t="shared" si="8"/>
        <v>0.1096548594613352</v>
      </c>
      <c r="AJ52" s="11">
        <f>Freuhan_2000!$C$2/E52</f>
        <v>0.32244897959183677</v>
      </c>
      <c r="AK52" s="11">
        <f>Freuhan_2000!$D$2/Calcs_ChemEx!F52</f>
        <v>0.13</v>
      </c>
      <c r="AL52" s="11"/>
      <c r="AM52" s="14">
        <f t="shared" si="19"/>
        <v>0.97804430379746821</v>
      </c>
      <c r="AN52" s="14">
        <f t="shared" si="20"/>
        <v>5.9434999999999993</v>
      </c>
      <c r="AO52" s="14"/>
      <c r="AP52" s="11">
        <f t="shared" si="10"/>
        <v>0.31536938775510204</v>
      </c>
      <c r="AQ52" s="11">
        <f t="shared" si="11"/>
        <v>0.77265499999999998</v>
      </c>
      <c r="AR52" s="11"/>
      <c r="AT52" s="12">
        <f t="shared" si="12"/>
        <v>0.21224489795918369</v>
      </c>
      <c r="AU52" s="12">
        <f t="shared" si="13"/>
        <v>0.52</v>
      </c>
      <c r="AV52" s="12"/>
      <c r="AW52">
        <f t="shared" si="21"/>
        <v>1.4858749999999998</v>
      </c>
      <c r="AX52">
        <f t="shared" si="21"/>
        <v>1.4858749999999998</v>
      </c>
      <c r="AZ52" s="12">
        <f t="shared" si="15"/>
        <v>0.31536938775510204</v>
      </c>
      <c r="BA52" s="12">
        <f t="shared" si="16"/>
        <v>0.77265499999999998</v>
      </c>
      <c r="BJ52" s="12">
        <f t="shared" si="17"/>
        <v>0.28743325480339921</v>
      </c>
      <c r="BK52" s="12">
        <f t="shared" si="18"/>
        <v>0.43844402604374139</v>
      </c>
    </row>
    <row r="53" spans="1:63">
      <c r="A53" s="3">
        <v>2009</v>
      </c>
      <c r="B53" s="4">
        <f>WorldSteel!E20</f>
        <v>24.2</v>
      </c>
      <c r="C53" s="4">
        <f>WorldSteel!F20</f>
        <v>10.4</v>
      </c>
      <c r="D53" s="4">
        <f>WorldSteel!G20</f>
        <v>46.2</v>
      </c>
      <c r="E53" s="4">
        <v>24.2</v>
      </c>
      <c r="F53" s="4">
        <v>10.4</v>
      </c>
      <c r="G53" s="4">
        <v>46.2</v>
      </c>
      <c r="H53" s="3" t="s">
        <v>8</v>
      </c>
      <c r="J53" s="3">
        <f>Freuhan_2000!$C$2</f>
        <v>7.9</v>
      </c>
      <c r="K53" s="3">
        <f>Freuhan_2000!$D$2</f>
        <v>1.3</v>
      </c>
      <c r="L53" s="3">
        <f>Freuhan_2000!$E$2</f>
        <v>7.9</v>
      </c>
      <c r="N53" s="3">
        <f>ChemExergy!$B$5</f>
        <v>0.10909999999999999</v>
      </c>
      <c r="O53" s="3">
        <f>ChemExergy!$B$8</f>
        <v>0.21149999999999999</v>
      </c>
      <c r="P53" s="3">
        <f>Ayres_2006!$W$78</f>
        <v>6.9635999999999996</v>
      </c>
      <c r="Q53" s="3">
        <f>ChemEnergy!$A$2</f>
        <v>5.2</v>
      </c>
      <c r="R53" s="3">
        <f>Kumar_2020!$D$2</f>
        <v>7.7265499999999996</v>
      </c>
      <c r="T53" s="3">
        <f>Kumar_2020!$B$28</f>
        <v>2.38119718536</v>
      </c>
      <c r="U53" s="3">
        <f>Kumar_2020!$B$27</f>
        <v>7.6226599999999998</v>
      </c>
      <c r="W53" s="3">
        <f>Kumar_2020!$B$31</f>
        <v>1923.15</v>
      </c>
      <c r="X53" s="3">
        <f>Hajidavalloo_2013!$B$2</f>
        <v>1873.15</v>
      </c>
      <c r="Z53" s="11">
        <f t="shared" si="3"/>
        <v>0.32644628099173556</v>
      </c>
      <c r="AA53" s="11">
        <f t="shared" si="4"/>
        <v>0.125</v>
      </c>
      <c r="AB53" s="11"/>
      <c r="AC53">
        <f t="shared" si="5"/>
        <v>0.84756779242388791</v>
      </c>
      <c r="AD53">
        <f t="shared" si="6"/>
        <v>0.84349891893334761</v>
      </c>
      <c r="AF53" s="12">
        <f t="shared" si="7"/>
        <v>0.27668535372515352</v>
      </c>
      <c r="AG53" s="12">
        <f t="shared" si="8"/>
        <v>0.10543736486666845</v>
      </c>
      <c r="AJ53" s="11">
        <f>Freuhan_2000!$C$2/E53</f>
        <v>0.32644628099173556</v>
      </c>
      <c r="AK53" s="11">
        <f>Freuhan_2000!$D$2/Calcs_ChemEx!F53</f>
        <v>0.125</v>
      </c>
      <c r="AL53" s="11"/>
      <c r="AM53" s="14">
        <f t="shared" si="19"/>
        <v>0.97804430379746821</v>
      </c>
      <c r="AN53" s="14">
        <f t="shared" si="20"/>
        <v>5.9434999999999993</v>
      </c>
      <c r="AO53" s="14"/>
      <c r="AP53" s="11">
        <f t="shared" si="10"/>
        <v>0.31927892561983467</v>
      </c>
      <c r="AQ53" s="11">
        <f t="shared" si="11"/>
        <v>0.74293749999999992</v>
      </c>
      <c r="AR53" s="11"/>
      <c r="AT53" s="12">
        <f t="shared" si="12"/>
        <v>0.21487603305785125</v>
      </c>
      <c r="AU53" s="12">
        <f t="shared" si="13"/>
        <v>0.5</v>
      </c>
      <c r="AV53" s="12"/>
      <c r="AW53">
        <f t="shared" si="21"/>
        <v>1.4858749999999998</v>
      </c>
      <c r="AX53">
        <f t="shared" si="21"/>
        <v>1.4858749999999998</v>
      </c>
      <c r="AZ53" s="12">
        <f t="shared" si="15"/>
        <v>0.31927892561983467</v>
      </c>
      <c r="BA53" s="12">
        <f t="shared" si="16"/>
        <v>0.74293749999999992</v>
      </c>
      <c r="BJ53" s="12">
        <f t="shared" si="17"/>
        <v>0.29067727635140206</v>
      </c>
      <c r="BK53" s="12">
        <f t="shared" si="18"/>
        <v>0.42871307565032013</v>
      </c>
    </row>
    <row r="54" spans="1:63">
      <c r="A54" s="3">
        <v>2010</v>
      </c>
      <c r="B54" s="4">
        <f>WorldSteel!E21</f>
        <v>24</v>
      </c>
      <c r="C54" s="4">
        <f>WorldSteel!F21</f>
        <v>9.9</v>
      </c>
      <c r="D54" s="4">
        <f>WorldSteel!G21</f>
        <v>46.2</v>
      </c>
      <c r="E54" s="4">
        <v>24</v>
      </c>
      <c r="F54" s="4">
        <v>9.9</v>
      </c>
      <c r="G54" s="4">
        <v>46.2</v>
      </c>
      <c r="H54" s="3" t="s">
        <v>8</v>
      </c>
      <c r="J54" s="3">
        <f>Freuhan_2000!$C$2</f>
        <v>7.9</v>
      </c>
      <c r="K54" s="3">
        <f>Freuhan_2000!$D$2</f>
        <v>1.3</v>
      </c>
      <c r="L54" s="3">
        <f>Freuhan_2000!$E$2</f>
        <v>7.9</v>
      </c>
      <c r="N54" s="3">
        <f>ChemExergy!$B$5</f>
        <v>0.10909999999999999</v>
      </c>
      <c r="O54" s="3">
        <f>ChemExergy!$B$8</f>
        <v>0.21149999999999999</v>
      </c>
      <c r="P54" s="3">
        <f>Ayres_2006!$W$78</f>
        <v>6.9635999999999996</v>
      </c>
      <c r="Q54" s="3">
        <f>ChemEnergy!$A$2</f>
        <v>5.2</v>
      </c>
      <c r="R54" s="3">
        <f>Kumar_2020!$D$2</f>
        <v>7.7265499999999996</v>
      </c>
      <c r="T54" s="3">
        <f>Kumar_2020!$B$28</f>
        <v>2.38119718536</v>
      </c>
      <c r="U54" s="3">
        <f>Kumar_2020!$B$27</f>
        <v>7.6226599999999998</v>
      </c>
      <c r="W54" s="3">
        <f>Kumar_2020!$B$31</f>
        <v>1923.15</v>
      </c>
      <c r="X54" s="3">
        <f>Hajidavalloo_2013!$B$2</f>
        <v>1873.15</v>
      </c>
      <c r="Z54" s="11">
        <f t="shared" si="3"/>
        <v>0.32916666666666666</v>
      </c>
      <c r="AA54" s="11">
        <f t="shared" si="4"/>
        <v>0.13131313131313133</v>
      </c>
      <c r="AB54" s="11"/>
      <c r="AC54">
        <f t="shared" si="5"/>
        <v>0.84756779242388791</v>
      </c>
      <c r="AD54">
        <f t="shared" si="6"/>
        <v>0.84349891893334761</v>
      </c>
      <c r="AF54" s="12">
        <f t="shared" si="7"/>
        <v>0.27899106500619641</v>
      </c>
      <c r="AG54" s="12">
        <f t="shared" si="8"/>
        <v>0.11076248430437899</v>
      </c>
      <c r="AJ54" s="11">
        <f>Freuhan_2000!$C$2/E54</f>
        <v>0.32916666666666666</v>
      </c>
      <c r="AK54" s="11">
        <f>Freuhan_2000!$D$2/Calcs_ChemEx!F54</f>
        <v>0.13131313131313133</v>
      </c>
      <c r="AL54" s="11"/>
      <c r="AM54" s="14">
        <f t="shared" si="19"/>
        <v>0.97804430379746821</v>
      </c>
      <c r="AN54" s="14">
        <f t="shared" si="20"/>
        <v>5.9434999999999993</v>
      </c>
      <c r="AO54" s="14"/>
      <c r="AP54" s="11">
        <f t="shared" si="10"/>
        <v>0.32193958333333328</v>
      </c>
      <c r="AQ54" s="11">
        <f t="shared" si="11"/>
        <v>0.78045959595959591</v>
      </c>
      <c r="AR54" s="11"/>
      <c r="AT54" s="12">
        <f t="shared" si="12"/>
        <v>0.21666666666666667</v>
      </c>
      <c r="AU54" s="12">
        <f t="shared" si="13"/>
        <v>0.5252525252525253</v>
      </c>
      <c r="AV54" s="12"/>
      <c r="AW54">
        <f t="shared" si="21"/>
        <v>1.4858749999999998</v>
      </c>
      <c r="AX54">
        <f t="shared" si="21"/>
        <v>1.4858749999999998</v>
      </c>
      <c r="AZ54" s="12">
        <f t="shared" si="15"/>
        <v>0.32193958333333333</v>
      </c>
      <c r="BA54" s="12">
        <f t="shared" si="16"/>
        <v>0.78045959595959591</v>
      </c>
      <c r="BJ54" s="12">
        <f t="shared" si="17"/>
        <v>0.29288094644498452</v>
      </c>
      <c r="BK54" s="12">
        <f t="shared" si="18"/>
        <v>0.44094618054564766</v>
      </c>
    </row>
    <row r="55" spans="1:63">
      <c r="A55" s="3">
        <v>2011</v>
      </c>
      <c r="B55" s="4">
        <f>WorldSteel!E22</f>
        <v>23.5</v>
      </c>
      <c r="C55" s="4">
        <f>WorldSteel!F22</f>
        <v>10.199999999999999</v>
      </c>
      <c r="D55" s="4">
        <f>WorldSteel!G22</f>
        <v>46.2</v>
      </c>
      <c r="E55" s="4">
        <v>23.5</v>
      </c>
      <c r="F55" s="4">
        <v>10.199999999999999</v>
      </c>
      <c r="G55" s="4">
        <v>46.2</v>
      </c>
      <c r="H55" s="3" t="s">
        <v>8</v>
      </c>
      <c r="J55" s="3">
        <f>Freuhan_2000!$C$2</f>
        <v>7.9</v>
      </c>
      <c r="K55" s="3">
        <f>Freuhan_2000!$D$2</f>
        <v>1.3</v>
      </c>
      <c r="L55" s="3">
        <f>Freuhan_2000!$E$2</f>
        <v>7.9</v>
      </c>
      <c r="N55" s="3">
        <f>ChemExergy!$B$5</f>
        <v>0.10909999999999999</v>
      </c>
      <c r="O55" s="3">
        <f>ChemExergy!$B$8</f>
        <v>0.21149999999999999</v>
      </c>
      <c r="P55" s="3">
        <f>Ayres_2006!$W$78</f>
        <v>6.9635999999999996</v>
      </c>
      <c r="Q55" s="3">
        <f>ChemEnergy!$A$2</f>
        <v>5.2</v>
      </c>
      <c r="R55" s="3">
        <f>Kumar_2020!$D$2</f>
        <v>7.7265499999999996</v>
      </c>
      <c r="T55" s="3">
        <f>Kumar_2020!$B$28</f>
        <v>2.38119718536</v>
      </c>
      <c r="U55" s="3">
        <f>Kumar_2020!$B$27</f>
        <v>7.6226599999999998</v>
      </c>
      <c r="W55" s="3">
        <f>Kumar_2020!$B$31</f>
        <v>1923.15</v>
      </c>
      <c r="X55" s="3">
        <f>Hajidavalloo_2013!$B$2</f>
        <v>1873.15</v>
      </c>
      <c r="Z55" s="11">
        <f t="shared" si="3"/>
        <v>0.33617021276595749</v>
      </c>
      <c r="AA55" s="11">
        <f t="shared" si="4"/>
        <v>0.12745098039215688</v>
      </c>
      <c r="AB55" s="11"/>
      <c r="AC55">
        <f t="shared" si="5"/>
        <v>0.84756779242388791</v>
      </c>
      <c r="AD55">
        <f t="shared" si="6"/>
        <v>0.84349891893334761</v>
      </c>
      <c r="AF55" s="12">
        <f t="shared" si="7"/>
        <v>0.28492704511271127</v>
      </c>
      <c r="AG55" s="12">
        <f t="shared" si="8"/>
        <v>0.10750476417777961</v>
      </c>
      <c r="AJ55" s="11">
        <f>Freuhan_2000!$C$2/E55</f>
        <v>0.33617021276595749</v>
      </c>
      <c r="AK55" s="11">
        <f>Freuhan_2000!$D$2/Calcs_ChemEx!F55</f>
        <v>0.12745098039215688</v>
      </c>
      <c r="AL55" s="11"/>
      <c r="AM55" s="14">
        <f t="shared" si="19"/>
        <v>0.97804430379746821</v>
      </c>
      <c r="AN55" s="14">
        <f t="shared" si="20"/>
        <v>5.9434999999999993</v>
      </c>
      <c r="AO55" s="14"/>
      <c r="AP55" s="11">
        <f t="shared" si="10"/>
        <v>0.32878936170212764</v>
      </c>
      <c r="AQ55" s="11">
        <f t="shared" si="11"/>
        <v>0.75750490196078435</v>
      </c>
      <c r="AR55" s="11"/>
      <c r="AT55" s="12">
        <f t="shared" si="12"/>
        <v>0.22127659574468087</v>
      </c>
      <c r="AU55" s="12">
        <f t="shared" si="13"/>
        <v>0.50980392156862753</v>
      </c>
      <c r="AV55" s="12"/>
      <c r="AW55">
        <f t="shared" si="21"/>
        <v>1.4858749999999998</v>
      </c>
      <c r="AX55">
        <f t="shared" si="21"/>
        <v>1.4858749999999998</v>
      </c>
      <c r="AZ55" s="12">
        <f t="shared" si="15"/>
        <v>0.32878936170212764</v>
      </c>
      <c r="BA55" s="12">
        <f t="shared" si="16"/>
        <v>0.75750490196078435</v>
      </c>
      <c r="BJ55" s="12">
        <f t="shared" si="17"/>
        <v>0.29853912648100422</v>
      </c>
      <c r="BK55" s="12">
        <f t="shared" si="18"/>
        <v>0.43352395209244859</v>
      </c>
    </row>
    <row r="56" spans="1:63">
      <c r="A56" s="3">
        <v>2012</v>
      </c>
      <c r="B56" s="4">
        <f>WorldSteel!E23</f>
        <v>23.1</v>
      </c>
      <c r="C56" s="4">
        <f>WorldSteel!F23</f>
        <v>10.4</v>
      </c>
      <c r="D56" s="4">
        <f>WorldSteel!G23</f>
        <v>46.2</v>
      </c>
      <c r="E56" s="4">
        <v>23.1</v>
      </c>
      <c r="F56" s="4">
        <v>10.4</v>
      </c>
      <c r="G56" s="4">
        <v>46.2</v>
      </c>
      <c r="H56" s="3" t="s">
        <v>8</v>
      </c>
      <c r="J56" s="3">
        <f>Freuhan_2000!$C$2</f>
        <v>7.9</v>
      </c>
      <c r="K56" s="3">
        <f>Freuhan_2000!$D$2</f>
        <v>1.3</v>
      </c>
      <c r="L56" s="3">
        <f>Freuhan_2000!$E$2</f>
        <v>7.9</v>
      </c>
      <c r="N56" s="3">
        <f>ChemExergy!$B$5</f>
        <v>0.10909999999999999</v>
      </c>
      <c r="O56" s="3">
        <f>ChemExergy!$B$8</f>
        <v>0.21149999999999999</v>
      </c>
      <c r="P56" s="3">
        <f>Ayres_2006!$W$78</f>
        <v>6.9635999999999996</v>
      </c>
      <c r="Q56" s="3">
        <f>ChemEnergy!$A$2</f>
        <v>5.2</v>
      </c>
      <c r="R56" s="3">
        <f>Kumar_2020!$D$2</f>
        <v>7.7265499999999996</v>
      </c>
      <c r="T56" s="3">
        <f>Kumar_2020!$B$28</f>
        <v>2.38119718536</v>
      </c>
      <c r="U56" s="3">
        <f>Kumar_2020!$B$27</f>
        <v>7.6226599999999998</v>
      </c>
      <c r="W56" s="3">
        <f>Kumar_2020!$B$31</f>
        <v>1923.15</v>
      </c>
      <c r="X56" s="3">
        <f>Hajidavalloo_2013!$B$2</f>
        <v>1873.15</v>
      </c>
      <c r="Z56" s="11">
        <f t="shared" si="3"/>
        <v>0.34199134199134201</v>
      </c>
      <c r="AA56" s="11">
        <f t="shared" si="4"/>
        <v>0.125</v>
      </c>
      <c r="AB56" s="11"/>
      <c r="AC56">
        <f t="shared" si="5"/>
        <v>0.84756779242388791</v>
      </c>
      <c r="AD56">
        <f t="shared" si="6"/>
        <v>0.84349891893334761</v>
      </c>
      <c r="AF56" s="12">
        <f t="shared" si="7"/>
        <v>0.28986084675968465</v>
      </c>
      <c r="AG56" s="12">
        <f t="shared" si="8"/>
        <v>0.10543736486666845</v>
      </c>
      <c r="AJ56" s="11">
        <f>Freuhan_2000!$C$2/E56</f>
        <v>0.34199134199134201</v>
      </c>
      <c r="AK56" s="11">
        <f>Freuhan_2000!$D$2/Calcs_ChemEx!F56</f>
        <v>0.125</v>
      </c>
      <c r="AL56" s="11"/>
      <c r="AM56" s="14">
        <f t="shared" si="19"/>
        <v>0.97804430379746821</v>
      </c>
      <c r="AN56" s="14">
        <f t="shared" si="20"/>
        <v>5.9434999999999993</v>
      </c>
      <c r="AO56" s="14"/>
      <c r="AP56" s="11">
        <f t="shared" si="10"/>
        <v>0.33448268398268394</v>
      </c>
      <c r="AQ56" s="11">
        <f t="shared" si="11"/>
        <v>0.74293749999999992</v>
      </c>
      <c r="AR56" s="11"/>
      <c r="AT56" s="12">
        <f t="shared" si="12"/>
        <v>0.22510822510822509</v>
      </c>
      <c r="AU56" s="12">
        <f t="shared" si="13"/>
        <v>0.5</v>
      </c>
      <c r="AV56" s="12"/>
      <c r="AW56">
        <f t="shared" si="21"/>
        <v>1.4858749999999998</v>
      </c>
      <c r="AX56">
        <f t="shared" si="21"/>
        <v>1.4858749999999998</v>
      </c>
      <c r="AZ56" s="12">
        <f t="shared" si="15"/>
        <v>0.33448268398268394</v>
      </c>
      <c r="BA56" s="12">
        <f t="shared" si="16"/>
        <v>0.74293749999999992</v>
      </c>
      <c r="BJ56" s="12">
        <f t="shared" si="17"/>
        <v>0.30322554877599006</v>
      </c>
      <c r="BK56" s="12">
        <f t="shared" si="18"/>
        <v>0.42871307565032013</v>
      </c>
    </row>
    <row r="57" spans="1:63">
      <c r="A57" s="3">
        <v>2013</v>
      </c>
      <c r="B57" s="4">
        <f>WorldSteel!E24</f>
        <v>23.5</v>
      </c>
      <c r="C57" s="4">
        <f>WorldSteel!F24</f>
        <v>10.199999999999999</v>
      </c>
      <c r="D57" s="4">
        <f>WorldSteel!G24</f>
        <v>46.2</v>
      </c>
      <c r="E57" s="4">
        <v>23.5</v>
      </c>
      <c r="F57" s="4">
        <v>10.199999999999999</v>
      </c>
      <c r="G57" s="4">
        <v>46.2</v>
      </c>
      <c r="H57" s="3" t="s">
        <v>8</v>
      </c>
      <c r="J57" s="3">
        <f>Freuhan_2000!$C$2</f>
        <v>7.9</v>
      </c>
      <c r="K57" s="3">
        <f>Freuhan_2000!$D$2</f>
        <v>1.3</v>
      </c>
      <c r="L57" s="3">
        <f>Freuhan_2000!$E$2</f>
        <v>7.9</v>
      </c>
      <c r="N57" s="3">
        <f>ChemExergy!$B$5</f>
        <v>0.10909999999999999</v>
      </c>
      <c r="O57" s="3">
        <f>ChemExergy!$B$8</f>
        <v>0.21149999999999999</v>
      </c>
      <c r="P57" s="3">
        <f>Ayres_2006!$W$78</f>
        <v>6.9635999999999996</v>
      </c>
      <c r="Q57" s="3">
        <f>ChemEnergy!$A$2</f>
        <v>5.2</v>
      </c>
      <c r="R57" s="3">
        <f>Kumar_2020!$D$2</f>
        <v>7.7265499999999996</v>
      </c>
      <c r="T57" s="3">
        <f>Kumar_2020!$B$28</f>
        <v>2.38119718536</v>
      </c>
      <c r="U57" s="3">
        <f>Kumar_2020!$B$27</f>
        <v>7.6226599999999998</v>
      </c>
      <c r="W57" s="3">
        <f>Kumar_2020!$B$31</f>
        <v>1923.15</v>
      </c>
      <c r="X57" s="3">
        <f>Hajidavalloo_2013!$B$2</f>
        <v>1873.15</v>
      </c>
      <c r="Z57" s="11">
        <f t="shared" si="3"/>
        <v>0.33617021276595749</v>
      </c>
      <c r="AA57" s="11">
        <f t="shared" si="4"/>
        <v>0.12745098039215688</v>
      </c>
      <c r="AB57" s="11"/>
      <c r="AC57">
        <f t="shared" si="5"/>
        <v>0.84756779242388791</v>
      </c>
      <c r="AD57">
        <f t="shared" si="6"/>
        <v>0.84349891893334761</v>
      </c>
      <c r="AF57" s="12">
        <f t="shared" si="7"/>
        <v>0.28492704511271127</v>
      </c>
      <c r="AG57" s="12">
        <f t="shared" si="8"/>
        <v>0.10750476417777961</v>
      </c>
      <c r="AJ57" s="11">
        <f>Freuhan_2000!$C$2/E57</f>
        <v>0.33617021276595749</v>
      </c>
      <c r="AK57" s="11">
        <f>Freuhan_2000!$D$2/Calcs_ChemEx!F57</f>
        <v>0.12745098039215688</v>
      </c>
      <c r="AL57" s="11"/>
      <c r="AM57" s="14">
        <f t="shared" si="19"/>
        <v>0.97804430379746821</v>
      </c>
      <c r="AN57" s="14">
        <f t="shared" si="20"/>
        <v>5.9434999999999993</v>
      </c>
      <c r="AO57" s="14"/>
      <c r="AP57" s="11">
        <f t="shared" si="10"/>
        <v>0.32878936170212764</v>
      </c>
      <c r="AQ57" s="11">
        <f t="shared" si="11"/>
        <v>0.75750490196078435</v>
      </c>
      <c r="AR57" s="11"/>
      <c r="AT57" s="12">
        <f t="shared" si="12"/>
        <v>0.22127659574468087</v>
      </c>
      <c r="AU57" s="12">
        <f t="shared" si="13"/>
        <v>0.50980392156862753</v>
      </c>
      <c r="AV57" s="12"/>
      <c r="AW57">
        <f t="shared" si="21"/>
        <v>1.4858749999999998</v>
      </c>
      <c r="AX57">
        <f t="shared" si="21"/>
        <v>1.4858749999999998</v>
      </c>
      <c r="AZ57" s="12">
        <f t="shared" si="15"/>
        <v>0.32878936170212764</v>
      </c>
      <c r="BA57" s="12">
        <f t="shared" si="16"/>
        <v>0.75750490196078435</v>
      </c>
      <c r="BJ57" s="12">
        <f t="shared" si="17"/>
        <v>0.29853912648100422</v>
      </c>
      <c r="BK57" s="12">
        <f t="shared" si="18"/>
        <v>0.43352395209244859</v>
      </c>
    </row>
    <row r="58" spans="1:63">
      <c r="A58" s="3">
        <v>2014</v>
      </c>
      <c r="B58" s="4">
        <f>WorldSteel!E25</f>
        <v>23.2</v>
      </c>
      <c r="C58" s="4">
        <f>WorldSteel!F25</f>
        <v>9.6</v>
      </c>
      <c r="D58" s="4">
        <f>WorldSteel!G25</f>
        <v>46.2</v>
      </c>
      <c r="E58" s="4">
        <v>23.2</v>
      </c>
      <c r="F58" s="4">
        <v>9.6</v>
      </c>
      <c r="G58" s="4">
        <v>46.2</v>
      </c>
      <c r="H58" s="3" t="s">
        <v>8</v>
      </c>
      <c r="J58" s="3">
        <f>Freuhan_2000!$C$2</f>
        <v>7.9</v>
      </c>
      <c r="K58" s="3">
        <f>Freuhan_2000!$D$2</f>
        <v>1.3</v>
      </c>
      <c r="L58" s="3">
        <f>Freuhan_2000!$E$2</f>
        <v>7.9</v>
      </c>
      <c r="N58" s="3">
        <f>ChemExergy!$B$5</f>
        <v>0.10909999999999999</v>
      </c>
      <c r="O58" s="3">
        <f>ChemExergy!$B$8</f>
        <v>0.21149999999999999</v>
      </c>
      <c r="P58" s="3">
        <f>Ayres_2006!$W$78</f>
        <v>6.9635999999999996</v>
      </c>
      <c r="Q58" s="3">
        <f>ChemEnergy!$A$2</f>
        <v>5.2</v>
      </c>
      <c r="R58" s="3">
        <f>Kumar_2020!$D$2</f>
        <v>7.7265499999999996</v>
      </c>
      <c r="T58" s="3">
        <f>Kumar_2020!$B$28</f>
        <v>2.38119718536</v>
      </c>
      <c r="U58" s="3">
        <f>Kumar_2020!$B$27</f>
        <v>7.6226599999999998</v>
      </c>
      <c r="W58" s="3">
        <f>Kumar_2020!$B$31</f>
        <v>1923.15</v>
      </c>
      <c r="X58" s="3">
        <f>Hajidavalloo_2013!$B$2</f>
        <v>1873.15</v>
      </c>
      <c r="Z58" s="11">
        <f t="shared" si="3"/>
        <v>0.34051724137931039</v>
      </c>
      <c r="AA58" s="11">
        <f t="shared" si="4"/>
        <v>0.13541666666666669</v>
      </c>
      <c r="AB58" s="11"/>
      <c r="AC58">
        <f t="shared" si="5"/>
        <v>0.84756779242388791</v>
      </c>
      <c r="AD58">
        <f t="shared" si="6"/>
        <v>0.84349891893334761</v>
      </c>
      <c r="AF58" s="12">
        <f t="shared" si="7"/>
        <v>0.28861144655813425</v>
      </c>
      <c r="AG58" s="12">
        <f t="shared" si="8"/>
        <v>0.11422381193889083</v>
      </c>
      <c r="AJ58" s="11">
        <f>Freuhan_2000!$C$2/E58</f>
        <v>0.34051724137931039</v>
      </c>
      <c r="AK58" s="11">
        <f>Freuhan_2000!$D$2/Calcs_ChemEx!F58</f>
        <v>0.13541666666666669</v>
      </c>
      <c r="AL58" s="11"/>
      <c r="AM58" s="14">
        <f t="shared" si="19"/>
        <v>0.97804430379746821</v>
      </c>
      <c r="AN58" s="14">
        <f t="shared" si="20"/>
        <v>5.9434999999999993</v>
      </c>
      <c r="AO58" s="14"/>
      <c r="AP58" s="11">
        <f t="shared" si="10"/>
        <v>0.33304094827586206</v>
      </c>
      <c r="AQ58" s="11">
        <f t="shared" si="11"/>
        <v>0.80484895833333336</v>
      </c>
      <c r="AR58" s="11"/>
      <c r="AT58" s="12">
        <f t="shared" si="12"/>
        <v>0.22413793103448276</v>
      </c>
      <c r="AU58" s="12">
        <f t="shared" si="13"/>
        <v>0.54166666666666674</v>
      </c>
      <c r="AV58" s="12"/>
      <c r="AW58">
        <f t="shared" si="21"/>
        <v>1.4858749999999998</v>
      </c>
      <c r="AX58">
        <f t="shared" si="21"/>
        <v>1.4858749999999998</v>
      </c>
      <c r="AZ58" s="12">
        <f t="shared" si="15"/>
        <v>0.33304094827586206</v>
      </c>
      <c r="BA58" s="12">
        <f t="shared" si="16"/>
        <v>0.80484895833333336</v>
      </c>
      <c r="BJ58" s="12">
        <f t="shared" si="17"/>
        <v>0.30204020335771731</v>
      </c>
      <c r="BK58" s="12">
        <f t="shared" si="18"/>
        <v>0.44862698328829581</v>
      </c>
    </row>
    <row r="59" spans="1:63">
      <c r="A59" s="3">
        <v>2015</v>
      </c>
      <c r="B59" s="4">
        <f>WorldSteel!E26</f>
        <v>23.9</v>
      </c>
      <c r="C59" s="4">
        <f>WorldSteel!F26</f>
        <v>9.6</v>
      </c>
      <c r="D59" s="4">
        <f>WorldSteel!G26</f>
        <v>46.2</v>
      </c>
      <c r="E59" s="4">
        <v>23.9</v>
      </c>
      <c r="F59" s="4">
        <v>9.6</v>
      </c>
      <c r="G59" s="4">
        <v>46.2</v>
      </c>
      <c r="H59" s="3" t="s">
        <v>8</v>
      </c>
      <c r="J59" s="3">
        <f>Freuhan_2000!$C$2</f>
        <v>7.9</v>
      </c>
      <c r="K59" s="3">
        <f>Freuhan_2000!$D$2</f>
        <v>1.3</v>
      </c>
      <c r="L59" s="3">
        <f>Freuhan_2000!$E$2</f>
        <v>7.9</v>
      </c>
      <c r="N59" s="3">
        <f>ChemExergy!$B$5</f>
        <v>0.10909999999999999</v>
      </c>
      <c r="O59" s="3">
        <f>ChemExergy!$B$8</f>
        <v>0.21149999999999999</v>
      </c>
      <c r="P59" s="3">
        <f>Ayres_2006!$W$78</f>
        <v>6.9635999999999996</v>
      </c>
      <c r="Q59" s="3">
        <f>ChemEnergy!$A$2</f>
        <v>5.2</v>
      </c>
      <c r="R59" s="3">
        <f>Kumar_2020!$D$2</f>
        <v>7.7265499999999996</v>
      </c>
      <c r="T59" s="3">
        <f>Kumar_2020!$B$28</f>
        <v>2.38119718536</v>
      </c>
      <c r="U59" s="3">
        <f>Kumar_2020!$B$27</f>
        <v>7.6226599999999998</v>
      </c>
      <c r="W59" s="3">
        <f>Kumar_2020!$B$31</f>
        <v>1923.15</v>
      </c>
      <c r="X59" s="3">
        <f>Hajidavalloo_2013!$B$2</f>
        <v>1873.15</v>
      </c>
      <c r="Z59" s="11">
        <f t="shared" si="3"/>
        <v>0.33054393305439334</v>
      </c>
      <c r="AA59" s="11">
        <f t="shared" si="4"/>
        <v>0.13541666666666669</v>
      </c>
      <c r="AB59" s="11"/>
      <c r="AC59">
        <f t="shared" si="5"/>
        <v>0.84756779242388791</v>
      </c>
      <c r="AD59">
        <f t="shared" si="6"/>
        <v>0.84349891893334761</v>
      </c>
      <c r="AF59" s="12">
        <f t="shared" si="7"/>
        <v>0.28015839163802153</v>
      </c>
      <c r="AG59" s="12">
        <f t="shared" si="8"/>
        <v>0.11422381193889083</v>
      </c>
      <c r="AJ59" s="11">
        <f>Freuhan_2000!$C$2/E59</f>
        <v>0.33054393305439334</v>
      </c>
      <c r="AK59" s="11">
        <f>Freuhan_2000!$D$2/Calcs_ChemEx!F59</f>
        <v>0.13541666666666669</v>
      </c>
      <c r="AL59" s="11"/>
      <c r="AM59" s="14">
        <f t="shared" si="19"/>
        <v>0.97804430379746821</v>
      </c>
      <c r="AN59" s="14">
        <f t="shared" si="20"/>
        <v>5.9434999999999993</v>
      </c>
      <c r="AO59" s="14"/>
      <c r="AP59" s="11">
        <f t="shared" si="10"/>
        <v>0.32328661087866106</v>
      </c>
      <c r="AQ59" s="11">
        <f t="shared" si="11"/>
        <v>0.80484895833333336</v>
      </c>
      <c r="AR59" s="11"/>
      <c r="AT59" s="12">
        <f t="shared" si="12"/>
        <v>0.21757322175732219</v>
      </c>
      <c r="AU59" s="12">
        <f t="shared" si="13"/>
        <v>0.54166666666666674</v>
      </c>
      <c r="AV59" s="12"/>
      <c r="AW59">
        <f t="shared" si="21"/>
        <v>1.4858749999999998</v>
      </c>
      <c r="AX59">
        <f t="shared" si="21"/>
        <v>1.4858749999999998</v>
      </c>
      <c r="AZ59" s="12">
        <f t="shared" si="15"/>
        <v>0.32328661087866106</v>
      </c>
      <c r="BA59" s="12">
        <f t="shared" si="16"/>
        <v>0.80484895833333336</v>
      </c>
      <c r="BJ59" s="12">
        <f t="shared" si="17"/>
        <v>0.29399535894445827</v>
      </c>
      <c r="BK59" s="12">
        <f t="shared" si="18"/>
        <v>0.44862698328829581</v>
      </c>
    </row>
    <row r="60" spans="1:63">
      <c r="A60" s="3">
        <v>2016</v>
      </c>
      <c r="B60" s="4">
        <f>WorldSteel!E27</f>
        <v>23.9</v>
      </c>
      <c r="C60" s="4">
        <f>WorldSteel!F27</f>
        <v>9.6</v>
      </c>
      <c r="D60" s="4">
        <f>WorldSteel!G27</f>
        <v>46.2</v>
      </c>
      <c r="E60" s="4">
        <v>23.9</v>
      </c>
      <c r="F60" s="4">
        <v>9.6</v>
      </c>
      <c r="G60" s="4">
        <v>46.2</v>
      </c>
      <c r="H60" s="3" t="s">
        <v>8</v>
      </c>
      <c r="J60" s="3">
        <f>Freuhan_2000!$C$2</f>
        <v>7.9</v>
      </c>
      <c r="K60" s="3">
        <f>Freuhan_2000!$D$2</f>
        <v>1.3</v>
      </c>
      <c r="L60" s="3">
        <f>Freuhan_2000!$E$2</f>
        <v>7.9</v>
      </c>
      <c r="N60" s="3">
        <f>ChemExergy!$B$5</f>
        <v>0.10909999999999999</v>
      </c>
      <c r="O60" s="3">
        <f>ChemExergy!$B$8</f>
        <v>0.21149999999999999</v>
      </c>
      <c r="P60" s="3">
        <f>Ayres_2006!$W$78</f>
        <v>6.9635999999999996</v>
      </c>
      <c r="Q60" s="3">
        <f>ChemEnergy!$A$2</f>
        <v>5.2</v>
      </c>
      <c r="R60" s="3">
        <f>Kumar_2020!$D$2</f>
        <v>7.7265499999999996</v>
      </c>
      <c r="T60" s="3">
        <f>Kumar_2020!$B$28</f>
        <v>2.38119718536</v>
      </c>
      <c r="U60" s="3">
        <f>Kumar_2020!$B$27</f>
        <v>7.6226599999999998</v>
      </c>
      <c r="W60" s="3">
        <f>Kumar_2020!$B$31</f>
        <v>1923.15</v>
      </c>
      <c r="X60" s="3">
        <f>Hajidavalloo_2013!$B$2</f>
        <v>1873.15</v>
      </c>
      <c r="Z60" s="11">
        <f t="shared" si="3"/>
        <v>0.33054393305439334</v>
      </c>
      <c r="AA60" s="11">
        <f t="shared" si="4"/>
        <v>0.13541666666666669</v>
      </c>
      <c r="AB60" s="11"/>
      <c r="AC60">
        <f t="shared" si="5"/>
        <v>0.84756779242388791</v>
      </c>
      <c r="AD60">
        <f t="shared" si="6"/>
        <v>0.84349891893334761</v>
      </c>
      <c r="AF60" s="12">
        <f t="shared" si="7"/>
        <v>0.28015839163802153</v>
      </c>
      <c r="AG60" s="12">
        <f t="shared" si="8"/>
        <v>0.11422381193889083</v>
      </c>
      <c r="AJ60" s="11">
        <f>Freuhan_2000!$C$2/E60</f>
        <v>0.33054393305439334</v>
      </c>
      <c r="AK60" s="11">
        <f>Freuhan_2000!$D$2/Calcs_ChemEx!F60</f>
        <v>0.13541666666666669</v>
      </c>
      <c r="AL60" s="11"/>
      <c r="AM60" s="14">
        <f t="shared" si="19"/>
        <v>0.97804430379746821</v>
      </c>
      <c r="AN60" s="14">
        <f t="shared" si="20"/>
        <v>5.9434999999999993</v>
      </c>
      <c r="AO60" s="14"/>
      <c r="AP60" s="11">
        <f t="shared" si="10"/>
        <v>0.32328661087866106</v>
      </c>
      <c r="AQ60" s="11">
        <f t="shared" si="11"/>
        <v>0.80484895833333336</v>
      </c>
      <c r="AR60" s="11"/>
      <c r="AT60" s="12">
        <f t="shared" si="12"/>
        <v>0.21757322175732219</v>
      </c>
      <c r="AU60" s="12">
        <f t="shared" si="13"/>
        <v>0.54166666666666674</v>
      </c>
      <c r="AV60" s="12"/>
      <c r="AW60">
        <f t="shared" si="21"/>
        <v>1.4858749999999998</v>
      </c>
      <c r="AX60">
        <f t="shared" si="21"/>
        <v>1.4858749999999998</v>
      </c>
      <c r="AZ60" s="12">
        <f t="shared" si="15"/>
        <v>0.32328661087866106</v>
      </c>
      <c r="BA60" s="12">
        <f t="shared" si="16"/>
        <v>0.80484895833333336</v>
      </c>
      <c r="BJ60" s="12">
        <f t="shared" si="17"/>
        <v>0.29399535894445827</v>
      </c>
      <c r="BK60" s="12">
        <f t="shared" si="18"/>
        <v>0.44862698328829581</v>
      </c>
    </row>
    <row r="61" spans="1:63">
      <c r="A61" s="3">
        <v>2017</v>
      </c>
      <c r="B61" s="4">
        <f>WorldSteel!E28</f>
        <v>23.9</v>
      </c>
      <c r="C61" s="4">
        <f>WorldSteel!F28</f>
        <v>9.6</v>
      </c>
      <c r="D61" s="4">
        <f>WorldSteel!G28</f>
        <v>46.2</v>
      </c>
      <c r="E61" s="4">
        <v>23.9</v>
      </c>
      <c r="F61" s="4">
        <v>9.6</v>
      </c>
      <c r="G61" s="4">
        <v>46.2</v>
      </c>
      <c r="H61" s="3" t="s">
        <v>8</v>
      </c>
      <c r="J61" s="3">
        <f>Freuhan_2000!$C$2</f>
        <v>7.9</v>
      </c>
      <c r="K61" s="3">
        <f>Freuhan_2000!$D$2</f>
        <v>1.3</v>
      </c>
      <c r="L61" s="3">
        <f>Freuhan_2000!$E$2</f>
        <v>7.9</v>
      </c>
      <c r="N61" s="3">
        <f>ChemExergy!$B$5</f>
        <v>0.10909999999999999</v>
      </c>
      <c r="O61" s="3">
        <f>ChemExergy!$B$8</f>
        <v>0.21149999999999999</v>
      </c>
      <c r="P61" s="3">
        <f>Ayres_2006!$W$78</f>
        <v>6.9635999999999996</v>
      </c>
      <c r="Q61" s="3">
        <f>ChemEnergy!$A$2</f>
        <v>5.2</v>
      </c>
      <c r="R61" s="3">
        <f>Kumar_2020!$D$2</f>
        <v>7.7265499999999996</v>
      </c>
      <c r="T61" s="3">
        <f>Kumar_2020!$B$28</f>
        <v>2.38119718536</v>
      </c>
      <c r="U61" s="3">
        <f>Kumar_2020!$B$27</f>
        <v>7.6226599999999998</v>
      </c>
      <c r="W61" s="3">
        <f>Kumar_2020!$B$31</f>
        <v>1923.15</v>
      </c>
      <c r="X61" s="3">
        <f>Hajidavalloo_2013!$B$2</f>
        <v>1873.15</v>
      </c>
      <c r="Z61" s="11">
        <f t="shared" si="3"/>
        <v>0.33054393305439334</v>
      </c>
      <c r="AA61" s="11">
        <f t="shared" si="4"/>
        <v>0.13541666666666669</v>
      </c>
      <c r="AB61" s="11"/>
      <c r="AC61">
        <f t="shared" si="5"/>
        <v>0.84756779242388791</v>
      </c>
      <c r="AD61">
        <f t="shared" si="6"/>
        <v>0.84349891893334761</v>
      </c>
      <c r="AF61" s="12">
        <f t="shared" si="7"/>
        <v>0.28015839163802153</v>
      </c>
      <c r="AG61" s="12">
        <f t="shared" si="8"/>
        <v>0.11422381193889083</v>
      </c>
      <c r="AJ61" s="11">
        <f>Freuhan_2000!$C$2/E61</f>
        <v>0.33054393305439334</v>
      </c>
      <c r="AK61" s="11">
        <f>Freuhan_2000!$D$2/Calcs_ChemEx!F61</f>
        <v>0.13541666666666669</v>
      </c>
      <c r="AL61" s="11"/>
      <c r="AM61" s="14">
        <f t="shared" si="19"/>
        <v>0.97804430379746821</v>
      </c>
      <c r="AN61" s="14">
        <f t="shared" si="20"/>
        <v>5.9434999999999993</v>
      </c>
      <c r="AO61" s="14"/>
      <c r="AP61" s="11">
        <f t="shared" si="10"/>
        <v>0.32328661087866106</v>
      </c>
      <c r="AQ61" s="11">
        <f t="shared" si="11"/>
        <v>0.80484895833333336</v>
      </c>
      <c r="AR61" s="11"/>
      <c r="AT61" s="12">
        <f t="shared" si="12"/>
        <v>0.21757322175732219</v>
      </c>
      <c r="AU61" s="12">
        <f t="shared" si="13"/>
        <v>0.54166666666666674</v>
      </c>
      <c r="AV61" s="12"/>
      <c r="AW61">
        <f t="shared" si="21"/>
        <v>1.4858749999999998</v>
      </c>
      <c r="AX61">
        <f t="shared" si="21"/>
        <v>1.4858749999999998</v>
      </c>
      <c r="AZ61" s="12">
        <f t="shared" si="15"/>
        <v>0.32328661087866106</v>
      </c>
      <c r="BA61" s="12">
        <f t="shared" si="16"/>
        <v>0.80484895833333336</v>
      </c>
      <c r="BJ61" s="12">
        <f t="shared" si="17"/>
        <v>0.29399535894445827</v>
      </c>
      <c r="BK61" s="12">
        <f t="shared" si="18"/>
        <v>0.44862698328829581</v>
      </c>
    </row>
    <row r="62" spans="1:63">
      <c r="A62" s="3">
        <v>2018</v>
      </c>
      <c r="B62" s="4"/>
      <c r="C62" s="4"/>
      <c r="D62" s="4"/>
      <c r="E62" s="4">
        <f>_xlfn.FORECAST.LINEAR(A62,$E$52:$E$61,$A$52:$A$61)</f>
        <v>23.486666666666679</v>
      </c>
      <c r="F62" s="4">
        <f>_xlfn.FORECAST.LINEAR(A62,$F$52:$F$61,$A$52:$A$61)</f>
        <v>9.5266666666666424</v>
      </c>
      <c r="G62" s="4">
        <f>_xlfn.FORECAST.LINEAR(A62,$G$52:$G$61,$A$52:$A$61)</f>
        <v>47.479999999999905</v>
      </c>
      <c r="H62" s="3" t="s">
        <v>20</v>
      </c>
      <c r="J62" s="3">
        <f>Freuhan_2000!$C$2</f>
        <v>7.9</v>
      </c>
      <c r="K62" s="3">
        <f>Freuhan_2000!$D$2</f>
        <v>1.3</v>
      </c>
      <c r="L62" s="3">
        <f>Freuhan_2000!$E$2</f>
        <v>7.9</v>
      </c>
      <c r="N62" s="3">
        <f>ChemExergy!$B$5</f>
        <v>0.10909999999999999</v>
      </c>
      <c r="O62" s="3">
        <f>ChemExergy!$B$8</f>
        <v>0.21149999999999999</v>
      </c>
      <c r="P62" s="3">
        <f>Ayres_2006!$W$78</f>
        <v>6.9635999999999996</v>
      </c>
      <c r="Q62" s="3">
        <f>ChemEnergy!$A$2</f>
        <v>5.2</v>
      </c>
      <c r="R62" s="3">
        <f>Kumar_2020!$D$2</f>
        <v>7.7265499999999996</v>
      </c>
      <c r="T62" s="3">
        <f>Kumar_2020!$B$28</f>
        <v>2.38119718536</v>
      </c>
      <c r="U62" s="3">
        <f>Kumar_2020!$B$27</f>
        <v>7.6226599999999998</v>
      </c>
      <c r="W62" s="3">
        <f>Kumar_2020!$B$31</f>
        <v>1923.15</v>
      </c>
      <c r="X62" s="3">
        <f>Hajidavalloo_2013!$B$2</f>
        <v>1873.15</v>
      </c>
      <c r="Z62" s="11">
        <f t="shared" si="3"/>
        <v>0.33636105591825133</v>
      </c>
      <c r="AA62" s="11">
        <f t="shared" si="4"/>
        <v>0.13645906228131596</v>
      </c>
      <c r="AB62" s="11"/>
      <c r="AC62">
        <f t="shared" si="5"/>
        <v>0.84756779242388791</v>
      </c>
      <c r="AD62">
        <f t="shared" si="6"/>
        <v>0.84349891893334761</v>
      </c>
      <c r="AF62" s="12">
        <f t="shared" si="7"/>
        <v>0.28508879762200018</v>
      </c>
      <c r="AG62" s="12">
        <f t="shared" si="8"/>
        <v>0.11510307151294837</v>
      </c>
      <c r="AJ62" s="11">
        <f>Freuhan_2000!$C$2/E62</f>
        <v>0.33636105591825133</v>
      </c>
      <c r="AK62" s="11">
        <f>Freuhan_2000!$D$2/Calcs_ChemEx!F62</f>
        <v>0.13645906228131596</v>
      </c>
      <c r="AL62" s="11"/>
      <c r="AM62" s="14">
        <f t="shared" si="19"/>
        <v>0.97804430379746821</v>
      </c>
      <c r="AN62" s="14">
        <f t="shared" si="20"/>
        <v>5.9434999999999993</v>
      </c>
      <c r="AO62" s="14"/>
      <c r="AP62" s="11">
        <f t="shared" si="10"/>
        <v>0.32897601476014737</v>
      </c>
      <c r="AQ62" s="11">
        <f t="shared" si="11"/>
        <v>0.81104443666900128</v>
      </c>
      <c r="AR62" s="11"/>
      <c r="AT62" s="12">
        <f t="shared" si="12"/>
        <v>0.22140221402214011</v>
      </c>
      <c r="AU62" s="12">
        <f t="shared" si="13"/>
        <v>0.54583624912526385</v>
      </c>
      <c r="AV62" s="12"/>
      <c r="AW62">
        <f t="shared" si="21"/>
        <v>1.4858749999999998</v>
      </c>
      <c r="AX62">
        <f t="shared" si="21"/>
        <v>1.4858749999999998</v>
      </c>
      <c r="AZ62" s="12">
        <f t="shared" si="15"/>
        <v>0.32897601476014737</v>
      </c>
      <c r="BA62" s="12">
        <f t="shared" si="16"/>
        <v>0.81104443666900128</v>
      </c>
      <c r="BJ62" s="12">
        <f t="shared" si="17"/>
        <v>0.29869300550670108</v>
      </c>
      <c r="BK62" s="12">
        <f t="shared" si="18"/>
        <v>0.45054538584410958</v>
      </c>
    </row>
    <row r="63" spans="1:63">
      <c r="A63" s="3">
        <v>2019</v>
      </c>
      <c r="B63" s="4"/>
      <c r="C63" s="4"/>
      <c r="D63" s="4"/>
      <c r="E63" s="4">
        <f>_xlfn.FORECAST.LINEAR(A63,$E$52:$E$61,$A$52:$A$61)</f>
        <v>23.435151515151531</v>
      </c>
      <c r="F63" s="4">
        <f>_xlfn.FORECAST.LINEAR(A63,$F$52:$F$61,$A$52:$A$61)</f>
        <v>9.4496969696969302</v>
      </c>
      <c r="G63" s="4">
        <f>_xlfn.FORECAST.LINEAR(A63,$G$52:$G$61,$A$52:$A$61)</f>
        <v>47.829090909090837</v>
      </c>
      <c r="H63" s="3" t="s">
        <v>20</v>
      </c>
      <c r="J63" s="3">
        <f>Freuhan_2000!$C$2</f>
        <v>7.9</v>
      </c>
      <c r="K63" s="3">
        <f>Freuhan_2000!$D$2</f>
        <v>1.3</v>
      </c>
      <c r="L63" s="3">
        <f>Freuhan_2000!$E$2</f>
        <v>7.9</v>
      </c>
      <c r="N63" s="3">
        <f>ChemExergy!$B$5</f>
        <v>0.10909999999999999</v>
      </c>
      <c r="O63" s="3">
        <f>ChemExergy!$B$8</f>
        <v>0.21149999999999999</v>
      </c>
      <c r="P63" s="3">
        <f>Ayres_2006!$W$78</f>
        <v>6.9635999999999996</v>
      </c>
      <c r="Q63" s="3">
        <f>ChemEnergy!$A$2</f>
        <v>5.2</v>
      </c>
      <c r="R63" s="3">
        <f>Kumar_2020!$D$2</f>
        <v>7.7265499999999996</v>
      </c>
      <c r="T63" s="3">
        <f>Kumar_2020!$B$28</f>
        <v>2.38119718536</v>
      </c>
      <c r="U63" s="3">
        <f>Kumar_2020!$B$27</f>
        <v>7.6226599999999998</v>
      </c>
      <c r="W63" s="3">
        <f>Kumar_2020!$B$31</f>
        <v>1923.15</v>
      </c>
      <c r="X63" s="3">
        <f>Hajidavalloo_2013!$B$2</f>
        <v>1873.15</v>
      </c>
      <c r="Z63" s="11">
        <f t="shared" si="3"/>
        <v>0.33710044481224766</v>
      </c>
      <c r="AA63" s="11">
        <f t="shared" si="4"/>
        <v>0.13757054899948751</v>
      </c>
      <c r="AB63" s="11"/>
      <c r="AC63">
        <f t="shared" si="5"/>
        <v>0.84756779242388791</v>
      </c>
      <c r="AD63">
        <f t="shared" si="6"/>
        <v>0.84349891893334761</v>
      </c>
      <c r="AF63" s="12">
        <f t="shared" si="7"/>
        <v>0.28571547983462742</v>
      </c>
      <c r="AG63" s="12">
        <f t="shared" si="8"/>
        <v>0.11604060935813484</v>
      </c>
      <c r="AJ63" s="11">
        <f>Freuhan_2000!$C$2/E63</f>
        <v>0.33710044481224766</v>
      </c>
      <c r="AK63" s="11">
        <f>Freuhan_2000!$D$2/Calcs_ChemEx!F63</f>
        <v>0.13757054899948751</v>
      </c>
      <c r="AL63" s="11"/>
      <c r="AM63" s="14">
        <f t="shared" si="19"/>
        <v>0.97804430379746821</v>
      </c>
      <c r="AN63" s="14">
        <f t="shared" si="20"/>
        <v>5.9434999999999993</v>
      </c>
      <c r="AO63" s="14"/>
      <c r="AP63" s="11">
        <f t="shared" si="10"/>
        <v>0.32969916985621162</v>
      </c>
      <c r="AQ63" s="11">
        <f t="shared" si="11"/>
        <v>0.81765055797845387</v>
      </c>
      <c r="AR63" s="11"/>
      <c r="AT63" s="12">
        <f t="shared" si="12"/>
        <v>0.22188890038274528</v>
      </c>
      <c r="AU63" s="12">
        <f t="shared" si="13"/>
        <v>0.55028219599795003</v>
      </c>
      <c r="AV63" s="12"/>
      <c r="AW63">
        <f t="shared" si="21"/>
        <v>1.4858749999999998</v>
      </c>
      <c r="AX63">
        <f t="shared" si="21"/>
        <v>1.4858749999999998</v>
      </c>
      <c r="AZ63" s="12">
        <f t="shared" si="15"/>
        <v>0.32969916985621162</v>
      </c>
      <c r="BA63" s="12">
        <f t="shared" si="16"/>
        <v>0.81765055797845387</v>
      </c>
      <c r="BJ63" s="12">
        <f t="shared" si="17"/>
        <v>0.29928903152159947</v>
      </c>
      <c r="BK63" s="12">
        <f t="shared" si="18"/>
        <v>0.45257664268117526</v>
      </c>
    </row>
    <row r="64" spans="1:63">
      <c r="A64" s="3">
        <v>2020</v>
      </c>
      <c r="B64" s="4"/>
      <c r="C64" s="4"/>
      <c r="D64" s="4"/>
      <c r="E64" s="4">
        <f>_xlfn.FORECAST.LINEAR(A64,$E$52:$E$61,$A$52:$A$61)</f>
        <v>23.383636363636384</v>
      </c>
      <c r="F64" s="4">
        <f>_xlfn.FORECAST.LINEAR(A64,$F$52:$F$61,$A$52:$A$61)</f>
        <v>9.3727272727272464</v>
      </c>
      <c r="G64" s="4">
        <f>_xlfn.FORECAST.LINEAR(A64,$G$52:$G$61,$A$52:$A$61)</f>
        <v>48.17818181818177</v>
      </c>
      <c r="H64" s="3" t="s">
        <v>20</v>
      </c>
      <c r="J64" s="3">
        <f>Freuhan_2000!$C$2</f>
        <v>7.9</v>
      </c>
      <c r="K64" s="3">
        <f>Freuhan_2000!$D$2</f>
        <v>1.3</v>
      </c>
      <c r="L64" s="3">
        <f>Freuhan_2000!$E$2</f>
        <v>7.9</v>
      </c>
      <c r="N64" s="3">
        <f>ChemExergy!$B$5</f>
        <v>0.10909999999999999</v>
      </c>
      <c r="O64" s="3">
        <f>ChemExergy!$B$8</f>
        <v>0.21149999999999999</v>
      </c>
      <c r="P64" s="3">
        <f>Ayres_2006!$W$78</f>
        <v>6.9635999999999996</v>
      </c>
      <c r="Q64" s="3">
        <f>ChemEnergy!$A$2</f>
        <v>5.2</v>
      </c>
      <c r="R64" s="3">
        <f>Kumar_2020!$D$2</f>
        <v>7.7265499999999996</v>
      </c>
      <c r="T64" s="3">
        <f>Kumar_2020!$B$28</f>
        <v>2.38119718536</v>
      </c>
      <c r="U64" s="3">
        <f>Kumar_2020!$B$27</f>
        <v>7.6226599999999998</v>
      </c>
      <c r="W64" s="3">
        <f>Kumar_2020!$B$31</f>
        <v>1923.15</v>
      </c>
      <c r="X64" s="3">
        <f>Hajidavalloo_2013!$B$2</f>
        <v>1873.15</v>
      </c>
      <c r="Z64" s="11">
        <f t="shared" si="3"/>
        <v>0.33784309151698905</v>
      </c>
      <c r="AA64" s="11">
        <f t="shared" si="4"/>
        <v>0.13870029097963182</v>
      </c>
      <c r="AB64" s="11"/>
      <c r="AC64">
        <f t="shared" si="5"/>
        <v>0.84756779242388791</v>
      </c>
      <c r="AD64">
        <f t="shared" si="6"/>
        <v>0.84349891893334761</v>
      </c>
      <c r="AF64" s="12">
        <f t="shared" si="7"/>
        <v>0.28634492326271593</v>
      </c>
      <c r="AG64" s="12">
        <f t="shared" si="8"/>
        <v>0.11699354549706019</v>
      </c>
      <c r="AJ64" s="11">
        <f>Freuhan_2000!$C$2/E64</f>
        <v>0.33784309151698905</v>
      </c>
      <c r="AK64" s="11">
        <f>Freuhan_2000!$D$2/Calcs_ChemEx!F64</f>
        <v>0.13870029097963182</v>
      </c>
      <c r="AL64" s="11"/>
      <c r="AM64" s="14">
        <f t="shared" si="19"/>
        <v>0.97804430379746821</v>
      </c>
      <c r="AN64" s="14">
        <f t="shared" si="20"/>
        <v>5.9434999999999993</v>
      </c>
      <c r="AO64" s="14"/>
      <c r="AP64" s="11">
        <f t="shared" si="10"/>
        <v>0.33042551123551789</v>
      </c>
      <c r="AQ64" s="11">
        <f t="shared" si="11"/>
        <v>0.8243651794374417</v>
      </c>
      <c r="AR64" s="11"/>
      <c r="AT64" s="12">
        <f t="shared" si="12"/>
        <v>0.22237773112510673</v>
      </c>
      <c r="AU64" s="12">
        <f t="shared" si="13"/>
        <v>0.5548011639185273</v>
      </c>
      <c r="AV64" s="12"/>
      <c r="AW64">
        <f t="shared" si="21"/>
        <v>1.4858749999999998</v>
      </c>
      <c r="AX64">
        <f t="shared" si="21"/>
        <v>1.4858749999999998</v>
      </c>
      <c r="AZ64" s="12">
        <f t="shared" si="15"/>
        <v>0.33042551123551794</v>
      </c>
      <c r="BA64" s="12">
        <f t="shared" si="16"/>
        <v>0.8243651794374417</v>
      </c>
      <c r="BJ64" s="12">
        <f t="shared" si="17"/>
        <v>0.2998874409689703</v>
      </c>
      <c r="BK64" s="12">
        <f t="shared" si="18"/>
        <v>0.45462629806611765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C000"/>
  </sheetPr>
  <dimension ref="A1:C2"/>
  <sheetViews>
    <sheetView workbookViewId="0">
      <selection activeCell="B12" sqref="B12"/>
    </sheetView>
  </sheetViews>
  <sheetFormatPr defaultColWidth="8.88671875" defaultRowHeight="14.4"/>
  <cols>
    <col min="1" max="1" width="26.109375" style="3" bestFit="1" customWidth="1"/>
  </cols>
  <sheetData>
    <row r="1" spans="1:3" s="10" customFormat="1">
      <c r="A1" s="9" t="s">
        <v>53</v>
      </c>
      <c r="C1" s="2" t="s">
        <v>54</v>
      </c>
    </row>
    <row r="2" spans="1:3">
      <c r="A2" s="3">
        <v>5.2</v>
      </c>
      <c r="C2" s="3"/>
    </row>
  </sheetData>
  <hyperlinks>
    <hyperlink ref="C1" r:id="rId1" location=":~:text=Energy%20density%20is%20the%20amount,(or%20gravimetric%20energy%20density)." xr:uid="{00000000-0004-0000-1A00-000000000000}"/>
  </hyperlinks>
  <pageMargins left="0.7" right="0.7" top="0.75" bottom="0.75" header="0.3" footer="0.3"/>
  <pageSetup paperSize="9" orientation="portrait"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C000"/>
  </sheetPr>
  <dimension ref="A1:AR1"/>
  <sheetViews>
    <sheetView zoomScale="70" zoomScaleNormal="70" workbookViewId="0">
      <selection activeCell="Z23" sqref="Z23"/>
    </sheetView>
  </sheetViews>
  <sheetFormatPr defaultColWidth="8.88671875" defaultRowHeight="14.4"/>
  <cols>
    <col min="12" max="12" width="9.109375" style="34"/>
    <col min="23" max="23" width="9.109375" style="34"/>
    <col min="34" max="34" width="9.109375" style="34"/>
  </cols>
  <sheetData>
    <row r="1" spans="1:44" s="35" customFormat="1" ht="28.8">
      <c r="A1" s="160" t="s">
        <v>105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 t="s">
        <v>107</v>
      </c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 t="s">
        <v>108</v>
      </c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 t="s">
        <v>106</v>
      </c>
      <c r="AI1" s="160"/>
      <c r="AJ1" s="160"/>
      <c r="AK1" s="160"/>
      <c r="AL1" s="160"/>
      <c r="AM1" s="160"/>
      <c r="AN1" s="160"/>
      <c r="AO1" s="160"/>
      <c r="AP1" s="160"/>
      <c r="AQ1" s="160"/>
      <c r="AR1" s="160"/>
    </row>
  </sheetData>
  <mergeCells count="4">
    <mergeCell ref="A1:K1"/>
    <mergeCell ref="L1:V1"/>
    <mergeCell ref="W1:AG1"/>
    <mergeCell ref="AH1:AR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6</vt:i4>
      </vt:variant>
    </vt:vector>
  </HeadingPairs>
  <TitlesOfParts>
    <vt:vector size="33" baseType="lpstr">
      <vt:lpstr>REFS</vt:lpstr>
      <vt:lpstr>FIN_ETA</vt:lpstr>
      <vt:lpstr>Calcs</vt:lpstr>
      <vt:lpstr>WorldSteel</vt:lpstr>
      <vt:lpstr>Mernier_1984</vt:lpstr>
      <vt:lpstr>Krishnan_2013</vt:lpstr>
      <vt:lpstr>DOE_2015</vt:lpstr>
      <vt:lpstr>Freuhan_2000</vt:lpstr>
      <vt:lpstr>Goldemberg_2001</vt:lpstr>
      <vt:lpstr>Meyers_1993</vt:lpstr>
      <vt:lpstr>China PB data</vt:lpstr>
      <vt:lpstr>ISSB UK data</vt:lpstr>
      <vt:lpstr>Johansson_2012</vt:lpstr>
      <vt:lpstr>Sargsyan_2008</vt:lpstr>
      <vt:lpstr>Bravard_1972</vt:lpstr>
      <vt:lpstr>Hajidavalloo_2013</vt:lpstr>
      <vt:lpstr>Blanchard_2011</vt:lpstr>
      <vt:lpstr>Ayres_2006</vt:lpstr>
      <vt:lpstr>IndianMOP_2015</vt:lpstr>
      <vt:lpstr>Units</vt:lpstr>
      <vt:lpstr>Hernandez_2018</vt:lpstr>
      <vt:lpstr>de Beer_1998</vt:lpstr>
      <vt:lpstr>Kumar_2020</vt:lpstr>
      <vt:lpstr>ChemExergy</vt:lpstr>
      <vt:lpstr>Calcs_ChemEx</vt:lpstr>
      <vt:lpstr>ChemEnergy</vt:lpstr>
      <vt:lpstr>Figures</vt:lpstr>
      <vt:lpstr>ChemExergy!_Hlk31405465</vt:lpstr>
      <vt:lpstr>BF_BOF_min</vt:lpstr>
      <vt:lpstr>Btu_to_GJ</vt:lpstr>
      <vt:lpstr>kWh_to_GJ</vt:lpstr>
      <vt:lpstr>lb_to_metrictonne</vt:lpstr>
      <vt:lpstr>mcal_to_GJ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Zeke Marshall</dc:creator>
  <cp:lastModifiedBy>User</cp:lastModifiedBy>
  <dcterms:created xsi:type="dcterms:W3CDTF">2020-11-20T13:43:42Z</dcterms:created>
  <dcterms:modified xsi:type="dcterms:W3CDTF">2022-07-11T12:36:22Z</dcterms:modified>
</cp:coreProperties>
</file>