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4.xml" ContentType="application/vnd.openxmlformats-officedocument.spreadsheetml.comments+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User\Dropbox\Fellowship 1960-2015 PFU database\Data\Machines - Data\Refrigerators\"/>
    </mc:Choice>
  </mc:AlternateContent>
  <xr:revisionPtr revIDLastSave="0" documentId="13_ncr:1_{022FF9EE-E1AE-4152-A425-F8786E963E2B}" xr6:coauthVersionLast="47" xr6:coauthVersionMax="47" xr10:uidLastSave="{00000000-0000-0000-0000-000000000000}"/>
  <bookViews>
    <workbookView xWindow="-108" yWindow="-108" windowWidth="23256" windowHeight="13176" tabRatio="780" activeTab="3" xr2:uid="{00000000-000D-0000-FFFF-FFFF00000000}"/>
  </bookViews>
  <sheets>
    <sheet name="REFS" sheetId="19" r:id="rId1"/>
    <sheet name="FIN_ETA" sheetId="6" r:id="rId2"/>
    <sheet name="Calcs" sheetId="15" r:id="rId3"/>
    <sheet name="Calcs_USA" sheetId="5" r:id="rId4"/>
    <sheet name="Dahmus_2014" sheetId="4" r:id="rId5"/>
    <sheet name="AHAM_2017" sheetId="10" r:id="rId6"/>
    <sheet name="Daioglou_2010" sheetId="16" r:id="rId7"/>
    <sheet name="Geller_1988" sheetId="14" r:id="rId8"/>
    <sheet name="Laguerre_2010" sheetId="13" r:id="rId9"/>
    <sheet name="Constants" sheetId="12" r:id="rId10"/>
    <sheet name="Air_Properties" sheetId="11" r:id="rId11"/>
    <sheet name="Weiss_2008" sheetId="17" r:id="rId12"/>
    <sheet name="Heun_2019" sheetId="1" r:id="rId13"/>
    <sheet name="VerBeek_2020" sheetId="8" r:id="rId14"/>
    <sheet name="ASAP_2016" sheetId="2" r:id="rId15"/>
    <sheet name="Schipper_1991" sheetId="9" r:id="rId16"/>
  </sheets>
  <externalReferences>
    <externalReference r:id="rId17"/>
    <externalReference r:id="rId18"/>
    <externalReference r:id="rId19"/>
  </externalReferences>
  <definedNames>
    <definedName name="air_temp">Constants!#REF!</definedName>
    <definedName name="COP_max">Heun_2019!$B$12</definedName>
    <definedName name="deltaE_food" localSheetId="2">#REF!</definedName>
    <definedName name="deltaE_food">#REF!</definedName>
    <definedName name="Ep_tot_cap_2000" localSheetId="2">#REF!</definedName>
    <definedName name="Ep_tot_cap_2000">#REF!</definedName>
    <definedName name="eta_charcoal">'[1]Stove efficiencies'!$B$6</definedName>
    <definedName name="eta_chcl_stove">'[2]Residential--Stove Efficiency'!$F$91</definedName>
    <definedName name="eta_coke_ttl">'[2]Industry -- Coke furnace'!$L$4</definedName>
    <definedName name="eta_firewood">'[1]Stove efficiencies'!$B$5</definedName>
    <definedName name="eta_ker_light">'[2]Kerosene Use'!$O$30</definedName>
    <definedName name="eta_ker_stove">'[2]Kerosene Use'!$S$19</definedName>
    <definedName name="eta_kerosene" localSheetId="13">'[3]Stove efficiencies'!$B$7</definedName>
    <definedName name="eta_kerosene">'[1]Stove efficiencies'!$B$7</definedName>
    <definedName name="eta_LPG">'[1]Stove efficiencies'!$B$8</definedName>
    <definedName name="eta_lpg_stove">'[2]Residential--Stove Efficiency'!$F$92</definedName>
    <definedName name="ft3_to_m3">Constants!$B$2</definedName>
    <definedName name="heat_transfer_coefficient">Constants!$B$5</definedName>
    <definedName name="int_temp">Constants!$B$7</definedName>
    <definedName name="internalvol_to_internalarea">Constants!$B$4</definedName>
    <definedName name="l_to_m3">Constants!$B$6</definedName>
    <definedName name="N_ml" localSheetId="2">#REF!</definedName>
    <definedName name="N_ml">#REF!</definedName>
    <definedName name="phi_100">'[2]Phi Values'!$C$9</definedName>
    <definedName name="phi_1000">'[2]Phi Values'!$C$12</definedName>
    <definedName name="phi_200">'[2]Phi Values'!$C$10</definedName>
    <definedName name="phi_Combustible_renewables">[1]phi_heat!$C$17</definedName>
    <definedName name="phi_Electricity">[1]phi_heat!$C$28</definedName>
    <definedName name="phi_Feed">[1]phi_heat!$C$27</definedName>
    <definedName name="phi_Food">[1]phi_heat!$C$26</definedName>
    <definedName name="phi_HTH.600.C">[1]phi_heat!$C$10</definedName>
    <definedName name="phi_Hydro">[1]phi_heat!$C$19</definedName>
    <definedName name="phi_ker_light">'[2]Kerosene Use'!$O$32</definedName>
    <definedName name="phi_LTH.neg20.C">[1]phi_heat!$C$6</definedName>
    <definedName name="phi_MTH.100.C" localSheetId="13">[3]phi_heat!$C$8</definedName>
    <definedName name="phi_MTH.100.C">[1]phi_heat!$C$8</definedName>
    <definedName name="phi_MTH.200.C">[1]phi_heat!$C$9</definedName>
    <definedName name="phi_Natural_gas">[1]phi_heat!$C$15</definedName>
    <definedName name="phi_Oil_and_oil_products">[1]phi_heat!$C$16</definedName>
    <definedName name="phi_Phytomass">[1]phi_heat!$C$29</definedName>
    <definedName name="S_food" localSheetId="2">#REF!</definedName>
    <definedName name="S_food">#REF!</definedName>
    <definedName name="S_food_2000" localSheetId="2">#REF!</definedName>
    <definedName name="S_food_2000">#REF!</definedName>
    <definedName name="S_food_S_food_2000" localSheetId="2">#REF!</definedName>
    <definedName name="S_food_S_food_2000">#REF!</definedName>
    <definedName name="T_0">Heun_2019!$B$10</definedName>
    <definedName name="T_0_ref" localSheetId="13">VerBeek_2020!$B$20</definedName>
    <definedName name="T_0_ref">Heun_2019!$B$10</definedName>
    <definedName name="T_ref" localSheetId="13">VerBeek_2020!$B$31</definedName>
    <definedName name="T_ref">Heun_2019!$B$11</definedName>
    <definedName name="temp_diff">Constants!$B$9</definedName>
    <definedName name="w" localSheetId="2">#REF!</definedName>
    <definedName name="w">#REF!</definedName>
    <definedName name="Year_Food" localSheetId="2">#REF!</definedName>
    <definedName name="Year_Food">#REF!</definedName>
    <definedName name="year_to_hour">Constants!$B$3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9" i="12" l="1"/>
  <c r="D4" i="15" l="1"/>
  <c r="J4" i="15"/>
  <c r="D5" i="15"/>
  <c r="J5" i="15"/>
  <c r="D6" i="15"/>
  <c r="J6" i="15"/>
  <c r="D7" i="15"/>
  <c r="J7" i="15"/>
  <c r="D8" i="15"/>
  <c r="J8" i="15"/>
  <c r="D9" i="15"/>
  <c r="J9" i="15"/>
  <c r="D10" i="15"/>
  <c r="J10" i="15"/>
  <c r="D11" i="15"/>
  <c r="J11" i="15"/>
  <c r="D12" i="15"/>
  <c r="J12" i="15"/>
  <c r="D13" i="15"/>
  <c r="J13" i="15"/>
  <c r="D14" i="15"/>
  <c r="J14" i="15"/>
  <c r="D15" i="15"/>
  <c r="J15" i="15"/>
  <c r="D16" i="15"/>
  <c r="J16" i="15"/>
  <c r="D17" i="15"/>
  <c r="J17" i="15"/>
  <c r="D18" i="15"/>
  <c r="J18" i="15"/>
  <c r="D19" i="15"/>
  <c r="J19" i="15"/>
  <c r="D20" i="15"/>
  <c r="J20" i="15"/>
  <c r="D21" i="15"/>
  <c r="J21" i="15"/>
  <c r="D22" i="15"/>
  <c r="J22" i="15"/>
  <c r="D23" i="15"/>
  <c r="J23" i="15"/>
  <c r="D24" i="15"/>
  <c r="J24" i="15"/>
  <c r="D25" i="15"/>
  <c r="J25" i="15"/>
  <c r="D26" i="15"/>
  <c r="J26" i="15"/>
  <c r="D27" i="15"/>
  <c r="J27" i="15"/>
  <c r="D28" i="15"/>
  <c r="J28" i="15"/>
  <c r="D29" i="15"/>
  <c r="J29" i="15"/>
  <c r="D30" i="15"/>
  <c r="J30" i="15"/>
  <c r="D31" i="15"/>
  <c r="J31" i="15"/>
  <c r="D32" i="15"/>
  <c r="J32" i="15"/>
  <c r="D33" i="15"/>
  <c r="J33" i="15"/>
  <c r="D34" i="15"/>
  <c r="J34" i="15"/>
  <c r="D35" i="15"/>
  <c r="J35" i="15"/>
  <c r="D36" i="15"/>
  <c r="J36" i="15"/>
  <c r="D37" i="15"/>
  <c r="J37" i="15"/>
  <c r="D38" i="15"/>
  <c r="J38" i="15"/>
  <c r="D39" i="15"/>
  <c r="J39" i="15"/>
  <c r="D40" i="15"/>
  <c r="J40" i="15"/>
  <c r="D41" i="15"/>
  <c r="J41" i="15"/>
  <c r="D42" i="15"/>
  <c r="J42" i="15"/>
  <c r="D43" i="15"/>
  <c r="J43" i="15"/>
  <c r="D44" i="15"/>
  <c r="J44" i="15"/>
  <c r="D45" i="15"/>
  <c r="J45" i="15"/>
  <c r="D46" i="15"/>
  <c r="J46" i="15"/>
  <c r="D47" i="15"/>
  <c r="J47" i="15"/>
  <c r="D48" i="15"/>
  <c r="J48" i="15"/>
  <c r="D49" i="15"/>
  <c r="J49" i="15"/>
  <c r="D50" i="15"/>
  <c r="J50" i="15"/>
  <c r="D51" i="15"/>
  <c r="J51" i="15"/>
  <c r="D52" i="15"/>
  <c r="J52" i="15"/>
  <c r="D53" i="15"/>
  <c r="J53" i="15"/>
  <c r="D54" i="15"/>
  <c r="J54" i="15"/>
  <c r="D55" i="15"/>
  <c r="J55" i="15"/>
  <c r="D56" i="15"/>
  <c r="J56" i="15"/>
  <c r="D57" i="15"/>
  <c r="J57" i="15"/>
  <c r="D58" i="15"/>
  <c r="J58" i="15"/>
  <c r="D59" i="15"/>
  <c r="J59" i="15"/>
  <c r="D60" i="15"/>
  <c r="J60" i="15"/>
  <c r="J61" i="15"/>
  <c r="J62" i="15"/>
  <c r="J63" i="15"/>
  <c r="D3" i="15"/>
  <c r="J3" i="15"/>
  <c r="I26" i="16" l="1"/>
  <c r="I27" i="16"/>
  <c r="I28" i="16"/>
  <c r="I29" i="16"/>
  <c r="I30" i="16"/>
  <c r="I31" i="16"/>
  <c r="I32" i="16"/>
  <c r="I33" i="16"/>
  <c r="I25" i="16"/>
  <c r="I16" i="16"/>
  <c r="I17" i="16"/>
  <c r="I18" i="16"/>
  <c r="I19" i="16"/>
  <c r="I20" i="16"/>
  <c r="I21" i="16"/>
  <c r="I15" i="16"/>
  <c r="I7" i="16"/>
  <c r="T24" i="15" s="1"/>
  <c r="I8" i="16"/>
  <c r="T28" i="15" s="1"/>
  <c r="I9" i="16"/>
  <c r="T33" i="15" s="1"/>
  <c r="I10" i="16"/>
  <c r="T38" i="15" s="1"/>
  <c r="I11" i="16"/>
  <c r="T43" i="15" s="1"/>
  <c r="I6" i="16"/>
  <c r="T23" i="15" s="1"/>
  <c r="D46" i="16"/>
  <c r="D47" i="16"/>
  <c r="D48" i="16"/>
  <c r="D49" i="16"/>
  <c r="D50" i="16"/>
  <c r="D51" i="16"/>
  <c r="D45" i="16"/>
  <c r="D38" i="16"/>
  <c r="D39" i="16"/>
  <c r="D40" i="16"/>
  <c r="D41" i="16"/>
  <c r="D37" i="16"/>
  <c r="D21" i="16"/>
  <c r="D22" i="16"/>
  <c r="D23" i="16"/>
  <c r="D24" i="16"/>
  <c r="D25" i="16"/>
  <c r="D26" i="16"/>
  <c r="D27" i="16"/>
  <c r="D28" i="16"/>
  <c r="D29" i="16"/>
  <c r="D30" i="16"/>
  <c r="D31" i="16"/>
  <c r="D32" i="16"/>
  <c r="D33" i="16"/>
  <c r="D20" i="16"/>
  <c r="D14" i="16"/>
  <c r="D15" i="16"/>
  <c r="D16" i="16"/>
  <c r="D13" i="16"/>
  <c r="D7" i="16"/>
  <c r="D8" i="16"/>
  <c r="D9" i="16"/>
  <c r="D6" i="16"/>
  <c r="T29" i="15" l="1"/>
  <c r="T30" i="15" s="1"/>
  <c r="T31" i="15" s="1"/>
  <c r="T32" i="15" s="1"/>
  <c r="T34" i="15"/>
  <c r="T35" i="15" s="1"/>
  <c r="T36" i="15" s="1"/>
  <c r="T37" i="15" s="1"/>
  <c r="T25" i="15"/>
  <c r="T26" i="15" s="1"/>
  <c r="T27" i="15" s="1"/>
  <c r="T39" i="15"/>
  <c r="T40" i="15" s="1"/>
  <c r="T41" i="15" s="1"/>
  <c r="T42" i="15" s="1"/>
  <c r="N7" i="16"/>
  <c r="O4" i="15" s="1"/>
  <c r="Q4" i="15" s="1"/>
  <c r="N8" i="16"/>
  <c r="O5" i="15" s="1"/>
  <c r="Q5" i="15" s="1"/>
  <c r="N9" i="16"/>
  <c r="O6" i="15" s="1"/>
  <c r="Q6" i="15" s="1"/>
  <c r="N10" i="16"/>
  <c r="O7" i="15" s="1"/>
  <c r="Q7" i="15" s="1"/>
  <c r="N11" i="16"/>
  <c r="O8" i="15" s="1"/>
  <c r="Q8" i="15" s="1"/>
  <c r="N12" i="16"/>
  <c r="O9" i="15" s="1"/>
  <c r="Q9" i="15" s="1"/>
  <c r="N13" i="16"/>
  <c r="O10" i="15" s="1"/>
  <c r="Q10" i="15" s="1"/>
  <c r="N14" i="16"/>
  <c r="O11" i="15" s="1"/>
  <c r="Q11" i="15" s="1"/>
  <c r="N15" i="16"/>
  <c r="O12" i="15" s="1"/>
  <c r="Q12" i="15" s="1"/>
  <c r="N16" i="16"/>
  <c r="O13" i="15" s="1"/>
  <c r="Q13" i="15" s="1"/>
  <c r="N17" i="16"/>
  <c r="O14" i="15" s="1"/>
  <c r="Q14" i="15" s="1"/>
  <c r="N18" i="16"/>
  <c r="O15" i="15" s="1"/>
  <c r="Q15" i="15" s="1"/>
  <c r="N19" i="16"/>
  <c r="O16" i="15" s="1"/>
  <c r="Q16" i="15" s="1"/>
  <c r="N20" i="16"/>
  <c r="O17" i="15" s="1"/>
  <c r="Q17" i="15" s="1"/>
  <c r="N21" i="16"/>
  <c r="O18" i="15" s="1"/>
  <c r="Q18" i="15" s="1"/>
  <c r="N22" i="16"/>
  <c r="O19" i="15" s="1"/>
  <c r="Q19" i="15" s="1"/>
  <c r="N23" i="16"/>
  <c r="O20" i="15" s="1"/>
  <c r="Q20" i="15" s="1"/>
  <c r="N24" i="16"/>
  <c r="O21" i="15" s="1"/>
  <c r="Q21" i="15" s="1"/>
  <c r="N25" i="16"/>
  <c r="O22" i="15" s="1"/>
  <c r="Q22" i="15" s="1"/>
  <c r="N26" i="16"/>
  <c r="O23" i="15" s="1"/>
  <c r="Q23" i="15" s="1"/>
  <c r="N27" i="16"/>
  <c r="O24" i="15" s="1"/>
  <c r="Q24" i="15" s="1"/>
  <c r="N28" i="16"/>
  <c r="O25" i="15" s="1"/>
  <c r="Q25" i="15" s="1"/>
  <c r="N29" i="16"/>
  <c r="O26" i="15" s="1"/>
  <c r="Q26" i="15" s="1"/>
  <c r="N30" i="16"/>
  <c r="O27" i="15" s="1"/>
  <c r="Q27" i="15" s="1"/>
  <c r="N31" i="16"/>
  <c r="O28" i="15" s="1"/>
  <c r="Q28" i="15" s="1"/>
  <c r="N32" i="16"/>
  <c r="O29" i="15" s="1"/>
  <c r="Q29" i="15" s="1"/>
  <c r="N33" i="16"/>
  <c r="O30" i="15" s="1"/>
  <c r="Q30" i="15" s="1"/>
  <c r="N34" i="16"/>
  <c r="O31" i="15" s="1"/>
  <c r="Q31" i="15" s="1"/>
  <c r="N35" i="16"/>
  <c r="O32" i="15" s="1"/>
  <c r="Q32" i="15" s="1"/>
  <c r="N36" i="16"/>
  <c r="O33" i="15" s="1"/>
  <c r="Q33" i="15" s="1"/>
  <c r="N37" i="16"/>
  <c r="O34" i="15" s="1"/>
  <c r="Q34" i="15" s="1"/>
  <c r="N38" i="16"/>
  <c r="O35" i="15" s="1"/>
  <c r="Q35" i="15" s="1"/>
  <c r="N39" i="16"/>
  <c r="O36" i="15" s="1"/>
  <c r="Q36" i="15" s="1"/>
  <c r="N40" i="16"/>
  <c r="O37" i="15" s="1"/>
  <c r="Q37" i="15" s="1"/>
  <c r="N41" i="16"/>
  <c r="O38" i="15" s="1"/>
  <c r="Q38" i="15" s="1"/>
  <c r="N42" i="16"/>
  <c r="O39" i="15" s="1"/>
  <c r="Q39" i="15" s="1"/>
  <c r="N43" i="16"/>
  <c r="O40" i="15" s="1"/>
  <c r="Q40" i="15" s="1"/>
  <c r="N44" i="16"/>
  <c r="O41" i="15" s="1"/>
  <c r="Q41" i="15" s="1"/>
  <c r="N45" i="16"/>
  <c r="O42" i="15" s="1"/>
  <c r="Q42" i="15" s="1"/>
  <c r="N46" i="16"/>
  <c r="O43" i="15" s="1"/>
  <c r="Q43" i="15" s="1"/>
  <c r="N47" i="16"/>
  <c r="O44" i="15" s="1"/>
  <c r="Q44" i="15" s="1"/>
  <c r="N48" i="16"/>
  <c r="O45" i="15" s="1"/>
  <c r="Q45" i="15" s="1"/>
  <c r="N49" i="16"/>
  <c r="O46" i="15" s="1"/>
  <c r="Q46" i="15" s="1"/>
  <c r="N50" i="16"/>
  <c r="O47" i="15" s="1"/>
  <c r="Q47" i="15" s="1"/>
  <c r="N51" i="16"/>
  <c r="O48" i="15" s="1"/>
  <c r="Q48" i="15" s="1"/>
  <c r="N52" i="16"/>
  <c r="O49" i="15" s="1"/>
  <c r="Q49" i="15" s="1"/>
  <c r="N53" i="16"/>
  <c r="O50" i="15" s="1"/>
  <c r="Q50" i="15" s="1"/>
  <c r="N54" i="16"/>
  <c r="O51" i="15" s="1"/>
  <c r="Q51" i="15" s="1"/>
  <c r="N55" i="16"/>
  <c r="O52" i="15" s="1"/>
  <c r="Q52" i="15" s="1"/>
  <c r="N56" i="16"/>
  <c r="O53" i="15" s="1"/>
  <c r="Q53" i="15" s="1"/>
  <c r="N57" i="16"/>
  <c r="O54" i="15" s="1"/>
  <c r="Q54" i="15" s="1"/>
  <c r="N58" i="16"/>
  <c r="O55" i="15" s="1"/>
  <c r="Q55" i="15" s="1"/>
  <c r="N59" i="16"/>
  <c r="O56" i="15" s="1"/>
  <c r="Q56" i="15" s="1"/>
  <c r="N60" i="16"/>
  <c r="O57" i="15" s="1"/>
  <c r="Q57" i="15" s="1"/>
  <c r="N61" i="16"/>
  <c r="O58" i="15" s="1"/>
  <c r="Q58" i="15" s="1"/>
  <c r="N62" i="16"/>
  <c r="O59" i="15" s="1"/>
  <c r="Q59" i="15" s="1"/>
  <c r="N63" i="16"/>
  <c r="O60" i="15" s="1"/>
  <c r="Q60" i="15" s="1"/>
  <c r="N64" i="16"/>
  <c r="O61" i="15" s="1"/>
  <c r="Q61" i="15" s="1"/>
  <c r="N65" i="16"/>
  <c r="O62" i="15" s="1"/>
  <c r="Q62" i="15" s="1"/>
  <c r="N66" i="16"/>
  <c r="O63" i="15" s="1"/>
  <c r="Q63" i="15" s="1"/>
  <c r="N6" i="16"/>
  <c r="O3" i="15" s="1"/>
  <c r="Q3" i="15" s="1"/>
  <c r="J11" i="14" l="1"/>
  <c r="H11" i="14"/>
  <c r="C11" i="14"/>
  <c r="J7" i="14"/>
  <c r="H7" i="14"/>
  <c r="C7" i="14"/>
  <c r="B5" i="12" l="1"/>
  <c r="B52" i="13"/>
  <c r="B50" i="13"/>
  <c r="B49" i="13"/>
  <c r="B54" i="13" s="1"/>
  <c r="B4" i="12" s="1"/>
  <c r="B43" i="13"/>
  <c r="B44" i="13"/>
  <c r="B64" i="5"/>
  <c r="C64" i="5"/>
  <c r="B65" i="5"/>
  <c r="C65" i="5"/>
  <c r="B66" i="5"/>
  <c r="C66" i="5"/>
  <c r="B67" i="5"/>
  <c r="C67" i="5"/>
  <c r="B68" i="5"/>
  <c r="C68" i="5"/>
  <c r="B69" i="5"/>
  <c r="C69" i="5"/>
  <c r="B70" i="5"/>
  <c r="C70" i="5"/>
  <c r="C63" i="5"/>
  <c r="B63" i="5"/>
  <c r="AT18" i="1"/>
  <c r="F64" i="5" l="1"/>
  <c r="E54" i="15" s="1"/>
  <c r="B54" i="15"/>
  <c r="F66" i="5"/>
  <c r="E56" i="15" s="1"/>
  <c r="B56" i="15"/>
  <c r="I66" i="5"/>
  <c r="H56" i="15" s="1"/>
  <c r="C56" i="15"/>
  <c r="F70" i="5"/>
  <c r="E60" i="15" s="1"/>
  <c r="B60" i="15"/>
  <c r="I69" i="5"/>
  <c r="H59" i="15" s="1"/>
  <c r="C59" i="15"/>
  <c r="I65" i="5"/>
  <c r="H55" i="15" s="1"/>
  <c r="C55" i="15"/>
  <c r="F68" i="5"/>
  <c r="E58" i="15" s="1"/>
  <c r="B58" i="15"/>
  <c r="I67" i="5"/>
  <c r="H57" i="15" s="1"/>
  <c r="C57" i="15"/>
  <c r="I70" i="5"/>
  <c r="H60" i="15" s="1"/>
  <c r="C60" i="15"/>
  <c r="F63" i="5"/>
  <c r="E53" i="15" s="1"/>
  <c r="B53" i="15"/>
  <c r="I63" i="5"/>
  <c r="H53" i="15" s="1"/>
  <c r="C53" i="15"/>
  <c r="F67" i="5"/>
  <c r="E57" i="15" s="1"/>
  <c r="B57" i="15"/>
  <c r="F69" i="5"/>
  <c r="E59" i="15" s="1"/>
  <c r="B59" i="15"/>
  <c r="F65" i="5"/>
  <c r="E55" i="15" s="1"/>
  <c r="B55" i="15"/>
  <c r="I68" i="5"/>
  <c r="H58" i="15" s="1"/>
  <c r="C58" i="15"/>
  <c r="I64" i="5"/>
  <c r="H54" i="15" s="1"/>
  <c r="C54" i="15"/>
  <c r="R34" i="15"/>
  <c r="S34" i="15" s="1"/>
  <c r="V34" i="15" s="1"/>
  <c r="R17" i="15"/>
  <c r="S17" i="15" s="1"/>
  <c r="R47" i="15"/>
  <c r="R24" i="15"/>
  <c r="S24" i="15" s="1"/>
  <c r="V24" i="15" s="1"/>
  <c r="R11" i="15"/>
  <c r="S11" i="15" s="1"/>
  <c r="R53" i="15"/>
  <c r="S53" i="15" s="1"/>
  <c r="R40" i="15"/>
  <c r="S40" i="15" s="1"/>
  <c r="V40" i="15" s="1"/>
  <c r="R29" i="15"/>
  <c r="S29" i="15" s="1"/>
  <c r="V29" i="15" s="1"/>
  <c r="R59" i="15"/>
  <c r="S59" i="15" s="1"/>
  <c r="R9" i="15"/>
  <c r="S9" i="15" s="1"/>
  <c r="R15" i="15"/>
  <c r="R63" i="15"/>
  <c r="S63" i="15" s="1"/>
  <c r="R50" i="15"/>
  <c r="S50" i="15" s="1"/>
  <c r="R37" i="15"/>
  <c r="S37" i="15" s="1"/>
  <c r="V37" i="15" s="1"/>
  <c r="R8" i="15"/>
  <c r="S8" i="15" s="1"/>
  <c r="R13" i="15"/>
  <c r="S13" i="15" s="1"/>
  <c r="R58" i="15"/>
  <c r="S58" i="15" s="1"/>
  <c r="R51" i="15"/>
  <c r="S51" i="15" s="1"/>
  <c r="R19" i="15"/>
  <c r="R26" i="15"/>
  <c r="S26" i="15" s="1"/>
  <c r="V26" i="15" s="1"/>
  <c r="R42" i="15"/>
  <c r="S42" i="15" s="1"/>
  <c r="V42" i="15" s="1"/>
  <c r="R25" i="15"/>
  <c r="S25" i="15" s="1"/>
  <c r="V25" i="15" s="1"/>
  <c r="R48" i="15"/>
  <c r="S48" i="15" s="1"/>
  <c r="R10" i="15"/>
  <c r="S10" i="15" s="1"/>
  <c r="R27" i="15"/>
  <c r="S27" i="15" s="1"/>
  <c r="V27" i="15" s="1"/>
  <c r="R52" i="15"/>
  <c r="S52" i="15" s="1"/>
  <c r="R7" i="15"/>
  <c r="R23" i="15"/>
  <c r="R3" i="15"/>
  <c r="S3" i="15" s="1"/>
  <c r="R21" i="15"/>
  <c r="S21" i="15" s="1"/>
  <c r="R55" i="15"/>
  <c r="S55" i="15" s="1"/>
  <c r="R36" i="15"/>
  <c r="S36" i="15" s="1"/>
  <c r="V36" i="15" s="1"/>
  <c r="R49" i="15"/>
  <c r="S49" i="15" s="1"/>
  <c r="R22" i="15"/>
  <c r="S22" i="15" s="1"/>
  <c r="R62" i="15"/>
  <c r="R56" i="15"/>
  <c r="S56" i="15" s="1"/>
  <c r="R54" i="15"/>
  <c r="S54" i="15" s="1"/>
  <c r="R38" i="15"/>
  <c r="S38" i="15" s="1"/>
  <c r="V38" i="15" s="1"/>
  <c r="R57" i="15"/>
  <c r="S57" i="15" s="1"/>
  <c r="R20" i="15"/>
  <c r="S20" i="15" s="1"/>
  <c r="R44" i="15"/>
  <c r="S44" i="15" s="1"/>
  <c r="R46" i="15"/>
  <c r="S46" i="15" s="1"/>
  <c r="R32" i="15"/>
  <c r="S32" i="15" s="1"/>
  <c r="V32" i="15" s="1"/>
  <c r="R5" i="15"/>
  <c r="S5" i="15" s="1"/>
  <c r="R31" i="15"/>
  <c r="S31" i="15" s="1"/>
  <c r="V31" i="15" s="1"/>
  <c r="R35" i="15"/>
  <c r="S35" i="15" s="1"/>
  <c r="V35" i="15" s="1"/>
  <c r="R12" i="15"/>
  <c r="S12" i="15" s="1"/>
  <c r="R4" i="15"/>
  <c r="S4" i="15" s="1"/>
  <c r="R33" i="15"/>
  <c r="S33" i="15" s="1"/>
  <c r="V33" i="15" s="1"/>
  <c r="R6" i="15"/>
  <c r="S6" i="15" s="1"/>
  <c r="R61" i="15"/>
  <c r="R16" i="15"/>
  <c r="S16" i="15" s="1"/>
  <c r="R43" i="15"/>
  <c r="S43" i="15" s="1"/>
  <c r="V43" i="15" s="1"/>
  <c r="R45" i="15"/>
  <c r="S45" i="15" s="1"/>
  <c r="R41" i="15"/>
  <c r="S41" i="15" s="1"/>
  <c r="V41" i="15" s="1"/>
  <c r="R18" i="15"/>
  <c r="S18" i="15" s="1"/>
  <c r="R28" i="15"/>
  <c r="S28" i="15" s="1"/>
  <c r="V28" i="15" s="1"/>
  <c r="R14" i="15"/>
  <c r="S14" i="15" s="1"/>
  <c r="R39" i="15"/>
  <c r="R60" i="15"/>
  <c r="S60" i="15" s="1"/>
  <c r="R30" i="15"/>
  <c r="S30" i="15" s="1"/>
  <c r="V30" i="15" s="1"/>
  <c r="E7" i="14"/>
  <c r="I7" i="14" s="1"/>
  <c r="K7" i="14" s="1"/>
  <c r="E11" i="14"/>
  <c r="I11" i="14" s="1"/>
  <c r="K11" i="14" s="1"/>
  <c r="S61" i="15"/>
  <c r="S62" i="15"/>
  <c r="S7" i="15"/>
  <c r="S15" i="15"/>
  <c r="S23" i="15"/>
  <c r="V23" i="15" s="1"/>
  <c r="S39" i="15"/>
  <c r="V39" i="15" s="1"/>
  <c r="S47" i="15"/>
  <c r="S19" i="15"/>
  <c r="G66" i="5"/>
  <c r="F56" i="15" s="1"/>
  <c r="G70" i="5"/>
  <c r="F60" i="15" s="1"/>
  <c r="G63" i="5"/>
  <c r="F53" i="15" s="1"/>
  <c r="H78" i="9"/>
  <c r="H77" i="9"/>
  <c r="H76" i="9"/>
  <c r="L75" i="9"/>
  <c r="H75" i="9"/>
  <c r="L74" i="9"/>
  <c r="H74" i="9"/>
  <c r="L73" i="9"/>
  <c r="H73" i="9"/>
  <c r="L72" i="9"/>
  <c r="H72" i="9"/>
  <c r="L71" i="9"/>
  <c r="H71" i="9"/>
  <c r="L70" i="9"/>
  <c r="H70" i="9"/>
  <c r="L69" i="9"/>
  <c r="H69" i="9"/>
  <c r="L68" i="9"/>
  <c r="H68" i="9"/>
  <c r="L67" i="9"/>
  <c r="H67" i="9"/>
  <c r="L66" i="9"/>
  <c r="H66" i="9"/>
  <c r="L65" i="9"/>
  <c r="H65" i="9"/>
  <c r="L64" i="9"/>
  <c r="H64" i="9"/>
  <c r="L63" i="9"/>
  <c r="H63" i="9"/>
  <c r="J61" i="9"/>
  <c r="F61" i="9"/>
  <c r="L59" i="9"/>
  <c r="L58" i="9"/>
  <c r="L57" i="9"/>
  <c r="L56" i="9"/>
  <c r="H56" i="9"/>
  <c r="L55" i="9"/>
  <c r="H55" i="9"/>
  <c r="L54" i="9"/>
  <c r="H54" i="9"/>
  <c r="L53" i="9"/>
  <c r="H53" i="9"/>
  <c r="L52" i="9"/>
  <c r="H52" i="9"/>
  <c r="L51" i="9"/>
  <c r="H51" i="9"/>
  <c r="L50" i="9"/>
  <c r="H50" i="9"/>
  <c r="L49" i="9"/>
  <c r="H49" i="9"/>
  <c r="L48" i="9"/>
  <c r="H48" i="9"/>
  <c r="L47" i="9"/>
  <c r="H47" i="9"/>
  <c r="L46" i="9"/>
  <c r="H46" i="9"/>
  <c r="L45" i="9"/>
  <c r="H45" i="9"/>
  <c r="L44" i="9"/>
  <c r="H44" i="9"/>
  <c r="J42" i="9"/>
  <c r="F42" i="9"/>
  <c r="L40" i="9"/>
  <c r="H40" i="9"/>
  <c r="L39" i="9"/>
  <c r="H39" i="9"/>
  <c r="L38" i="9"/>
  <c r="H38" i="9"/>
  <c r="L37" i="9"/>
  <c r="H37" i="9"/>
  <c r="L36" i="9"/>
  <c r="H36" i="9"/>
  <c r="L35" i="9"/>
  <c r="H35" i="9"/>
  <c r="L34" i="9"/>
  <c r="H34" i="9"/>
  <c r="L33" i="9"/>
  <c r="H33" i="9"/>
  <c r="L32" i="9"/>
  <c r="H32" i="9"/>
  <c r="L31" i="9"/>
  <c r="H31" i="9"/>
  <c r="L30" i="9"/>
  <c r="H30" i="9"/>
  <c r="L29" i="9"/>
  <c r="H29" i="9"/>
  <c r="L28" i="9"/>
  <c r="H28" i="9"/>
  <c r="L27" i="9"/>
  <c r="H27" i="9"/>
  <c r="L26" i="9"/>
  <c r="H26" i="9"/>
  <c r="L25" i="9"/>
  <c r="H25" i="9"/>
  <c r="J23" i="9"/>
  <c r="F23" i="9"/>
  <c r="L21" i="9"/>
  <c r="H21" i="9"/>
  <c r="L20" i="9"/>
  <c r="H20" i="9"/>
  <c r="L19" i="9"/>
  <c r="H19" i="9"/>
  <c r="L18" i="9"/>
  <c r="H18" i="9"/>
  <c r="L17" i="9"/>
  <c r="H17" i="9"/>
  <c r="L16" i="9"/>
  <c r="H16" i="9"/>
  <c r="L15" i="9"/>
  <c r="H15" i="9"/>
  <c r="L14" i="9"/>
  <c r="H14" i="9"/>
  <c r="L13" i="9"/>
  <c r="H13" i="9"/>
  <c r="L12" i="9"/>
  <c r="H12" i="9"/>
  <c r="L11" i="9"/>
  <c r="H11" i="9"/>
  <c r="L10" i="9"/>
  <c r="H10" i="9"/>
  <c r="L9" i="9"/>
  <c r="H9" i="9"/>
  <c r="L8" i="9"/>
  <c r="H8" i="9"/>
  <c r="L7" i="9"/>
  <c r="H7" i="9"/>
  <c r="L6" i="9"/>
  <c r="H6" i="9"/>
  <c r="J4" i="9"/>
  <c r="F4" i="9"/>
  <c r="G64" i="5" l="1"/>
  <c r="F54" i="15" s="1"/>
  <c r="G65" i="5"/>
  <c r="F55" i="15" s="1"/>
  <c r="G67" i="5"/>
  <c r="F57" i="15" s="1"/>
  <c r="G68" i="5"/>
  <c r="F58" i="15" s="1"/>
  <c r="G69" i="5"/>
  <c r="F59" i="15" s="1"/>
  <c r="A16" i="14"/>
  <c r="L29" i="15" s="1"/>
  <c r="H69" i="5"/>
  <c r="H67" i="5"/>
  <c r="H63" i="5"/>
  <c r="H66" i="5"/>
  <c r="H70" i="5"/>
  <c r="C34" i="8"/>
  <c r="B19" i="8"/>
  <c r="C35" i="8" s="1"/>
  <c r="B12" i="8"/>
  <c r="B32" i="8" s="1"/>
  <c r="B5" i="8"/>
  <c r="H65" i="5" l="1"/>
  <c r="J65" i="5" s="1"/>
  <c r="I55" i="15" s="1"/>
  <c r="H64" i="5"/>
  <c r="G54" i="15" s="1"/>
  <c r="H68" i="5"/>
  <c r="J69" i="5"/>
  <c r="I59" i="15" s="1"/>
  <c r="G59" i="15"/>
  <c r="J68" i="5"/>
  <c r="I58" i="15" s="1"/>
  <c r="G58" i="15"/>
  <c r="J63" i="5"/>
  <c r="I53" i="15" s="1"/>
  <c r="G53" i="15"/>
  <c r="J70" i="5"/>
  <c r="I60" i="15" s="1"/>
  <c r="G60" i="15"/>
  <c r="J67" i="5"/>
  <c r="I57" i="15" s="1"/>
  <c r="G57" i="15"/>
  <c r="J66" i="5"/>
  <c r="I56" i="15" s="1"/>
  <c r="G56" i="15"/>
  <c r="D32" i="8"/>
  <c r="B40" i="8"/>
  <c r="B9" i="8"/>
  <c r="B38" i="8"/>
  <c r="B33" i="8"/>
  <c r="B35" i="8"/>
  <c r="B34" i="8"/>
  <c r="C4" i="5"/>
  <c r="I4" i="5" s="1"/>
  <c r="C5" i="5"/>
  <c r="I5" i="5" s="1"/>
  <c r="C6" i="5"/>
  <c r="I6" i="5" s="1"/>
  <c r="C7" i="5"/>
  <c r="I7" i="5" s="1"/>
  <c r="C8" i="5"/>
  <c r="I8" i="5" s="1"/>
  <c r="C9" i="5"/>
  <c r="I9" i="5" s="1"/>
  <c r="C10" i="5"/>
  <c r="I10" i="5" s="1"/>
  <c r="C11" i="5"/>
  <c r="I11" i="5" s="1"/>
  <c r="C12" i="5"/>
  <c r="I12" i="5" s="1"/>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3" i="5"/>
  <c r="I3" i="5" s="1"/>
  <c r="B4" i="5"/>
  <c r="F4" i="5" s="1"/>
  <c r="G4" i="5" s="1"/>
  <c r="H4" i="5" s="1"/>
  <c r="B5" i="5"/>
  <c r="F5" i="5" s="1"/>
  <c r="G5" i="5" s="1"/>
  <c r="H5" i="5" s="1"/>
  <c r="B6" i="5"/>
  <c r="F6" i="5" s="1"/>
  <c r="G6" i="5" s="1"/>
  <c r="H6" i="5" s="1"/>
  <c r="B7" i="5"/>
  <c r="F7" i="5" s="1"/>
  <c r="G7" i="5" s="1"/>
  <c r="H7" i="5" s="1"/>
  <c r="B8" i="5"/>
  <c r="F8" i="5" s="1"/>
  <c r="G8" i="5" s="1"/>
  <c r="H8" i="5" s="1"/>
  <c r="B9" i="5"/>
  <c r="F9" i="5" s="1"/>
  <c r="G9" i="5" s="1"/>
  <c r="B10" i="5"/>
  <c r="F10" i="5" s="1"/>
  <c r="G10" i="5" s="1"/>
  <c r="B11" i="5"/>
  <c r="F11" i="5" s="1"/>
  <c r="G11" i="5" s="1"/>
  <c r="H11" i="5" s="1"/>
  <c r="B12" i="5"/>
  <c r="F12" i="5" s="1"/>
  <c r="G12" i="5" s="1"/>
  <c r="H12" i="5" s="1"/>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5"/>
  <c r="F3" i="5" s="1"/>
  <c r="G3" i="5" s="1"/>
  <c r="G55" i="15" l="1"/>
  <c r="J64" i="5"/>
  <c r="I54" i="15" s="1"/>
  <c r="I60" i="5"/>
  <c r="H50" i="15" s="1"/>
  <c r="C50" i="15"/>
  <c r="I36" i="5"/>
  <c r="H26" i="15" s="1"/>
  <c r="C26" i="15"/>
  <c r="I28" i="5"/>
  <c r="H18" i="15" s="1"/>
  <c r="C18" i="15"/>
  <c r="I20" i="5"/>
  <c r="H10" i="15" s="1"/>
  <c r="C10" i="15"/>
  <c r="F55" i="5"/>
  <c r="B45" i="15"/>
  <c r="F47" i="5"/>
  <c r="B37" i="15"/>
  <c r="F39" i="5"/>
  <c r="G39" i="5" s="1"/>
  <c r="B29" i="15"/>
  <c r="F31" i="5"/>
  <c r="E21" i="15" s="1"/>
  <c r="B21" i="15"/>
  <c r="F23" i="5"/>
  <c r="B13" i="15"/>
  <c r="F15" i="5"/>
  <c r="G15" i="5" s="1"/>
  <c r="B5" i="15"/>
  <c r="I59" i="5"/>
  <c r="H49" i="15" s="1"/>
  <c r="C49" i="15"/>
  <c r="I51" i="5"/>
  <c r="H41" i="15" s="1"/>
  <c r="C41" i="15"/>
  <c r="I43" i="5"/>
  <c r="H33" i="15" s="1"/>
  <c r="C33" i="15"/>
  <c r="I35" i="5"/>
  <c r="H25" i="15" s="1"/>
  <c r="C25" i="15"/>
  <c r="I27" i="5"/>
  <c r="H17" i="15" s="1"/>
  <c r="C17" i="15"/>
  <c r="I19" i="5"/>
  <c r="H9" i="15" s="1"/>
  <c r="C9" i="15"/>
  <c r="F48" i="5"/>
  <c r="G48" i="5" s="1"/>
  <c r="B38" i="15"/>
  <c r="F24" i="5"/>
  <c r="B14" i="15"/>
  <c r="I44" i="5"/>
  <c r="H34" i="15" s="1"/>
  <c r="C34" i="15"/>
  <c r="F46" i="5"/>
  <c r="G46" i="5" s="1"/>
  <c r="B36" i="15"/>
  <c r="F38" i="5"/>
  <c r="E28" i="15" s="1"/>
  <c r="B28" i="15"/>
  <c r="F22" i="5"/>
  <c r="E12" i="15" s="1"/>
  <c r="B12" i="15"/>
  <c r="I58" i="5"/>
  <c r="H48" i="15" s="1"/>
  <c r="C48" i="15"/>
  <c r="I42" i="5"/>
  <c r="H32" i="15" s="1"/>
  <c r="C32" i="15"/>
  <c r="I26" i="5"/>
  <c r="H16" i="15" s="1"/>
  <c r="C16" i="15"/>
  <c r="I18" i="5"/>
  <c r="H8" i="15" s="1"/>
  <c r="C8" i="15"/>
  <c r="F61" i="5"/>
  <c r="B51" i="15"/>
  <c r="F53" i="5"/>
  <c r="G53" i="5" s="1"/>
  <c r="B43" i="15"/>
  <c r="F45" i="5"/>
  <c r="G45" i="5" s="1"/>
  <c r="B35" i="15"/>
  <c r="F37" i="5"/>
  <c r="G37" i="5" s="1"/>
  <c r="B27" i="15"/>
  <c r="F29" i="5"/>
  <c r="G29" i="5" s="1"/>
  <c r="B19" i="15"/>
  <c r="F21" i="5"/>
  <c r="G21" i="5" s="1"/>
  <c r="B11" i="15"/>
  <c r="F13" i="5"/>
  <c r="G13" i="5" s="1"/>
  <c r="B3" i="15"/>
  <c r="I57" i="5"/>
  <c r="H47" i="15" s="1"/>
  <c r="C47" i="15"/>
  <c r="I49" i="5"/>
  <c r="H39" i="15" s="1"/>
  <c r="C39" i="15"/>
  <c r="I33" i="5"/>
  <c r="H23" i="15" s="1"/>
  <c r="C23" i="15"/>
  <c r="I25" i="5"/>
  <c r="H15" i="15" s="1"/>
  <c r="C15" i="15"/>
  <c r="F60" i="5"/>
  <c r="G60" i="5" s="1"/>
  <c r="B50" i="15"/>
  <c r="F52" i="5"/>
  <c r="B42" i="15"/>
  <c r="F44" i="5"/>
  <c r="E34" i="15" s="1"/>
  <c r="B34" i="15"/>
  <c r="F36" i="5"/>
  <c r="G36" i="5" s="1"/>
  <c r="B26" i="15"/>
  <c r="F28" i="5"/>
  <c r="B18" i="15"/>
  <c r="F20" i="5"/>
  <c r="G20" i="5" s="1"/>
  <c r="B10" i="15"/>
  <c r="I56" i="5"/>
  <c r="H46" i="15" s="1"/>
  <c r="C46" i="15"/>
  <c r="I48" i="5"/>
  <c r="H38" i="15" s="1"/>
  <c r="C38" i="15"/>
  <c r="I40" i="5"/>
  <c r="H30" i="15" s="1"/>
  <c r="C30" i="15"/>
  <c r="I32" i="5"/>
  <c r="H22" i="15" s="1"/>
  <c r="C22" i="15"/>
  <c r="I24" i="5"/>
  <c r="H14" i="15" s="1"/>
  <c r="C14" i="15"/>
  <c r="I16" i="5"/>
  <c r="H6" i="15" s="1"/>
  <c r="C6" i="15"/>
  <c r="F56" i="5"/>
  <c r="G56" i="5" s="1"/>
  <c r="B46" i="15"/>
  <c r="F32" i="5"/>
  <c r="G32" i="5" s="1"/>
  <c r="B22" i="15"/>
  <c r="I34" i="5"/>
  <c r="H24" i="15" s="1"/>
  <c r="C24" i="15"/>
  <c r="I41" i="5"/>
  <c r="H31" i="15" s="1"/>
  <c r="C31" i="15"/>
  <c r="I17" i="5"/>
  <c r="H7" i="15" s="1"/>
  <c r="C7" i="15"/>
  <c r="F59" i="5"/>
  <c r="G59" i="5" s="1"/>
  <c r="B49" i="15"/>
  <c r="F51" i="5"/>
  <c r="G51" i="5" s="1"/>
  <c r="B41" i="15"/>
  <c r="F43" i="5"/>
  <c r="E33" i="15" s="1"/>
  <c r="B33" i="15"/>
  <c r="F35" i="5"/>
  <c r="G35" i="5" s="1"/>
  <c r="B25" i="15"/>
  <c r="F27" i="5"/>
  <c r="G27" i="5" s="1"/>
  <c r="B17" i="15"/>
  <c r="F19" i="5"/>
  <c r="G19" i="5" s="1"/>
  <c r="B9" i="15"/>
  <c r="I55" i="5"/>
  <c r="H45" i="15" s="1"/>
  <c r="C45" i="15"/>
  <c r="I47" i="5"/>
  <c r="H37" i="15" s="1"/>
  <c r="C37" i="15"/>
  <c r="I39" i="5"/>
  <c r="H29" i="15" s="1"/>
  <c r="C29" i="15"/>
  <c r="I31" i="5"/>
  <c r="H21" i="15" s="1"/>
  <c r="C21" i="15"/>
  <c r="I23" i="5"/>
  <c r="H13" i="15" s="1"/>
  <c r="C13" i="15"/>
  <c r="I15" i="5"/>
  <c r="H5" i="15" s="1"/>
  <c r="C5" i="15"/>
  <c r="F40" i="5"/>
  <c r="G40" i="5" s="1"/>
  <c r="B30" i="15"/>
  <c r="F16" i="5"/>
  <c r="G16" i="5" s="1"/>
  <c r="B6" i="15"/>
  <c r="I52" i="5"/>
  <c r="H42" i="15" s="1"/>
  <c r="C42" i="15"/>
  <c r="F62" i="5"/>
  <c r="G62" i="5" s="1"/>
  <c r="B52" i="15"/>
  <c r="F54" i="5"/>
  <c r="G54" i="5" s="1"/>
  <c r="B44" i="15"/>
  <c r="F30" i="5"/>
  <c r="G30" i="5" s="1"/>
  <c r="B20" i="15"/>
  <c r="F14" i="5"/>
  <c r="E4" i="15" s="1"/>
  <c r="B4" i="15"/>
  <c r="I50" i="5"/>
  <c r="H40" i="15" s="1"/>
  <c r="C40" i="15"/>
  <c r="F58" i="5"/>
  <c r="G58" i="5" s="1"/>
  <c r="F48" i="15" s="1"/>
  <c r="B48" i="15"/>
  <c r="F50" i="5"/>
  <c r="G50" i="5" s="1"/>
  <c r="F40" i="15" s="1"/>
  <c r="B40" i="15"/>
  <c r="F42" i="5"/>
  <c r="G42" i="5" s="1"/>
  <c r="F32" i="15" s="1"/>
  <c r="B32" i="15"/>
  <c r="F34" i="5"/>
  <c r="B24" i="15"/>
  <c r="F26" i="5"/>
  <c r="G26" i="5" s="1"/>
  <c r="F16" i="15" s="1"/>
  <c r="B16" i="15"/>
  <c r="F18" i="5"/>
  <c r="E8" i="15" s="1"/>
  <c r="B8" i="15"/>
  <c r="I62" i="5"/>
  <c r="H52" i="15" s="1"/>
  <c r="C52" i="15"/>
  <c r="I54" i="5"/>
  <c r="H44" i="15" s="1"/>
  <c r="C44" i="15"/>
  <c r="I46" i="5"/>
  <c r="H36" i="15" s="1"/>
  <c r="C36" i="15"/>
  <c r="I38" i="5"/>
  <c r="H28" i="15" s="1"/>
  <c r="C28" i="15"/>
  <c r="I30" i="5"/>
  <c r="H20" i="15" s="1"/>
  <c r="C20" i="15"/>
  <c r="I22" i="5"/>
  <c r="H12" i="15" s="1"/>
  <c r="C12" i="15"/>
  <c r="I14" i="5"/>
  <c r="H4" i="15" s="1"/>
  <c r="C4" i="15"/>
  <c r="F57" i="5"/>
  <c r="G57" i="5" s="1"/>
  <c r="F47" i="15" s="1"/>
  <c r="B47" i="15"/>
  <c r="F49" i="5"/>
  <c r="E39" i="15" s="1"/>
  <c r="B39" i="15"/>
  <c r="F41" i="5"/>
  <c r="E31" i="15" s="1"/>
  <c r="B31" i="15"/>
  <c r="F33" i="5"/>
  <c r="G33" i="5" s="1"/>
  <c r="B23" i="15"/>
  <c r="F25" i="5"/>
  <c r="G25" i="5" s="1"/>
  <c r="B15" i="15"/>
  <c r="F17" i="5"/>
  <c r="E7" i="15" s="1"/>
  <c r="B7" i="15"/>
  <c r="I61" i="5"/>
  <c r="H51" i="15" s="1"/>
  <c r="C51" i="15"/>
  <c r="I53" i="5"/>
  <c r="H43" i="15" s="1"/>
  <c r="C43" i="15"/>
  <c r="I45" i="5"/>
  <c r="H35" i="15" s="1"/>
  <c r="C35" i="15"/>
  <c r="I37" i="5"/>
  <c r="H27" i="15" s="1"/>
  <c r="C27" i="15"/>
  <c r="I29" i="5"/>
  <c r="H19" i="15" s="1"/>
  <c r="C19" i="15"/>
  <c r="I21" i="5"/>
  <c r="H11" i="15" s="1"/>
  <c r="C11" i="15"/>
  <c r="I13" i="5"/>
  <c r="H3" i="15" s="1"/>
  <c r="C3" i="15"/>
  <c r="G55" i="5"/>
  <c r="E45" i="15"/>
  <c r="G23" i="5"/>
  <c r="E13" i="15"/>
  <c r="G38" i="5"/>
  <c r="G61" i="5"/>
  <c r="E51" i="15"/>
  <c r="E43" i="15"/>
  <c r="E3" i="15"/>
  <c r="G24" i="5"/>
  <c r="E14" i="15"/>
  <c r="E5" i="15"/>
  <c r="G47" i="5"/>
  <c r="E37" i="15"/>
  <c r="G52" i="5"/>
  <c r="E42" i="15"/>
  <c r="G43" i="5"/>
  <c r="F33" i="15" s="1"/>
  <c r="E29" i="15"/>
  <c r="G28" i="5"/>
  <c r="E18" i="15"/>
  <c r="G34" i="5"/>
  <c r="F24" i="15" s="1"/>
  <c r="E24" i="15"/>
  <c r="G17" i="5"/>
  <c r="F7" i="15" s="1"/>
  <c r="D34" i="8"/>
  <c r="Y38" i="8" s="1"/>
  <c r="Z40" i="8"/>
  <c r="D35" i="8"/>
  <c r="AR38" i="8" s="1"/>
  <c r="AQ40" i="8"/>
  <c r="D33" i="8"/>
  <c r="L38" i="8" s="1"/>
  <c r="L40" i="8"/>
  <c r="H10" i="5"/>
  <c r="J10" i="5" s="1"/>
  <c r="H9" i="5"/>
  <c r="J9" i="5" s="1"/>
  <c r="H3" i="5"/>
  <c r="J3" i="5" s="1"/>
  <c r="J5" i="5"/>
  <c r="J8" i="5"/>
  <c r="J7" i="5"/>
  <c r="J12" i="5"/>
  <c r="J4" i="5"/>
  <c r="J6" i="5"/>
  <c r="J11" i="5"/>
  <c r="C38" i="8"/>
  <c r="D38" i="8" s="1"/>
  <c r="E38" i="8" s="1"/>
  <c r="F38" i="8" s="1"/>
  <c r="G38" i="8" s="1"/>
  <c r="H38" i="8" s="1"/>
  <c r="I38" i="8" s="1"/>
  <c r="J38" i="8" s="1"/>
  <c r="K38" i="8" s="1"/>
  <c r="P90" i="4"/>
  <c r="P89" i="4"/>
  <c r="P88" i="4"/>
  <c r="P87" i="4"/>
  <c r="P86" i="4"/>
  <c r="I81" i="4"/>
  <c r="J81" i="4" s="1"/>
  <c r="F81" i="4"/>
  <c r="C81" i="4"/>
  <c r="I80" i="4"/>
  <c r="J80" i="4" s="1"/>
  <c r="F80" i="4"/>
  <c r="C80" i="4"/>
  <c r="AI79" i="4"/>
  <c r="I79" i="4"/>
  <c r="J79" i="4" s="1"/>
  <c r="F79" i="4"/>
  <c r="C79" i="4"/>
  <c r="AI78" i="4"/>
  <c r="I78" i="4"/>
  <c r="J78" i="4" s="1"/>
  <c r="F78" i="4"/>
  <c r="C78" i="4"/>
  <c r="AI77" i="4"/>
  <c r="I77" i="4"/>
  <c r="J77" i="4" s="1"/>
  <c r="F77" i="4"/>
  <c r="C77" i="4"/>
  <c r="AI76" i="4"/>
  <c r="I76" i="4"/>
  <c r="J76" i="4" s="1"/>
  <c r="F76" i="4"/>
  <c r="C76" i="4"/>
  <c r="AI75" i="4"/>
  <c r="I75" i="4"/>
  <c r="J75" i="4" s="1"/>
  <c r="F75" i="4"/>
  <c r="C75" i="4"/>
  <c r="AI74" i="4"/>
  <c r="I74" i="4"/>
  <c r="J74" i="4" s="1"/>
  <c r="F74" i="4"/>
  <c r="C74" i="4"/>
  <c r="AI73" i="4"/>
  <c r="I73" i="4"/>
  <c r="J73" i="4" s="1"/>
  <c r="F73" i="4"/>
  <c r="C73" i="4"/>
  <c r="I72" i="4"/>
  <c r="J72" i="4" s="1"/>
  <c r="F72" i="4"/>
  <c r="C72" i="4"/>
  <c r="I71" i="4"/>
  <c r="J71" i="4" s="1"/>
  <c r="F71" i="4"/>
  <c r="C71" i="4"/>
  <c r="I70" i="4"/>
  <c r="J70" i="4" s="1"/>
  <c r="F70" i="4"/>
  <c r="C70" i="4"/>
  <c r="I69" i="4"/>
  <c r="J69" i="4" s="1"/>
  <c r="F69" i="4"/>
  <c r="C69" i="4"/>
  <c r="I68" i="4"/>
  <c r="J68" i="4" s="1"/>
  <c r="F68" i="4"/>
  <c r="C68" i="4"/>
  <c r="I67" i="4"/>
  <c r="J67" i="4" s="1"/>
  <c r="F67" i="4"/>
  <c r="C67" i="4"/>
  <c r="I66" i="4"/>
  <c r="J66" i="4" s="1"/>
  <c r="F66" i="4"/>
  <c r="C66" i="4"/>
  <c r="I65" i="4"/>
  <c r="J65" i="4" s="1"/>
  <c r="F65" i="4"/>
  <c r="C65" i="4"/>
  <c r="I64" i="4"/>
  <c r="J64" i="4" s="1"/>
  <c r="F64" i="4"/>
  <c r="C64" i="4"/>
  <c r="I63" i="4"/>
  <c r="J63" i="4" s="1"/>
  <c r="F63" i="4"/>
  <c r="C63" i="4"/>
  <c r="I62" i="4"/>
  <c r="J62" i="4" s="1"/>
  <c r="F62" i="4"/>
  <c r="C62" i="4"/>
  <c r="I61" i="4"/>
  <c r="J61" i="4" s="1"/>
  <c r="F61" i="4"/>
  <c r="C61" i="4"/>
  <c r="I60" i="4"/>
  <c r="J60" i="4" s="1"/>
  <c r="F60" i="4"/>
  <c r="C60" i="4"/>
  <c r="I59" i="4"/>
  <c r="J59" i="4" s="1"/>
  <c r="F59" i="4"/>
  <c r="C59" i="4"/>
  <c r="I58" i="4"/>
  <c r="J58" i="4" s="1"/>
  <c r="F58" i="4"/>
  <c r="C58" i="4"/>
  <c r="I57" i="4"/>
  <c r="J57" i="4" s="1"/>
  <c r="F57" i="4"/>
  <c r="C57" i="4"/>
  <c r="I56" i="4"/>
  <c r="J56" i="4" s="1"/>
  <c r="F56" i="4"/>
  <c r="C56" i="4"/>
  <c r="I55" i="4"/>
  <c r="J55" i="4" s="1"/>
  <c r="F55" i="4"/>
  <c r="C55" i="4"/>
  <c r="J54" i="4"/>
  <c r="I54" i="4"/>
  <c r="F54" i="4"/>
  <c r="C54" i="4"/>
  <c r="I53" i="4"/>
  <c r="J53" i="4" s="1"/>
  <c r="F53" i="4"/>
  <c r="C53" i="4"/>
  <c r="I52" i="4"/>
  <c r="J52" i="4" s="1"/>
  <c r="F52" i="4"/>
  <c r="C52" i="4"/>
  <c r="I51" i="4"/>
  <c r="J51" i="4" s="1"/>
  <c r="F51" i="4"/>
  <c r="C51" i="4"/>
  <c r="I50" i="4"/>
  <c r="J50" i="4" s="1"/>
  <c r="F50" i="4"/>
  <c r="C50" i="4"/>
  <c r="I49" i="4"/>
  <c r="J49" i="4" s="1"/>
  <c r="F49" i="4"/>
  <c r="C49" i="4"/>
  <c r="I48" i="4"/>
  <c r="J48" i="4" s="1"/>
  <c r="F48" i="4"/>
  <c r="C48" i="4"/>
  <c r="I47" i="4"/>
  <c r="J47" i="4" s="1"/>
  <c r="F47" i="4"/>
  <c r="C47" i="4"/>
  <c r="I46" i="4"/>
  <c r="J46" i="4" s="1"/>
  <c r="F46" i="4"/>
  <c r="C46" i="4"/>
  <c r="I45" i="4"/>
  <c r="J45" i="4" s="1"/>
  <c r="F45" i="4"/>
  <c r="C45" i="4"/>
  <c r="I44" i="4"/>
  <c r="J44" i="4" s="1"/>
  <c r="F44" i="4"/>
  <c r="C44" i="4"/>
  <c r="I43" i="4"/>
  <c r="J43" i="4" s="1"/>
  <c r="F43" i="4"/>
  <c r="C43" i="4"/>
  <c r="I42" i="4"/>
  <c r="J42" i="4" s="1"/>
  <c r="F42" i="4"/>
  <c r="C42" i="4"/>
  <c r="I41" i="4"/>
  <c r="J41" i="4" s="1"/>
  <c r="F41" i="4"/>
  <c r="C41" i="4"/>
  <c r="I40" i="4"/>
  <c r="J40" i="4" s="1"/>
  <c r="F40" i="4"/>
  <c r="C40" i="4"/>
  <c r="I39" i="4"/>
  <c r="J39" i="4" s="1"/>
  <c r="F39" i="4"/>
  <c r="C39" i="4"/>
  <c r="I38" i="4"/>
  <c r="J38" i="4" s="1"/>
  <c r="F38" i="4"/>
  <c r="C38" i="4"/>
  <c r="I37" i="4"/>
  <c r="J37" i="4" s="1"/>
  <c r="F37" i="4"/>
  <c r="C37" i="4"/>
  <c r="I36" i="4"/>
  <c r="J36" i="4" s="1"/>
  <c r="F36" i="4"/>
  <c r="C36" i="4"/>
  <c r="I35" i="4"/>
  <c r="J35" i="4" s="1"/>
  <c r="F35" i="4"/>
  <c r="C35" i="4"/>
  <c r="I34" i="4"/>
  <c r="J34" i="4" s="1"/>
  <c r="F34" i="4"/>
  <c r="C34" i="4"/>
  <c r="I33" i="4"/>
  <c r="J33" i="4" s="1"/>
  <c r="F33" i="4"/>
  <c r="C33" i="4"/>
  <c r="I32" i="4"/>
  <c r="J32" i="4" s="1"/>
  <c r="F32" i="4"/>
  <c r="C32" i="4"/>
  <c r="I31" i="4"/>
  <c r="J31" i="4" s="1"/>
  <c r="F31" i="4"/>
  <c r="C31" i="4"/>
  <c r="I30" i="4"/>
  <c r="J30" i="4" s="1"/>
  <c r="I29" i="4"/>
  <c r="J29" i="4" s="1"/>
  <c r="I28" i="4"/>
  <c r="J28" i="4" s="1"/>
  <c r="I27" i="4"/>
  <c r="J27" i="4" s="1"/>
  <c r="I26" i="4"/>
  <c r="J26" i="4" s="1"/>
  <c r="I25" i="4"/>
  <c r="J25" i="4" s="1"/>
  <c r="I24" i="4"/>
  <c r="J24" i="4" s="1"/>
  <c r="I23" i="4"/>
  <c r="J23" i="4" s="1"/>
  <c r="I22" i="4"/>
  <c r="J22" i="4" s="1"/>
  <c r="I21" i="4"/>
  <c r="J21" i="4" s="1"/>
  <c r="I20" i="4"/>
  <c r="J20" i="4" s="1"/>
  <c r="I19" i="4"/>
  <c r="J19" i="4" s="1"/>
  <c r="I18" i="4"/>
  <c r="J18" i="4" s="1"/>
  <c r="I17" i="4"/>
  <c r="J17" i="4" s="1"/>
  <c r="I16" i="4"/>
  <c r="J16" i="4" s="1"/>
  <c r="I15" i="4"/>
  <c r="J15" i="4" s="1"/>
  <c r="I14" i="4"/>
  <c r="J14" i="4" s="1"/>
  <c r="I13" i="4"/>
  <c r="J13" i="4" s="1"/>
  <c r="I12" i="4"/>
  <c r="J12" i="4" s="1"/>
  <c r="I11" i="4"/>
  <c r="J11" i="4" s="1"/>
  <c r="I10" i="4"/>
  <c r="J10" i="4" s="1"/>
  <c r="I9" i="4"/>
  <c r="J9" i="4" s="1"/>
  <c r="I8" i="4"/>
  <c r="J8" i="4" s="1"/>
  <c r="E6" i="15" l="1"/>
  <c r="G41" i="5"/>
  <c r="F31" i="15" s="1"/>
  <c r="E46" i="15"/>
  <c r="E11" i="15"/>
  <c r="E50" i="15"/>
  <c r="E19" i="15"/>
  <c r="G31" i="5"/>
  <c r="H31" i="5" s="1"/>
  <c r="E10" i="15"/>
  <c r="E27" i="15"/>
  <c r="G18" i="5"/>
  <c r="F8" i="15" s="1"/>
  <c r="E49" i="15"/>
  <c r="H34" i="5"/>
  <c r="J34" i="5" s="1"/>
  <c r="I24" i="15" s="1"/>
  <c r="E25" i="15"/>
  <c r="G14" i="5"/>
  <c r="H14" i="5" s="1"/>
  <c r="F25" i="15"/>
  <c r="H35" i="5"/>
  <c r="G25" i="15" s="1"/>
  <c r="G44" i="5"/>
  <c r="H44" i="5" s="1"/>
  <c r="E23" i="15"/>
  <c r="G22" i="5"/>
  <c r="H22" i="5" s="1"/>
  <c r="E40" i="15"/>
  <c r="E20" i="15"/>
  <c r="E38" i="15"/>
  <c r="E26" i="15"/>
  <c r="G49" i="5"/>
  <c r="F39" i="15" s="1"/>
  <c r="E17" i="15"/>
  <c r="E35" i="15"/>
  <c r="E32" i="15"/>
  <c r="E52" i="15"/>
  <c r="F15" i="15"/>
  <c r="H25" i="5"/>
  <c r="G15" i="15" s="1"/>
  <c r="F41" i="15"/>
  <c r="H51" i="5"/>
  <c r="J51" i="5" s="1"/>
  <c r="I41" i="15" s="1"/>
  <c r="F23" i="15"/>
  <c r="H33" i="5"/>
  <c r="G23" i="15" s="1"/>
  <c r="F49" i="15"/>
  <c r="H59" i="5"/>
  <c r="J59" i="5" s="1"/>
  <c r="I49" i="15" s="1"/>
  <c r="H43" i="5"/>
  <c r="J43" i="5" s="1"/>
  <c r="I33" i="15" s="1"/>
  <c r="H42" i="5"/>
  <c r="J42" i="5" s="1"/>
  <c r="I32" i="15" s="1"/>
  <c r="E16" i="15"/>
  <c r="E48" i="15"/>
  <c r="E36" i="15"/>
  <c r="E15" i="15"/>
  <c r="E47" i="15"/>
  <c r="E9" i="15"/>
  <c r="E41" i="15"/>
  <c r="E30" i="15"/>
  <c r="E44" i="15"/>
  <c r="E22" i="15"/>
  <c r="M38" i="8"/>
  <c r="N38" i="8" s="1"/>
  <c r="O38" i="8" s="1"/>
  <c r="P38" i="8" s="1"/>
  <c r="Q38" i="8" s="1"/>
  <c r="R38" i="8" s="1"/>
  <c r="S38" i="8" s="1"/>
  <c r="T38" i="8" s="1"/>
  <c r="U38" i="8" s="1"/>
  <c r="V38" i="8" s="1"/>
  <c r="W38" i="8" s="1"/>
  <c r="X38" i="8" s="1"/>
  <c r="H60" i="5"/>
  <c r="F50" i="15"/>
  <c r="H27" i="5"/>
  <c r="F17" i="15"/>
  <c r="H36" i="5"/>
  <c r="F26" i="15"/>
  <c r="H37" i="5"/>
  <c r="F27" i="15"/>
  <c r="H57" i="5"/>
  <c r="H50" i="5"/>
  <c r="H56" i="5"/>
  <c r="F46" i="15"/>
  <c r="H20" i="5"/>
  <c r="F10" i="15"/>
  <c r="H38" i="5"/>
  <c r="F28" i="15"/>
  <c r="H58" i="5"/>
  <c r="H28" i="5"/>
  <c r="F18" i="15"/>
  <c r="H52" i="5"/>
  <c r="F42" i="15"/>
  <c r="H15" i="5"/>
  <c r="F5" i="15"/>
  <c r="H13" i="5"/>
  <c r="F3" i="15"/>
  <c r="H45" i="5"/>
  <c r="F35" i="15"/>
  <c r="H46" i="5"/>
  <c r="F36" i="15"/>
  <c r="H23" i="5"/>
  <c r="F13" i="15"/>
  <c r="G41" i="15"/>
  <c r="H48" i="5"/>
  <c r="F38" i="15"/>
  <c r="H39" i="5"/>
  <c r="F29" i="15"/>
  <c r="H47" i="5"/>
  <c r="F37" i="15"/>
  <c r="H24" i="5"/>
  <c r="F14" i="15"/>
  <c r="H21" i="5"/>
  <c r="F11" i="15"/>
  <c r="H53" i="5"/>
  <c r="F43" i="15"/>
  <c r="F12" i="15"/>
  <c r="H54" i="5"/>
  <c r="F44" i="15"/>
  <c r="H55" i="5"/>
  <c r="F45" i="15"/>
  <c r="H17" i="5"/>
  <c r="H18" i="5"/>
  <c r="H26" i="5"/>
  <c r="H16" i="5"/>
  <c r="F6" i="15"/>
  <c r="H19" i="5"/>
  <c r="F9" i="15"/>
  <c r="H40" i="5"/>
  <c r="F30" i="15"/>
  <c r="H29" i="5"/>
  <c r="F19" i="15"/>
  <c r="H61" i="5"/>
  <c r="F51" i="15"/>
  <c r="H30" i="5"/>
  <c r="F20" i="15"/>
  <c r="H62" i="5"/>
  <c r="F52" i="15"/>
  <c r="H32" i="5"/>
  <c r="F22" i="15"/>
  <c r="N37" i="4"/>
  <c r="Z38" i="8"/>
  <c r="AA38" i="8" s="1"/>
  <c r="AB38" i="8" s="1"/>
  <c r="AC38" i="8" s="1"/>
  <c r="AD38" i="8" s="1"/>
  <c r="AE38" i="8" s="1"/>
  <c r="AF38" i="8" s="1"/>
  <c r="AG38" i="8" s="1"/>
  <c r="AH38" i="8" s="1"/>
  <c r="AI38" i="8" s="1"/>
  <c r="AJ38" i="8" s="1"/>
  <c r="AK38" i="8" s="1"/>
  <c r="AL38" i="8" s="1"/>
  <c r="AM38" i="8" s="1"/>
  <c r="AN38" i="8" s="1"/>
  <c r="AO38" i="8" s="1"/>
  <c r="AP38" i="8" s="1"/>
  <c r="AQ38" i="8" s="1"/>
  <c r="N49" i="4"/>
  <c r="N81" i="4"/>
  <c r="N40" i="4"/>
  <c r="N55" i="4"/>
  <c r="N59" i="4"/>
  <c r="N61" i="4"/>
  <c r="N38" i="4"/>
  <c r="N42" i="4"/>
  <c r="N53" i="4"/>
  <c r="N57" i="4"/>
  <c r="N44" i="4"/>
  <c r="M73" i="4"/>
  <c r="N32" i="4"/>
  <c r="N45" i="4"/>
  <c r="N52" i="4"/>
  <c r="N51" i="4"/>
  <c r="N48" i="4"/>
  <c r="N47" i="4"/>
  <c r="N46" i="4"/>
  <c r="N50" i="4"/>
  <c r="N39" i="4"/>
  <c r="N41" i="4"/>
  <c r="N63" i="4"/>
  <c r="N65" i="4"/>
  <c r="N67" i="4"/>
  <c r="N69" i="4"/>
  <c r="N71" i="4"/>
  <c r="N33" i="4"/>
  <c r="M57" i="4"/>
  <c r="M59" i="4"/>
  <c r="M61" i="4"/>
  <c r="M63" i="4"/>
  <c r="M65" i="4"/>
  <c r="M67" i="4"/>
  <c r="M69" i="4"/>
  <c r="M71" i="4"/>
  <c r="N75" i="4"/>
  <c r="N34" i="4"/>
  <c r="N77" i="4"/>
  <c r="N80" i="4"/>
  <c r="N36" i="4"/>
  <c r="N79" i="4"/>
  <c r="N78" i="4"/>
  <c r="N54" i="4"/>
  <c r="N56" i="4"/>
  <c r="N58" i="4"/>
  <c r="N60" i="4"/>
  <c r="N62" i="4"/>
  <c r="N64" i="4"/>
  <c r="N66" i="4"/>
  <c r="N68" i="4"/>
  <c r="N70" i="4"/>
  <c r="N72" i="4"/>
  <c r="N74" i="4"/>
  <c r="N73" i="4"/>
  <c r="M46" i="4"/>
  <c r="M58" i="4"/>
  <c r="M62" i="4"/>
  <c r="M66" i="4"/>
  <c r="M70" i="4"/>
  <c r="M56" i="4"/>
  <c r="M60" i="4"/>
  <c r="M64" i="4"/>
  <c r="M68" i="4"/>
  <c r="M72" i="4"/>
  <c r="N35" i="4"/>
  <c r="M51" i="4"/>
  <c r="M74" i="4"/>
  <c r="N76" i="4"/>
  <c r="N43" i="4"/>
  <c r="M32" i="4"/>
  <c r="G24" i="15" l="1"/>
  <c r="J35" i="5"/>
  <c r="I25" i="15" s="1"/>
  <c r="H41" i="5"/>
  <c r="G31" i="15" s="1"/>
  <c r="F4" i="15"/>
  <c r="F21" i="15"/>
  <c r="J25" i="5"/>
  <c r="I15" i="15" s="1"/>
  <c r="F34" i="15"/>
  <c r="H49" i="5"/>
  <c r="J49" i="5" s="1"/>
  <c r="I39" i="15" s="1"/>
  <c r="G33" i="15"/>
  <c r="G32" i="15"/>
  <c r="J33" i="5"/>
  <c r="I23" i="15" s="1"/>
  <c r="V15" i="15" s="1"/>
  <c r="G49" i="15"/>
  <c r="G35" i="15"/>
  <c r="J45" i="5"/>
  <c r="I35" i="15" s="1"/>
  <c r="G20" i="15"/>
  <c r="J30" i="5"/>
  <c r="I20" i="15" s="1"/>
  <c r="G27" i="15"/>
  <c r="J37" i="5"/>
  <c r="I27" i="15" s="1"/>
  <c r="G3" i="15"/>
  <c r="J13" i="5"/>
  <c r="I3" i="15" s="1"/>
  <c r="G51" i="15"/>
  <c r="J61" i="5"/>
  <c r="G6" i="15"/>
  <c r="J16" i="5"/>
  <c r="I6" i="15" s="1"/>
  <c r="J18" i="5"/>
  <c r="I8" i="15" s="1"/>
  <c r="G8" i="15"/>
  <c r="G12" i="15"/>
  <c r="J22" i="5"/>
  <c r="I12" i="15" s="1"/>
  <c r="G37" i="15"/>
  <c r="J47" i="5"/>
  <c r="I37" i="15" s="1"/>
  <c r="J58" i="5"/>
  <c r="I48" i="15" s="1"/>
  <c r="G48" i="15"/>
  <c r="G10" i="15"/>
  <c r="J20" i="5"/>
  <c r="I10" i="15" s="1"/>
  <c r="G26" i="15"/>
  <c r="J36" i="5"/>
  <c r="I26" i="15" s="1"/>
  <c r="G13" i="15"/>
  <c r="J23" i="5"/>
  <c r="I13" i="15" s="1"/>
  <c r="J41" i="5"/>
  <c r="I31" i="15" s="1"/>
  <c r="G36" i="15"/>
  <c r="J46" i="5"/>
  <c r="I36" i="15" s="1"/>
  <c r="G5" i="15"/>
  <c r="J15" i="5"/>
  <c r="I5" i="15" s="1"/>
  <c r="G44" i="15"/>
  <c r="J54" i="5"/>
  <c r="I44" i="15" s="1"/>
  <c r="G21" i="15"/>
  <c r="J31" i="5"/>
  <c r="I21" i="15" s="1"/>
  <c r="G19" i="15"/>
  <c r="J29" i="5"/>
  <c r="I19" i="15" s="1"/>
  <c r="G34" i="15"/>
  <c r="J44" i="5"/>
  <c r="I34" i="15" s="1"/>
  <c r="G43" i="15"/>
  <c r="J53" i="5"/>
  <c r="I43" i="15" s="1"/>
  <c r="G29" i="15"/>
  <c r="J39" i="5"/>
  <c r="I29" i="15" s="1"/>
  <c r="L32" i="15" s="1"/>
  <c r="G46" i="15"/>
  <c r="J56" i="5"/>
  <c r="I46" i="15" s="1"/>
  <c r="G17" i="15"/>
  <c r="J27" i="5"/>
  <c r="I17" i="15" s="1"/>
  <c r="G14" i="15"/>
  <c r="J24" i="5"/>
  <c r="I14" i="15" s="1"/>
  <c r="G22" i="15"/>
  <c r="J32" i="5"/>
  <c r="I22" i="15" s="1"/>
  <c r="J17" i="5"/>
  <c r="I7" i="15" s="1"/>
  <c r="G7" i="15"/>
  <c r="J26" i="5"/>
  <c r="I16" i="15" s="1"/>
  <c r="G16" i="15"/>
  <c r="G4" i="15"/>
  <c r="J14" i="5"/>
  <c r="I4" i="15" s="1"/>
  <c r="G42" i="15"/>
  <c r="J52" i="5"/>
  <c r="I42" i="15" s="1"/>
  <c r="J50" i="5"/>
  <c r="I40" i="15" s="1"/>
  <c r="G40" i="15"/>
  <c r="G18" i="15"/>
  <c r="J28" i="5"/>
  <c r="I18" i="15" s="1"/>
  <c r="G9" i="15"/>
  <c r="J19" i="5"/>
  <c r="I9" i="15" s="1"/>
  <c r="G28" i="15"/>
  <c r="J38" i="5"/>
  <c r="I28" i="15" s="1"/>
  <c r="G52" i="15"/>
  <c r="J62" i="5"/>
  <c r="I52" i="15" s="1"/>
  <c r="G30" i="15"/>
  <c r="J40" i="5"/>
  <c r="I30" i="15" s="1"/>
  <c r="G45" i="15"/>
  <c r="J55" i="5"/>
  <c r="I45" i="15" s="1"/>
  <c r="G11" i="15"/>
  <c r="J21" i="5"/>
  <c r="I11" i="15" s="1"/>
  <c r="G38" i="15"/>
  <c r="J48" i="5"/>
  <c r="I38" i="15" s="1"/>
  <c r="J57" i="5"/>
  <c r="I47" i="15" s="1"/>
  <c r="G47" i="15"/>
  <c r="G50" i="15"/>
  <c r="J60" i="5"/>
  <c r="I50" i="15" s="1"/>
  <c r="M78" i="4"/>
  <c r="R32" i="4"/>
  <c r="R86" i="4" s="1"/>
  <c r="M34" i="4"/>
  <c r="M42" i="4"/>
  <c r="R92" i="4"/>
  <c r="R52" i="4"/>
  <c r="R88" i="4" s="1"/>
  <c r="M47" i="4"/>
  <c r="M44" i="4"/>
  <c r="R62" i="4"/>
  <c r="R89" i="4" s="1"/>
  <c r="M76" i="4"/>
  <c r="M39" i="4"/>
  <c r="M54" i="4"/>
  <c r="M40" i="4"/>
  <c r="M43" i="4"/>
  <c r="M77" i="4"/>
  <c r="M55" i="4"/>
  <c r="M37" i="4"/>
  <c r="R42" i="4"/>
  <c r="R72" i="4"/>
  <c r="M81" i="4"/>
  <c r="M36" i="4"/>
  <c r="M33" i="4"/>
  <c r="M80" i="4"/>
  <c r="M75" i="4"/>
  <c r="M53" i="4"/>
  <c r="M41" i="4"/>
  <c r="M79" i="4"/>
  <c r="Q62" i="4"/>
  <c r="Q89" i="4" s="1"/>
  <c r="M52" i="4"/>
  <c r="M49" i="4"/>
  <c r="M50" i="4"/>
  <c r="M35" i="4"/>
  <c r="M38" i="4"/>
  <c r="M48" i="4"/>
  <c r="M45" i="4"/>
  <c r="A48" i="1"/>
  <c r="AN18" i="1"/>
  <c r="AS18" i="1"/>
  <c r="AR18" i="1"/>
  <c r="AQ18" i="1"/>
  <c r="AP18" i="1"/>
  <c r="AO18" i="1"/>
  <c r="AM18" i="1"/>
  <c r="AL18" i="1"/>
  <c r="AK18" i="1"/>
  <c r="AJ18" i="1"/>
  <c r="AI18" i="1"/>
  <c r="AH18" i="1"/>
  <c r="AG18" i="1"/>
  <c r="AE18" i="1"/>
  <c r="AD18" i="1"/>
  <c r="AC18" i="1"/>
  <c r="AB18" i="1"/>
  <c r="AA18" i="1"/>
  <c r="Z18" i="1"/>
  <c r="Y18" i="1"/>
  <c r="W18" i="1"/>
  <c r="V18" i="1"/>
  <c r="U18" i="1"/>
  <c r="T18" i="1"/>
  <c r="S18" i="1"/>
  <c r="R18" i="1"/>
  <c r="Q18" i="1"/>
  <c r="O18" i="1"/>
  <c r="N18" i="1"/>
  <c r="M18" i="1"/>
  <c r="L18" i="1"/>
  <c r="K18" i="1"/>
  <c r="J18" i="1"/>
  <c r="I18" i="1"/>
  <c r="G18" i="1"/>
  <c r="F18" i="1"/>
  <c r="E18" i="1"/>
  <c r="G39" i="15" l="1"/>
  <c r="L38" i="15"/>
  <c r="L34" i="15"/>
  <c r="L40" i="15"/>
  <c r="L41" i="15"/>
  <c r="L24" i="15"/>
  <c r="L33" i="15"/>
  <c r="L27" i="15"/>
  <c r="L28" i="15"/>
  <c r="L49" i="15"/>
  <c r="L42" i="15"/>
  <c r="L31" i="15"/>
  <c r="L30" i="15"/>
  <c r="L39" i="15"/>
  <c r="L37" i="15"/>
  <c r="L25" i="15"/>
  <c r="L23" i="15"/>
  <c r="L26" i="15"/>
  <c r="L15" i="15"/>
  <c r="L36" i="15"/>
  <c r="V11" i="15"/>
  <c r="L11" i="15"/>
  <c r="L43" i="15"/>
  <c r="V53" i="15"/>
  <c r="V54" i="15"/>
  <c r="V60" i="15"/>
  <c r="V59" i="15"/>
  <c r="V58" i="15"/>
  <c r="V57" i="15"/>
  <c r="V55" i="15"/>
  <c r="V56" i="15"/>
  <c r="V45" i="15"/>
  <c r="L45" i="15"/>
  <c r="V49" i="15"/>
  <c r="V8" i="15"/>
  <c r="L8" i="15"/>
  <c r="V3" i="15"/>
  <c r="L3" i="15"/>
  <c r="V44" i="15"/>
  <c r="L44" i="15"/>
  <c r="V9" i="15"/>
  <c r="L9" i="15"/>
  <c r="V7" i="15"/>
  <c r="L7" i="15"/>
  <c r="V46" i="15"/>
  <c r="L46" i="15"/>
  <c r="V6" i="15"/>
  <c r="L6" i="15"/>
  <c r="V20" i="15"/>
  <c r="L20" i="15"/>
  <c r="V12" i="15"/>
  <c r="L12" i="15"/>
  <c r="V16" i="15"/>
  <c r="L16" i="15"/>
  <c r="V47" i="15"/>
  <c r="L47" i="15"/>
  <c r="V22" i="15"/>
  <c r="L22" i="15"/>
  <c r="V19" i="15"/>
  <c r="L19" i="15"/>
  <c r="V48" i="15"/>
  <c r="L48" i="15"/>
  <c r="V18" i="15"/>
  <c r="L18" i="15"/>
  <c r="V4" i="15"/>
  <c r="L4" i="15"/>
  <c r="V5" i="15"/>
  <c r="L5" i="15"/>
  <c r="V13" i="15"/>
  <c r="L13" i="15"/>
  <c r="I51" i="15"/>
  <c r="J71" i="5"/>
  <c r="L35" i="15"/>
  <c r="V50" i="15"/>
  <c r="L50" i="15"/>
  <c r="V17" i="15"/>
  <c r="L17" i="15"/>
  <c r="V10" i="15"/>
  <c r="L10" i="15"/>
  <c r="V52" i="15"/>
  <c r="L52" i="15"/>
  <c r="V14" i="15"/>
  <c r="L14" i="15"/>
  <c r="L56" i="15"/>
  <c r="L53" i="15"/>
  <c r="L54" i="15"/>
  <c r="L59" i="15"/>
  <c r="L60" i="15"/>
  <c r="L55" i="15"/>
  <c r="L58" i="15"/>
  <c r="L57" i="15"/>
  <c r="V21" i="15"/>
  <c r="L21" i="15"/>
  <c r="S62" i="4"/>
  <c r="S89" i="4" s="1"/>
  <c r="Q32" i="4"/>
  <c r="S32" i="4" s="1"/>
  <c r="S86" i="4" s="1"/>
  <c r="Q72" i="4"/>
  <c r="Q90" i="4" s="1"/>
  <c r="Q42" i="4"/>
  <c r="Q87" i="4" s="1"/>
  <c r="B12" i="1"/>
  <c r="D13" i="1" s="1"/>
  <c r="A51" i="1" s="1"/>
  <c r="Q92" i="4"/>
  <c r="S92" i="4" s="1"/>
  <c r="R90" i="4"/>
  <c r="R87" i="4"/>
  <c r="Q52" i="4"/>
  <c r="H18" i="1"/>
  <c r="P18" i="1"/>
  <c r="X18" i="1"/>
  <c r="AF18" i="1"/>
  <c r="Q86" i="4" l="1"/>
  <c r="I61" i="15"/>
  <c r="J72" i="5"/>
  <c r="I62" i="15" s="1"/>
  <c r="V51" i="15"/>
  <c r="L51" i="15"/>
  <c r="S42" i="4"/>
  <c r="S87" i="4" s="1"/>
  <c r="S72" i="4"/>
  <c r="S90" i="4" s="1"/>
  <c r="Q88" i="4"/>
  <c r="S52" i="4"/>
  <c r="S88" i="4" s="1"/>
  <c r="J73" i="5" l="1"/>
  <c r="I63" i="15" s="1"/>
  <c r="V62" i="15"/>
  <c r="L62" i="15"/>
  <c r="V61" i="15"/>
  <c r="L61" i="15"/>
  <c r="V63" i="15" l="1"/>
  <c r="H5" i="6" s="1" a="1"/>
  <c r="L63" i="15"/>
  <c r="H4" i="6" s="1" a="1"/>
  <c r="H2" i="6" a="1"/>
  <c r="H4" i="6" l="1"/>
  <c r="AU4" i="6"/>
  <c r="BJ4" i="6"/>
  <c r="U4" i="6"/>
  <c r="T4" i="6"/>
  <c r="S4" i="6"/>
  <c r="R4" i="6"/>
  <c r="Q4" i="6"/>
  <c r="P4" i="6"/>
  <c r="AE4" i="6"/>
  <c r="BK4" i="6"/>
  <c r="N4" i="6"/>
  <c r="BB4" i="6"/>
  <c r="M4" i="6"/>
  <c r="L4" i="6"/>
  <c r="K4" i="6"/>
  <c r="J4" i="6"/>
  <c r="I4" i="6"/>
  <c r="V4" i="6"/>
  <c r="AT4" i="6"/>
  <c r="BP4" i="6"/>
  <c r="BO4" i="6"/>
  <c r="BN4" i="6"/>
  <c r="BM4" i="6"/>
  <c r="BL4" i="6"/>
  <c r="AB4" i="6"/>
  <c r="X4" i="6"/>
  <c r="AL4" i="6"/>
  <c r="BI4" i="6"/>
  <c r="BH4" i="6"/>
  <c r="BG4" i="6"/>
  <c r="BF4" i="6"/>
  <c r="BE4" i="6"/>
  <c r="BD4" i="6"/>
  <c r="AD4" i="6"/>
  <c r="BA4" i="6"/>
  <c r="AZ4" i="6"/>
  <c r="AY4" i="6"/>
  <c r="AX4" i="6"/>
  <c r="AW4" i="6"/>
  <c r="AV4" i="6"/>
  <c r="AM4" i="6"/>
  <c r="AC4" i="6"/>
  <c r="AA4" i="6"/>
  <c r="Y4" i="6"/>
  <c r="BC4" i="6"/>
  <c r="AS4" i="6"/>
  <c r="AR4" i="6"/>
  <c r="AQ4" i="6"/>
  <c r="AP4" i="6"/>
  <c r="AO4" i="6"/>
  <c r="AN4" i="6"/>
  <c r="W4" i="6"/>
  <c r="O4" i="6"/>
  <c r="AK4" i="6"/>
  <c r="AJ4" i="6"/>
  <c r="AI4" i="6"/>
  <c r="AH4" i="6"/>
  <c r="AG4" i="6"/>
  <c r="AF4" i="6"/>
  <c r="Z4" i="6"/>
  <c r="H2" i="6"/>
  <c r="H3" i="6" s="1"/>
  <c r="U2" i="6"/>
  <c r="U3" i="6" s="1"/>
  <c r="O2" i="6"/>
  <c r="O3" i="6" s="1"/>
  <c r="BI2" i="6"/>
  <c r="BI3" i="6" s="1"/>
  <c r="BG2" i="6"/>
  <c r="BG3" i="6" s="1"/>
  <c r="T2" i="6"/>
  <c r="T3" i="6" s="1"/>
  <c r="J2" i="6"/>
  <c r="J3" i="6" s="1"/>
  <c r="Q2" i="6"/>
  <c r="Q3" i="6" s="1"/>
  <c r="AF2" i="6"/>
  <c r="AF3" i="6" s="1"/>
  <c r="AS2" i="6"/>
  <c r="AS3" i="6" s="1"/>
  <c r="BJ2" i="6"/>
  <c r="BJ3" i="6" s="1"/>
  <c r="BA2" i="6"/>
  <c r="BA3" i="6" s="1"/>
  <c r="AY2" i="6"/>
  <c r="AY3" i="6" s="1"/>
  <c r="BN2" i="6"/>
  <c r="BN3" i="6" s="1"/>
  <c r="AB2" i="6"/>
  <c r="AB3" i="6" s="1"/>
  <c r="I2" i="6"/>
  <c r="I3" i="6" s="1"/>
  <c r="X2" i="6"/>
  <c r="X3" i="6" s="1"/>
  <c r="BK2" i="6"/>
  <c r="BK3" i="6" s="1"/>
  <c r="BB2" i="6"/>
  <c r="BB3" i="6" s="1"/>
  <c r="AK2" i="6"/>
  <c r="AK3" i="6" s="1"/>
  <c r="AQ2" i="6"/>
  <c r="AQ3" i="6" s="1"/>
  <c r="BF2" i="6"/>
  <c r="BF3" i="6" s="1"/>
  <c r="BM2" i="6"/>
  <c r="BM3" i="6" s="1"/>
  <c r="AC2" i="6"/>
  <c r="AC3" i="6" s="1"/>
  <c r="P2" i="6"/>
  <c r="P3" i="6" s="1"/>
  <c r="AU2" i="6"/>
  <c r="AU3" i="6" s="1"/>
  <c r="AW2" i="6"/>
  <c r="AW3" i="6" s="1"/>
  <c r="BP2" i="6"/>
  <c r="BP3" i="6" s="1"/>
  <c r="AN2" i="6"/>
  <c r="AN3" i="6" s="1"/>
  <c r="BC2" i="6"/>
  <c r="BC3" i="6" s="1"/>
  <c r="AT2" i="6"/>
  <c r="AT3" i="6" s="1"/>
  <c r="BH2" i="6"/>
  <c r="BH3" i="6" s="1"/>
  <c r="AI2" i="6"/>
  <c r="AI3" i="6" s="1"/>
  <c r="AX2" i="6"/>
  <c r="AX3" i="6" s="1"/>
  <c r="BE2" i="6"/>
  <c r="BE3" i="6" s="1"/>
  <c r="AJ2" i="6"/>
  <c r="AJ3" i="6" s="1"/>
  <c r="M2" i="6"/>
  <c r="M3" i="6" s="1"/>
  <c r="AL2" i="6"/>
  <c r="AL3" i="6" s="1"/>
  <c r="AZ2" i="6"/>
  <c r="AZ3" i="6" s="1"/>
  <c r="AA2" i="6"/>
  <c r="AA3" i="6" s="1"/>
  <c r="AP2" i="6"/>
  <c r="AP3" i="6" s="1"/>
  <c r="BL2" i="6"/>
  <c r="BL3" i="6" s="1"/>
  <c r="Z2" i="6"/>
  <c r="Z3" i="6" s="1"/>
  <c r="W2" i="6"/>
  <c r="W3" i="6" s="1"/>
  <c r="BO2" i="6"/>
  <c r="BO3" i="6" s="1"/>
  <c r="Y2" i="6"/>
  <c r="Y3" i="6" s="1"/>
  <c r="AM2" i="6"/>
  <c r="AM3" i="6" s="1"/>
  <c r="AD2" i="6"/>
  <c r="AD3" i="6" s="1"/>
  <c r="AR2" i="6"/>
  <c r="AR3" i="6" s="1"/>
  <c r="S2" i="6"/>
  <c r="S3" i="6" s="1"/>
  <c r="AH2" i="6"/>
  <c r="AH3" i="6" s="1"/>
  <c r="AO2" i="6"/>
  <c r="AO3" i="6" s="1"/>
  <c r="BD2" i="6"/>
  <c r="BD3" i="6" s="1"/>
  <c r="AE2" i="6"/>
  <c r="AE3" i="6" s="1"/>
  <c r="V2" i="6"/>
  <c r="V3" i="6" s="1"/>
  <c r="L2" i="6"/>
  <c r="L3" i="6" s="1"/>
  <c r="K2" i="6"/>
  <c r="K3" i="6" s="1"/>
  <c r="AG2" i="6"/>
  <c r="AG3" i="6" s="1"/>
  <c r="AV2" i="6"/>
  <c r="AV3" i="6" s="1"/>
  <c r="N2" i="6"/>
  <c r="N3" i="6" s="1"/>
  <c r="R2" i="6"/>
  <c r="R3" i="6" s="1"/>
  <c r="H5" i="6"/>
  <c r="BK5" i="6"/>
  <c r="AC5" i="6"/>
  <c r="AJ5" i="6"/>
  <c r="AQ5" i="6"/>
  <c r="BF5" i="6"/>
  <c r="BM5" i="6"/>
  <c r="BB5" i="6"/>
  <c r="U5" i="6"/>
  <c r="AB5" i="6"/>
  <c r="AI5" i="6"/>
  <c r="AX5" i="6"/>
  <c r="BE5" i="6"/>
  <c r="BL5" i="6"/>
  <c r="BC5" i="6"/>
  <c r="O5" i="6"/>
  <c r="M5" i="6"/>
  <c r="T5" i="6"/>
  <c r="AA5" i="6"/>
  <c r="AP5" i="6"/>
  <c r="AW5" i="6"/>
  <c r="BD5" i="6"/>
  <c r="K5" i="6"/>
  <c r="AK5" i="6"/>
  <c r="AE5" i="6"/>
  <c r="N5" i="6"/>
  <c r="V5" i="6"/>
  <c r="L5" i="6"/>
  <c r="S5" i="6"/>
  <c r="AH5" i="6"/>
  <c r="AO5" i="6"/>
  <c r="AV5" i="6"/>
  <c r="BI5" i="6"/>
  <c r="BP5" i="6"/>
  <c r="AD5" i="6"/>
  <c r="Z5" i="6"/>
  <c r="AG5" i="6"/>
  <c r="AN5" i="6"/>
  <c r="W5" i="6"/>
  <c r="AR5" i="6"/>
  <c r="AY5" i="6"/>
  <c r="BN5" i="6"/>
  <c r="AT5" i="6"/>
  <c r="I5" i="6"/>
  <c r="AU5" i="6"/>
  <c r="BA5" i="6"/>
  <c r="BH5" i="6"/>
  <c r="BO5" i="6"/>
  <c r="BJ5" i="6"/>
  <c r="R5" i="6"/>
  <c r="Y5" i="6"/>
  <c r="AF5" i="6"/>
  <c r="AS5" i="6"/>
  <c r="AZ5" i="6"/>
  <c r="BG5" i="6"/>
  <c r="AL5" i="6"/>
  <c r="J5" i="6"/>
  <c r="Q5" i="6"/>
  <c r="X5" i="6"/>
  <c r="AM5" i="6"/>
  <c r="P5"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Zeke Marshall</author>
  </authors>
  <commentList>
    <comment ref="B2" authorId="0" shapeId="0" xr:uid="{00000000-0006-0000-0300-000001000000}">
      <text>
        <r>
          <rPr>
            <b/>
            <sz val="9"/>
            <color indexed="81"/>
            <rFont val="Tahoma"/>
            <family val="2"/>
          </rPr>
          <t>Zeke Marshall:</t>
        </r>
        <r>
          <rPr>
            <sz val="9"/>
            <color indexed="81"/>
            <rFont val="Tahoma"/>
            <family val="2"/>
          </rPr>
          <t xml:space="preserve">
Interior volume of a new  refrigerator (cubic feet)</t>
        </r>
      </text>
    </comment>
    <comment ref="C2" authorId="0" shapeId="0" xr:uid="{00000000-0006-0000-0300-000002000000}">
      <text>
        <r>
          <rPr>
            <b/>
            <sz val="9"/>
            <color indexed="81"/>
            <rFont val="Tahoma"/>
            <family val="2"/>
          </rPr>
          <t>Zeke Marshall:</t>
        </r>
        <r>
          <rPr>
            <sz val="9"/>
            <color indexed="81"/>
            <rFont val="Tahoma"/>
            <family val="2"/>
          </rPr>
          <t xml:space="preserve">
Electricity consumed by a new refrigerator (kWh per refrigerator per year)</t>
        </r>
      </text>
    </comment>
    <comment ref="E2" authorId="0" shapeId="0" xr:uid="{00000000-0006-0000-0300-000003000000}">
      <text>
        <r>
          <rPr>
            <b/>
            <sz val="9"/>
            <color indexed="81"/>
            <rFont val="Tahoma"/>
            <family val="2"/>
          </rPr>
          <t>Zeke Marshall:</t>
        </r>
        <r>
          <rPr>
            <sz val="9"/>
            <color indexed="81"/>
            <rFont val="Tahoma"/>
            <family val="2"/>
          </rPr>
          <t xml:space="preserve">
Interior volume of a new  refrigerator (cubic feet)</t>
        </r>
      </text>
    </comment>
    <comment ref="H2" authorId="0" shapeId="0" xr:uid="{00000000-0006-0000-0300-000004000000}">
      <text>
        <r>
          <rPr>
            <b/>
            <sz val="9"/>
            <color indexed="81"/>
            <rFont val="Tahoma"/>
            <family val="2"/>
          </rPr>
          <t>Zeke Marshall:</t>
        </r>
        <r>
          <rPr>
            <sz val="9"/>
            <color indexed="81"/>
            <rFont val="Tahoma"/>
            <family val="2"/>
          </rPr>
          <t xml:space="preserve">
Assumes refrigerator is under a constant load and not cycling</t>
        </r>
      </text>
    </comment>
    <comment ref="T2" authorId="0" shapeId="0" xr:uid="{00000000-0006-0000-0300-000005000000}">
      <text>
        <r>
          <rPr>
            <b/>
            <sz val="9"/>
            <color indexed="81"/>
            <rFont val="Tahoma"/>
            <family val="2"/>
          </rPr>
          <t>Zeke Marshall:</t>
        </r>
        <r>
          <rPr>
            <sz val="9"/>
            <color indexed="81"/>
            <rFont val="Tahoma"/>
            <family val="2"/>
          </rPr>
          <t xml:space="preserve">
Assumes refrigerator is under a constant load and not cycling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Zeke Marshall</author>
  </authors>
  <commentList>
    <comment ref="B2" authorId="0" shapeId="0" xr:uid="{00000000-0006-0000-0200-000001000000}">
      <text>
        <r>
          <rPr>
            <b/>
            <sz val="9"/>
            <color indexed="81"/>
            <rFont val="Tahoma"/>
            <family val="2"/>
          </rPr>
          <t>Zeke Marshall:</t>
        </r>
        <r>
          <rPr>
            <sz val="9"/>
            <color indexed="81"/>
            <rFont val="Tahoma"/>
            <family val="2"/>
          </rPr>
          <t xml:space="preserve">
Interior volume of a new  refrigerator (cubic feet)</t>
        </r>
      </text>
    </comment>
    <comment ref="C2" authorId="0" shapeId="0" xr:uid="{00000000-0006-0000-0200-000002000000}">
      <text>
        <r>
          <rPr>
            <b/>
            <sz val="9"/>
            <color indexed="81"/>
            <rFont val="Tahoma"/>
            <family val="2"/>
          </rPr>
          <t>Zeke Marshall:</t>
        </r>
        <r>
          <rPr>
            <sz val="9"/>
            <color indexed="81"/>
            <rFont val="Tahoma"/>
            <family val="2"/>
          </rPr>
          <t xml:space="preserve">
Electricity consumed by a new refrigerator (kWh per refrigerator per year)</t>
        </r>
      </text>
    </comment>
    <comment ref="F2" authorId="0" shapeId="0" xr:uid="{00000000-0006-0000-0200-000003000000}">
      <text>
        <r>
          <rPr>
            <b/>
            <sz val="9"/>
            <color indexed="81"/>
            <rFont val="Tahoma"/>
            <family val="2"/>
          </rPr>
          <t>Zeke Marshall:</t>
        </r>
        <r>
          <rPr>
            <sz val="9"/>
            <color indexed="81"/>
            <rFont val="Tahoma"/>
            <family val="2"/>
          </rPr>
          <t xml:space="preserve">
Interior volume of a new  refrigerator (cubic feet)</t>
        </r>
      </text>
    </comment>
    <comment ref="I2" authorId="0" shapeId="0" xr:uid="{00000000-0006-0000-0200-000004000000}">
      <text>
        <r>
          <rPr>
            <b/>
            <sz val="9"/>
            <color indexed="81"/>
            <rFont val="Tahoma"/>
            <family val="2"/>
          </rPr>
          <t>Zeke Marshall:</t>
        </r>
        <r>
          <rPr>
            <sz val="9"/>
            <color indexed="81"/>
            <rFont val="Tahoma"/>
            <family val="2"/>
          </rPr>
          <t xml:space="preserve">
Assumes refrigerator is under a constant load and not cycling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Zeke Marshall</author>
  </authors>
  <commentList>
    <comment ref="J6" authorId="0" shapeId="0" xr:uid="{00000000-0006-0000-0600-000001000000}">
      <text>
        <r>
          <rPr>
            <b/>
            <sz val="9"/>
            <color indexed="81"/>
            <rFont val="Tahoma"/>
            <family val="2"/>
          </rPr>
          <t>Zeke Marshall:</t>
        </r>
        <r>
          <rPr>
            <sz val="9"/>
            <color indexed="81"/>
            <rFont val="Tahoma"/>
            <family val="2"/>
          </rPr>
          <t xml:space="preserve">
Assumes refrigerator is under a constant load and not cycling</t>
        </r>
      </text>
    </comment>
    <comment ref="B7" authorId="0" shapeId="0" xr:uid="{00000000-0006-0000-0600-000002000000}">
      <text>
        <r>
          <rPr>
            <b/>
            <sz val="9"/>
            <color indexed="81"/>
            <rFont val="Tahoma"/>
            <family val="2"/>
          </rPr>
          <t>Zeke Marshall:</t>
        </r>
        <r>
          <rPr>
            <sz val="9"/>
            <color indexed="81"/>
            <rFont val="Tahoma"/>
            <family val="2"/>
          </rPr>
          <t xml:space="preserve">
Mid-point</t>
        </r>
      </text>
    </comment>
    <comment ref="D7" authorId="0" shapeId="0" xr:uid="{00000000-0006-0000-0600-000003000000}">
      <text>
        <r>
          <rPr>
            <b/>
            <sz val="9"/>
            <color indexed="81"/>
            <rFont val="Tahoma"/>
            <family val="2"/>
          </rPr>
          <t>Zeke Marshall:</t>
        </r>
        <r>
          <rPr>
            <sz val="9"/>
            <color indexed="81"/>
            <rFont val="Tahoma"/>
            <family val="2"/>
          </rPr>
          <t xml:space="preserve">
Mid-point</t>
        </r>
      </text>
    </comment>
    <comment ref="J10" authorId="0" shapeId="0" xr:uid="{00000000-0006-0000-0600-000004000000}">
      <text>
        <r>
          <rPr>
            <b/>
            <sz val="9"/>
            <color indexed="81"/>
            <rFont val="Tahoma"/>
            <family val="2"/>
          </rPr>
          <t>Zeke Marshall:</t>
        </r>
        <r>
          <rPr>
            <sz val="9"/>
            <color indexed="81"/>
            <rFont val="Tahoma"/>
            <family val="2"/>
          </rPr>
          <t xml:space="preserve">
Assumes refrigerator is under a constant load and not cycling</t>
        </r>
      </text>
    </comment>
    <comment ref="B11" authorId="0" shapeId="0" xr:uid="{00000000-0006-0000-0600-000005000000}">
      <text>
        <r>
          <rPr>
            <b/>
            <sz val="9"/>
            <color indexed="81"/>
            <rFont val="Tahoma"/>
            <family val="2"/>
          </rPr>
          <t>Zeke Marshall:</t>
        </r>
        <r>
          <rPr>
            <sz val="9"/>
            <color indexed="81"/>
            <rFont val="Tahoma"/>
            <family val="2"/>
          </rPr>
          <t xml:space="preserve">
Mid-point</t>
        </r>
      </text>
    </comment>
    <comment ref="D11" authorId="0" shapeId="0" xr:uid="{00000000-0006-0000-0600-000006000000}">
      <text>
        <r>
          <rPr>
            <b/>
            <sz val="9"/>
            <color indexed="81"/>
            <rFont val="Tahoma"/>
            <family val="2"/>
          </rPr>
          <t>Zeke Marshall:</t>
        </r>
        <r>
          <rPr>
            <sz val="9"/>
            <color indexed="81"/>
            <rFont val="Tahoma"/>
            <family val="2"/>
          </rPr>
          <t xml:space="preserve">
Mid-point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A54" authorId="0" shapeId="0" xr:uid="{00000000-0006-0000-0B00-000001000000}">
      <text>
        <r>
          <rPr>
            <b/>
            <sz val="10"/>
            <color indexed="81"/>
            <rFont val="Calibri"/>
            <family val="2"/>
          </rPr>
          <t>MKH:</t>
        </r>
        <r>
          <rPr>
            <sz val="10"/>
            <color indexed="81"/>
            <rFont val="Calibri"/>
            <family val="2"/>
          </rPr>
          <t xml:space="preserve">
See http://www.energycom.gov.gh/regulation/regulations-and-codes
and
http://www.energycom.gov.gh/files/LI1958.pdf</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Zeke Marshall</author>
  </authors>
  <commentList>
    <comment ref="B40" authorId="0" shapeId="0" xr:uid="{00000000-0006-0000-0C00-000001000000}">
      <text>
        <r>
          <rPr>
            <b/>
            <sz val="9"/>
            <color indexed="81"/>
            <rFont val="Tahoma"/>
            <family val="2"/>
          </rPr>
          <t>Zeke Marshall:</t>
        </r>
        <r>
          <rPr>
            <sz val="9"/>
            <color indexed="81"/>
            <rFont val="Tahoma"/>
            <family val="2"/>
          </rPr>
          <t xml:space="preserve">
Eta.fu is taken as COP, rather than COP_max/COP</t>
        </r>
      </text>
    </comment>
  </commentList>
</comments>
</file>

<file path=xl/sharedStrings.xml><?xml version="1.0" encoding="utf-8"?>
<sst xmlns="http://schemas.openxmlformats.org/spreadsheetml/2006/main" count="995" uniqueCount="312">
  <si>
    <t>This sheet estimates the efficiency of refrigerators</t>
  </si>
  <si>
    <t>Assume that the "useful work" of refrigeration is removal of heat from low-temperature refrigeratred space (-20 °C)</t>
  </si>
  <si>
    <t>The efficiency of heat removal is given by the Coefficient of Performance (COP) of a refrigerator.</t>
  </si>
  <si>
    <t>Q_dot_removed = eta * W_elect = COP * W_elect</t>
  </si>
  <si>
    <t>The maximum possible COP for a refrigerator operating between environmental temperature and refrigerated space temperature is</t>
  </si>
  <si>
    <t>T_0_ref</t>
  </si>
  <si>
    <t>C</t>
  </si>
  <si>
    <t>T_ref</t>
  </si>
  <si>
    <t>COP_max</t>
  </si>
  <si>
    <t>COP_typ</t>
  </si>
  <si>
    <t>today</t>
  </si>
  <si>
    <t>of max COP</t>
  </si>
  <si>
    <t>From:</t>
  </si>
  <si>
    <t>http://www.eia.gov/conference/2009/plenary/Chu.pdf</t>
  </si>
  <si>
    <t>Stephen Chu plenary presentation</t>
  </si>
  <si>
    <t>K. Agyarko. Towards efficient lighting market, the case of Ghana. Presentation at ECOWAS Regional workshop entitled Initiatives on Standards and Labeling, Efficient Lighting, and Energy Efficiency in Buildings, Ouagadougou, Burkina Faso, 22 April 2013.</t>
  </si>
  <si>
    <t>http://www.ecreee.org/sites/default/files/event-att/k.agyarko-ouaga_ecreee_presentation.pdf</t>
  </si>
  <si>
    <t xml:space="preserve">Energy efficiency of refrigerators has improved by a factor of 1800/600 </t>
  </si>
  <si>
    <t>over the years 1971-2003.</t>
  </si>
  <si>
    <t xml:space="preserve">COP today is about 0.65, or </t>
  </si>
  <si>
    <t>of maximum possible COP, given reference temperatures above.</t>
  </si>
  <si>
    <t>http://www.energycom.gov.gh/efficiency/standards-and-labelling</t>
  </si>
  <si>
    <t>That means, COP was about 0.21 in 1971.</t>
  </si>
  <si>
    <t>However, Ghana only recently adopted energy efficiency standards and only for refrigerators (2009) and RACs and CLFs (2015).</t>
  </si>
  <si>
    <t>And in-service refrigerator fleet energy efficiency lags efficiency of efficiency of sold units, due to lifetime of 10 years or more.</t>
  </si>
  <si>
    <t>Assume that Ghana's refrigerator fleet energy efficiency improved only 1/3 as much as the efficiency of US sales improved over the same period.</t>
  </si>
  <si>
    <t>That improvement is based on data in presentation by Energy Commission shown at right.</t>
  </si>
  <si>
    <t>Further, assume that the COP in Ghana and US was the same in 1971, the year the US efficiency standards kicked in.</t>
  </si>
  <si>
    <t>Finally, assume linear improvement of in-service fleet efficiency from 1971 to today.</t>
  </si>
  <si>
    <t>All refrigerators are imported.</t>
  </si>
  <si>
    <t>W. H. Coulter and C. W. Bullard. An experimental analysis of cycling losses in domestic refrigerator- freezers. ACRC TR-77, University of Illinois at Urbana-Champaign Air-Conditioning and Refrigeration Center, June 1995.</t>
  </si>
  <si>
    <t>So, Ghana would have benefitted from energy efficiency improvements forced upon manufacturers in manufacturing countries prior to 2009.</t>
  </si>
  <si>
    <t>But, probably not to the same level as the countries in which efficiency standards were in effect for much longer.</t>
  </si>
  <si>
    <t>In fact, many manufacturers dump low-efficiency models or units that don't pass efficiency tests on countries without efficiency standards.</t>
  </si>
  <si>
    <t>This would have been possible until 2009, when Ghana's refrigerator standards took effect.</t>
  </si>
  <si>
    <t>Energy Consumption (kWh/yr)</t>
  </si>
  <si>
    <t>Adjusted Volume (cu. ft.)</t>
  </si>
  <si>
    <t>Price (2014$)</t>
  </si>
  <si>
    <t>Residential Refrigeration</t>
  </si>
  <si>
    <t>grey values are estimated</t>
  </si>
  <si>
    <t>Year</t>
  </si>
  <si>
    <r>
      <t>US - Number of refrigerators in use
(million refrigerators)</t>
    </r>
    <r>
      <rPr>
        <b/>
        <vertAlign val="superscript"/>
        <sz val="8"/>
        <rFont val="Arial"/>
        <family val="2"/>
      </rPr>
      <t>1</t>
    </r>
  </si>
  <si>
    <t>US - Hours of residential refrigeration
(billion hours of refrigeration)</t>
  </si>
  <si>
    <r>
      <t>US - Interior volume of a new 
refrigerator 
(cubic feet)</t>
    </r>
    <r>
      <rPr>
        <b/>
        <vertAlign val="superscript"/>
        <sz val="8"/>
        <rFont val="Arial"/>
        <family val="2"/>
      </rPr>
      <t>2</t>
    </r>
  </si>
  <si>
    <r>
      <t>US - Interior volume of a fleet-average refrigerator 
(cubic feet)</t>
    </r>
    <r>
      <rPr>
        <b/>
        <vertAlign val="superscript"/>
        <sz val="8"/>
        <rFont val="Arial"/>
        <family val="2"/>
      </rPr>
      <t>3</t>
    </r>
  </si>
  <si>
    <t>US - Hour-cubic meter of residential refrigeration
(billion hour-cubic meters)</t>
  </si>
  <si>
    <r>
      <t>US - Electricity consumed by a new refrigerator
(kWh per refrigerator 
per year)</t>
    </r>
    <r>
      <rPr>
        <b/>
        <vertAlign val="superscript"/>
        <sz val="8"/>
        <rFont val="Arial"/>
        <family val="2"/>
      </rPr>
      <t>4</t>
    </r>
  </si>
  <si>
    <t>US - Electricity consumed per cubic foot of refrigeration by a new refrigerator
(kWh per cubic foot 
per year)</t>
  </si>
  <si>
    <t>US - Hour-cubic meter of refrigeration produced per MJ of electricity consumed by a new refrigerator
(hour-cubic meter per MJ)</t>
  </si>
  <si>
    <r>
      <t>US Efficiency - Hour-cubic meter of refrigeration produced per MJ of electricity consumed by a fleet-average refrigerator
(hour-cubic meter per MJ)</t>
    </r>
    <r>
      <rPr>
        <b/>
        <vertAlign val="superscript"/>
        <sz val="8"/>
        <rFont val="Arial"/>
        <family val="2"/>
      </rPr>
      <t>3</t>
    </r>
  </si>
  <si>
    <t>Annual change in efficiency (Δe/e)</t>
  </si>
  <si>
    <t>Annual change in quantity (ΔQ/Q)</t>
  </si>
  <si>
    <t>Decade</t>
  </si>
  <si>
    <t>Average annual change in efficiency (Δe/e) by decade</t>
  </si>
  <si>
    <t>Average annual change in quantity (ΔQ/Q) by decade</t>
  </si>
  <si>
    <t>Average ΔQ/Q / Average Δe/e</t>
  </si>
  <si>
    <t>1960-1969</t>
  </si>
  <si>
    <t>1970-1979</t>
  </si>
  <si>
    <t>1980-1989</t>
  </si>
  <si>
    <t>1990-1999</t>
  </si>
  <si>
    <t>Constant Resource Consumption</t>
  </si>
  <si>
    <t>2000-2009</t>
  </si>
  <si>
    <t>Δe/e</t>
  </si>
  <si>
    <t>ΔQ/Q</t>
  </si>
  <si>
    <t>Conversion factors</t>
  </si>
  <si>
    <t>Consolidated Results</t>
  </si>
  <si>
    <t>cubic foot</t>
  </si>
  <si>
    <t>cubic meter</t>
  </si>
  <si>
    <t>day</t>
  </si>
  <si>
    <t>hour</t>
  </si>
  <si>
    <t>year</t>
  </si>
  <si>
    <t>1960-2009</t>
  </si>
  <si>
    <t>kWh</t>
  </si>
  <si>
    <t>MJ</t>
  </si>
  <si>
    <t>References:</t>
  </si>
  <si>
    <t>1.  Quantity data - Number of Refrigerators</t>
  </si>
  <si>
    <t>1940: United States Bureau of the Census, United States Census.  University of Virginia Library, GeoStat Center: Collections, Historical Census Browser.  Available online at http://fisher.lib.virginia.edu/collections/stats/histcensus/.  (Accessed February 3, 2007.)</t>
  </si>
  <si>
    <t>1993: United States Department of Energy, 1993.  Residential Energy Consumption Survey (RECS) 1993, Energy Information Administration.  Available online at www.eia.doe.gov/emeu/recs/.  (Accessed February 2, 2007.)</t>
  </si>
  <si>
    <t>1997: United States Department of Energy, 1997.  Residential Energy Consumption Survey (RECS) 1997, Energy Information Administration.  Available online at www.eia.doe.gov/emeu/recs/.  (Accessed February 2, 2007.)</t>
  </si>
  <si>
    <t>2001: United States Department of Energy, 2001.  Residential Energy Consumption Survey (RECS) 2001, Energy Information Administration.  Available online at www.eia.doe.gov/emeu/recs/.  (Accessed February 2, 2007.)</t>
  </si>
  <si>
    <t>2005: United States Department of Energy, 2005.  Residential Energy Consumption Survey (RECS) 2005, Energy Information Administration.  Available online at www.eia.doe.gov/emeu/recs/.  (Accessed August 10, 2008.)</t>
  </si>
  <si>
    <t>2009: United States Department of Energy, 2009.  Residential Energy Consumption Survey (RECS) 2009, Energy Information Administration.  Available online at www.eia.gov/consumption/residential/.  (Accessed July 31, 2013.)</t>
  </si>
  <si>
    <t>2.  Quantity data - Interior Volume of Refrigerators</t>
  </si>
  <si>
    <t>1947-1974, 1978: Rosenfeld, A.H., 2005.  Modeling Energy and Sustainable Growth: Lessons from California.  Presentation to the City Club of Berkeley, April 22, 2005.  Available online at http://www.energy.ca.gov/2005publications/CEC-999-2005-007/CEC-999-2005-007.PDF.  (Accessed October 17, 2013).</t>
  </si>
  <si>
    <t>1980-1997: Association of Home Appliance Manufacturers, 2000.  Fact Book 2000.  Washington, D.C., USA: Association of Home Appliance Manufacturers.</t>
  </si>
  <si>
    <t>1998-2009: Appliance Standards Awareness Project, 2011.  Average Household Refrigerator Energy Use, Volume, and Price Over Time.  Available online at http://www.appliance-standards.org/sites/default/files/Refrigerator%20Graph_July_2011.PDF.  (Accessed October 17, 2013).</t>
  </si>
  <si>
    <t>3. Fleet Age Distribution data</t>
  </si>
  <si>
    <t>4. Efficiency data</t>
  </si>
  <si>
    <t>1947-2000: Rosenfeld, A.H., 1999.  The Art of Energy Efficiency: Protecting the Environment with Better Technology.  Annual Review of Energy and the Environment 24:33-82.</t>
  </si>
  <si>
    <t>1980-1999: Association of Home Appliance Manufacturers, 2000.  Fact Book 2000.  Washington, D.C., USA: Association of Home Appliance Manufacturers.</t>
  </si>
  <si>
    <t>2000-2004: Association of Home Appliance Manufacturers, 2005.  Fact Book 2005.  Washington, D.C., USA: Association of Home Appliance Manufacturers.</t>
  </si>
  <si>
    <t xml:space="preserve">2006: McNary, B., 2008.  Memorandum to Bruce Nelson.  Energy Consumption Savings Methodology - 2008 Update.  July 14, 2008.  Available online at www.state.mn.us/mn/externalDocs/Commerce/Energy_Star_savings_estimates_121202023954_EnergySavingsEstimates.pdf.  (Accessed August 10, 2008.) </t>
  </si>
  <si>
    <t>2010: Association of Home Appliance Manufacturers (AHAM), 2011.  New Appliances Now More Efficient Than Ever.  October 14, 2011.  Available online at http://aham.typepad.com/ahams_blog/2011/10/new-appliances-now-more-efficient-than-ever.html.  (Accessed July 31, 2013.)</t>
  </si>
  <si>
    <t>Source</t>
  </si>
  <si>
    <t>Dahmus (2014)</t>
  </si>
  <si>
    <t>Electricity Consumption [kWh/year]</t>
  </si>
  <si>
    <t>Volume [ft^3]</t>
  </si>
  <si>
    <t>Country</t>
  </si>
  <si>
    <t>Machine</t>
  </si>
  <si>
    <t>Eu.product</t>
  </si>
  <si>
    <t>Metric</t>
  </si>
  <si>
    <t>Eta.fu</t>
  </si>
  <si>
    <t>World</t>
  </si>
  <si>
    <t>Refrigerators</t>
  </si>
  <si>
    <t>No data could be found for Honduras Energy Useage</t>
  </si>
  <si>
    <t>Maximum Theoretical COP for refrigeration:</t>
  </si>
  <si>
    <t>From Coulter and Bullard, modern refrigeration COP is more accurately 0.67 for ambien temp of 90F. This gives an eta of 8.9%</t>
  </si>
  <si>
    <t>COP_now</t>
  </si>
  <si>
    <t>eta_now</t>
  </si>
  <si>
    <t>From Heun and Brockway, COP in 1971 was 1/3 of modern COP. This is common across all countries (no standards yet in place)</t>
  </si>
  <si>
    <t>COP_1971</t>
  </si>
  <si>
    <t>Mexico established energy standards in 1995, prior to that, consumption across Central America was roughly equal</t>
  </si>
  <si>
    <t>Cons_1995_MEX</t>
  </si>
  <si>
    <t>kWh/yr</t>
  </si>
  <si>
    <t>for a 400 dm3 fridge (14 ft3)</t>
  </si>
  <si>
    <t>https://aceee.org/files/proceedings/2006/data/papers/SS06_Panel9_Paper28.pdf</t>
  </si>
  <si>
    <t>Sanches Et. Al. "Economic and Energy Impact Assessment of Energy Efficiency Standards
in México" 2006</t>
  </si>
  <si>
    <t>Honduras and Nicaragua did not implement any regulations until 2008 and 2017 respectively</t>
  </si>
  <si>
    <t>Regulations in HON were not well informced (RISE-Honduras), so consumption rates in HON and NIC are roughly equal in 2012</t>
  </si>
  <si>
    <t>Cons_2012_NIC</t>
  </si>
  <si>
    <t>http://www.ine.gob.ni/DAC/consultas/Tabla_Consumo_Equipos_actMay12.pdf</t>
  </si>
  <si>
    <t>Nicaraguan Energy Institute, Reg 4396-M35333-A, 04/13/12</t>
  </si>
  <si>
    <t>From the American Enterprise institute, avg consumption in 1981 was 1278 kWh/yr</t>
  </si>
  <si>
    <t>Follwing trends to 1971 results in an average consumption in 1971 of ~1350kWh/yr</t>
  </si>
  <si>
    <t>http://www.aei.org/publication/when-it-comes-to-home-appliances-the-good-old-days-are-now-theyre-cheaper-better-more-energy-efficient-than-ever/</t>
  </si>
  <si>
    <t>COP</t>
  </si>
  <si>
    <t>eta</t>
  </si>
  <si>
    <t>Refrigeration</t>
  </si>
  <si>
    <t>Schipper &amp; Hawk (1991) - More efficient household electricity an international perspective</t>
  </si>
  <si>
    <t>https://www.sciencedirect.com/science/article/pii/030142159190150M</t>
  </si>
  <si>
    <t>Base Values</t>
  </si>
  <si>
    <t>Value</t>
  </si>
  <si>
    <t>% Improvement</t>
  </si>
  <si>
    <t>Efficiency [day ft3/kWh]</t>
  </si>
  <si>
    <t>Refrigerator</t>
  </si>
  <si>
    <t>day ft3/kWh</t>
  </si>
  <si>
    <t>Freezer</t>
  </si>
  <si>
    <t>Central A/C</t>
  </si>
  <si>
    <t>SEER</t>
  </si>
  <si>
    <t>Room A/C</t>
  </si>
  <si>
    <t>EER</t>
  </si>
  <si>
    <t>Gas water heater</t>
  </si>
  <si>
    <t>%</t>
  </si>
  <si>
    <t>Gas space heater</t>
  </si>
  <si>
    <t>Oil space heater</t>
  </si>
  <si>
    <t>Electric water heater</t>
  </si>
  <si>
    <t>Efficiency [SEER]</t>
  </si>
  <si>
    <t>Efficiency [EER]</t>
  </si>
  <si>
    <t>Efficiency [%]</t>
  </si>
  <si>
    <t>Quantity</t>
  </si>
  <si>
    <t>Energy.type</t>
  </si>
  <si>
    <t>Last.stage</t>
  </si>
  <si>
    <t>Method</t>
  </si>
  <si>
    <t>E</t>
  </si>
  <si>
    <t>Final</t>
  </si>
  <si>
    <t>PCM</t>
  </si>
  <si>
    <t>LTC.-10.C</t>
  </si>
  <si>
    <t>eta.fu</t>
  </si>
  <si>
    <t>Temperature</t>
  </si>
  <si>
    <t>(K)</t>
  </si>
  <si>
    <t>Specific Heat</t>
  </si>
  <si>
    <t>Ratio of Specific Heats</t>
  </si>
  <si>
    <t>- k -</t>
  </si>
  <si>
    <t>(cp/cv)</t>
  </si>
  <si>
    <t>Dynamic Viscosity</t>
  </si>
  <si>
    <t>- μ -</t>
  </si>
  <si>
    <t>(10-5 kg/m s)</t>
  </si>
  <si>
    <t>Thermal Conductivity</t>
  </si>
  <si>
    <t>(10-5 kW/m K)</t>
  </si>
  <si>
    <t>Prandtl Number</t>
  </si>
  <si>
    <t>- ν -</t>
  </si>
  <si>
    <t>(10-5 m2/s)</t>
  </si>
  <si>
    <t>- ρ -</t>
  </si>
  <si>
    <t>(kg/m3)</t>
  </si>
  <si>
    <t>Thermal Diffusivity</t>
  </si>
  <si>
    <t>- α -</t>
  </si>
  <si>
    <t>(10-6 m2/s)</t>
  </si>
  <si>
    <t>- cp -</t>
  </si>
  <si>
    <t>(kJ/kgK)</t>
  </si>
  <si>
    <t>- cv -</t>
  </si>
  <si>
    <t>https://www.engineeringtoolbox.com/dry-air-properties-d_973.html</t>
  </si>
  <si>
    <t>Dry air properties at one atmosphere</t>
  </si>
  <si>
    <t>Density</t>
  </si>
  <si>
    <t>Kinematic Viscosity</t>
  </si>
  <si>
    <t>Raw Data</t>
  </si>
  <si>
    <t>Calculations</t>
  </si>
  <si>
    <t>Volume [m^3]</t>
  </si>
  <si>
    <t>ft3_to_m3</t>
  </si>
  <si>
    <t>Cubic Foot</t>
  </si>
  <si>
    <t>KWH/Year</t>
  </si>
  <si>
    <t>-</t>
  </si>
  <si>
    <t>AHAM (2017)</t>
  </si>
  <si>
    <t>Laguerre (2010) - Heat transfer and air flow in a domestic refrigerator</t>
  </si>
  <si>
    <t>https://hal.archives-ouvertes.fr/hal-00583230/document</t>
  </si>
  <si>
    <t>External Height [m]</t>
  </si>
  <si>
    <t>External Width [m]</t>
  </si>
  <si>
    <t>External Depth [m]</t>
  </si>
  <si>
    <t>Internal Height [m]</t>
  </si>
  <si>
    <t>Internal Width [m]</t>
  </si>
  <si>
    <t>Internal Depth [m]</t>
  </si>
  <si>
    <t>Internal Volume [m^3]</t>
  </si>
  <si>
    <t>External Volume [m^3]</t>
  </si>
  <si>
    <t>External Surface Area [m^2]</t>
  </si>
  <si>
    <t>Internal Surface Area [m^2]</t>
  </si>
  <si>
    <t>Evaporator Surface Area [m^2]</t>
  </si>
  <si>
    <t>Internal Volume to Surface Area Factor</t>
  </si>
  <si>
    <t>Internal Wall Surface Area [m^2]</t>
  </si>
  <si>
    <t>Air Temperature [K]</t>
  </si>
  <si>
    <t>Internal Temperature [K]</t>
  </si>
  <si>
    <t>Constants</t>
  </si>
  <si>
    <t>internalvol_to_internalarea</t>
  </si>
  <si>
    <t>heat_transfer_coefficient</t>
  </si>
  <si>
    <t>year_to_hour</t>
  </si>
  <si>
    <t>Temperature Difference [K]</t>
  </si>
  <si>
    <t>Energy Efficiency [-]</t>
  </si>
  <si>
    <t>Heat Transfer Rate [W]</t>
  </si>
  <si>
    <t>Refrigerator Power [W]</t>
  </si>
  <si>
    <t>Note: R_w heat resistance conduction in the walls needs a trend, linear ok, find data! Value in 1960 and 2020</t>
  </si>
  <si>
    <t>Overall/Global Heat Transfer Coefficient</t>
  </si>
  <si>
    <t>[Wm^-2K^-1]</t>
  </si>
  <si>
    <t>[C/W]</t>
  </si>
  <si>
    <t>[W/m^2/C]</t>
  </si>
  <si>
    <t>Thermal Resistance - External Walls to ambient air (R_we)</t>
  </si>
  <si>
    <t>Heat Resistance - Conduction - In Walls (R_w)</t>
  </si>
  <si>
    <t>Heat Resistance - Radiation - Evaporator to Walls (R_rad)</t>
  </si>
  <si>
    <t>Heat Resistance - Natural Convection - Evaporator to Internal Air (R_evap)</t>
  </si>
  <si>
    <t>Units</t>
  </si>
  <si>
    <t>U = q/(A*T)</t>
  </si>
  <si>
    <t>Heat Resistance - Natural Convection - Internal Air to Walls (R_wi)</t>
  </si>
  <si>
    <t>USA</t>
  </si>
  <si>
    <t>Calculation</t>
  </si>
  <si>
    <t>Linear Extrapolation</t>
  </si>
  <si>
    <t>Geller et al (1988) -  Electricity Conservation in Brazil Potential and Progress</t>
  </si>
  <si>
    <t>https://link.springer.com/chapter/10.1007/978-94-009-1403-2_36</t>
  </si>
  <si>
    <t>Volume [L]</t>
  </si>
  <si>
    <t>Volume [m3]</t>
  </si>
  <si>
    <t>l_to_m3</t>
  </si>
  <si>
    <t>0.001 </t>
  </si>
  <si>
    <t>Source/Method</t>
  </si>
  <si>
    <t>BRA</t>
  </si>
  <si>
    <t>Geller et al (1988)</t>
  </si>
  <si>
    <t>Assume 25%/75% split for Single-Door/Two-Door refrigerators</t>
  </si>
  <si>
    <t>Two-Door Refrigerator</t>
  </si>
  <si>
    <t>Single-Door Refrigerator</t>
  </si>
  <si>
    <t>Indexed to USA</t>
  </si>
  <si>
    <t>Daioglou (2010) - REMG Data and Technical Report</t>
  </si>
  <si>
    <t>CAN</t>
  </si>
  <si>
    <t>OCN</t>
  </si>
  <si>
    <t>JPN</t>
  </si>
  <si>
    <t>GBR</t>
  </si>
  <si>
    <t>UEC [kWh/yr]</t>
  </si>
  <si>
    <t>EUR</t>
  </si>
  <si>
    <t>Figure 32</t>
  </si>
  <si>
    <t>Figure 36</t>
  </si>
  <si>
    <t xml:space="preserve">Weiss et al (2021) - Learning energy efficiency experience curves for houshold appliances and space heating, cooling, and lighting technologies
 </t>
  </si>
  <si>
    <t>http://dspace.library.uu.nl/handle/1874/32937</t>
  </si>
  <si>
    <t>Combined Volume [L]</t>
  </si>
  <si>
    <t>Figure 38,  equation</t>
  </si>
  <si>
    <t>NLD</t>
  </si>
  <si>
    <t>Internal Volume [L]</t>
  </si>
  <si>
    <t>Internal Volume [m3]</t>
  </si>
  <si>
    <t>air_temp</t>
  </si>
  <si>
    <t>int_temp</t>
  </si>
  <si>
    <t>temp_diff</t>
  </si>
  <si>
    <t>UEC [W]</t>
  </si>
  <si>
    <t>Source/Method (RP)</t>
  </si>
  <si>
    <t>Daioglou (2010)</t>
  </si>
  <si>
    <t>Source/Method (IV)</t>
  </si>
  <si>
    <t>Linear interpolation</t>
  </si>
  <si>
    <t>WRLD</t>
  </si>
  <si>
    <t>Dahmus (2014) - Can Efficiency Improvements Reduce Resource Consumption</t>
  </si>
  <si>
    <t>https://doi.org/10.1111/jiec.12110</t>
  </si>
  <si>
    <t>@article{dahmus2014,</t>
  </si>
  <si>
    <t xml:space="preserve">  title={Can efficiency improvements reduce resource consumption? A historical analysis of ten activities},</t>
  </si>
  <si>
    <t xml:space="preserve">  author={Dahmus, Jeffrey B},</t>
  </si>
  <si>
    <t xml:space="preserve">  journal={Journal of Industrial Ecology},</t>
  </si>
  <si>
    <t xml:space="preserve">  volume={18},</t>
  </si>
  <si>
    <t xml:space="preserve">  number={6},</t>
  </si>
  <si>
    <t xml:space="preserve">  pages={883--897},</t>
  </si>
  <si>
    <t xml:space="preserve">  year={2014},</t>
  </si>
  <si>
    <t xml:space="preserve">  publisher={Wiley Online Library},</t>
  </si>
  <si>
    <t xml:space="preserve">  doi={10.1111/jiec.12110}</t>
  </si>
  <si>
    <t>}</t>
  </si>
  <si>
    <t>AHAM (2017) - Trends in Energy Efficiency 2017</t>
  </si>
  <si>
    <t>@misc{aham2017,</t>
  </si>
  <si>
    <t xml:space="preserve">  title={Trends in Energy Efficiency 2017},</t>
  </si>
  <si>
    <t xml:space="preserve">  publisher={Association of Home Appliance Manufacturers (AHAM)},</t>
  </si>
  <si>
    <t xml:space="preserve">  author={AHAM},</t>
  </si>
  <si>
    <t xml:space="preserve">  year={2017}</t>
  </si>
  <si>
    <t>@article{daioglou2012,</t>
  </si>
  <si>
    <t xml:space="preserve">  title={Model projections for household energy use in developing countries},</t>
  </si>
  <si>
    <t xml:space="preserve">  author={Daioglou, Vassilis and Van Ruijven, Bas J and Van Vuuren, Detlef P},</t>
  </si>
  <si>
    <t xml:space="preserve">  journal={Energy},</t>
  </si>
  <si>
    <t xml:space="preserve">  volume={37},</t>
  </si>
  <si>
    <t xml:space="preserve">  number={1},</t>
  </si>
  <si>
    <t xml:space="preserve">  pages={601--615},</t>
  </si>
  <si>
    <t xml:space="preserve">  year={2012},</t>
  </si>
  <si>
    <t xml:space="preserve">  publisher={Elsevier},</t>
  </si>
  <si>
    <t xml:space="preserve">  doi={10.1016/j.energy.2011.10.044}</t>
  </si>
  <si>
    <t>@misc{daioglou2010,</t>
  </si>
  <si>
    <t xml:space="preserve">  title={REMG DATA AND TECHNICAL REPORT},</t>
  </si>
  <si>
    <t xml:space="preserve">  author={Daioglou, Vassilis},</t>
  </si>
  <si>
    <t xml:space="preserve">  url={http://www.fp7-advance.eu/?q=content/residential-sector-end-use-model},</t>
  </si>
  <si>
    <t xml:space="preserve">  year={2010}</t>
  </si>
  <si>
    <t>@incollection{geller1988electricity,</t>
  </si>
  <si>
    <t xml:space="preserve">  title={Electricity conservation in Brazil: Potential and progress},</t>
  </si>
  <si>
    <t xml:space="preserve">  author={Geller, Howard S and Goldemberg, Jos{\'e} and Hukai, Roberto and Moreira, Jose Roberto and Scarpinella, Claudio and Yoshizawa, Mamiro},</t>
  </si>
  <si>
    <t xml:space="preserve">  booktitle={Demand-Side Management and Electricity End-Use Efficiency},</t>
  </si>
  <si>
    <t xml:space="preserve">  pages={535--558},</t>
  </si>
  <si>
    <t xml:space="preserve">  year={1988},</t>
  </si>
  <si>
    <t xml:space="preserve">  publisher={Springer}</t>
  </si>
  <si>
    <t xml:space="preserve"> the interna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</si>
</sst>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
    <numFmt numFmtId="165" formatCode="_(* #,##0.00_);_(* \(#,##0.00\);_(* &quot;-&quot;??_);_(@_)"/>
    <numFmt numFmtId="166" formatCode="0.0"/>
    <numFmt numFmtId="167" formatCode="0.0%"/>
    <numFmt numFmtId="168" formatCode="0.000"/>
    <numFmt numFmtId="169" formatCode="0.000%"/>
  </numFmts>
  <fonts count="27" x14ac:knownFonts="1">
    <font>
      <sz val="12"/>
      <color theme="1"/>
      <name val="Calibri"/>
      <family val="2"/>
      <scheme val="minor"/>
    </font>
    <font>
      <sz val="11"/>
      <color theme="1"/>
      <name val="Calibri"/>
      <family val="2"/>
      <scheme val="minor"/>
    </font>
    <font>
      <b/>
      <sz val="10"/>
      <color indexed="81"/>
      <name val="Calibri"/>
      <family val="2"/>
    </font>
    <font>
      <sz val="10"/>
      <color indexed="81"/>
      <name val="Calibri"/>
      <family val="2"/>
    </font>
    <font>
      <sz val="11"/>
      <color theme="1"/>
      <name val="Calibri"/>
      <family val="2"/>
      <scheme val="minor"/>
    </font>
    <font>
      <sz val="10"/>
      <name val="Arial"/>
      <family val="2"/>
    </font>
    <font>
      <b/>
      <sz val="10"/>
      <name val="Arial"/>
      <family val="2"/>
    </font>
    <font>
      <sz val="9"/>
      <name val="Arial"/>
      <family val="2"/>
    </font>
    <font>
      <sz val="8"/>
      <color theme="0" tint="-0.34998626667073579"/>
      <name val="Arial"/>
      <family val="2"/>
    </font>
    <font>
      <sz val="8"/>
      <name val="Arial"/>
      <family val="2"/>
    </font>
    <font>
      <b/>
      <sz val="8"/>
      <name val="Arial"/>
      <family val="2"/>
    </font>
    <font>
      <b/>
      <vertAlign val="superscript"/>
      <sz val="8"/>
      <name val="Arial"/>
      <family val="2"/>
    </font>
    <font>
      <sz val="7"/>
      <name val="Arial"/>
      <family val="2"/>
    </font>
    <font>
      <sz val="8"/>
      <color theme="1"/>
      <name val="Arial"/>
      <family val="2"/>
    </font>
    <font>
      <b/>
      <sz val="8"/>
      <color theme="1"/>
      <name val="Arial"/>
      <family val="2"/>
    </font>
    <font>
      <b/>
      <sz val="11"/>
      <color theme="1"/>
      <name val="Calibri"/>
      <family val="2"/>
      <scheme val="minor"/>
    </font>
    <font>
      <b/>
      <sz val="12"/>
      <color theme="1"/>
      <name val="Calibri"/>
      <family val="2"/>
      <scheme val="minor"/>
    </font>
    <font>
      <sz val="9"/>
      <color indexed="81"/>
      <name val="Tahoma"/>
      <family val="2"/>
    </font>
    <font>
      <b/>
      <sz val="9"/>
      <color indexed="81"/>
      <name val="Tahoma"/>
      <family val="2"/>
    </font>
    <font>
      <sz val="12"/>
      <name val="Arial"/>
      <family val="2"/>
    </font>
    <font>
      <b/>
      <sz val="11"/>
      <name val="Calibri"/>
      <family val="2"/>
      <scheme val="minor"/>
    </font>
    <font>
      <u/>
      <sz val="11"/>
      <color theme="10"/>
      <name val="Calibri"/>
      <family val="2"/>
      <scheme val="minor"/>
    </font>
    <font>
      <sz val="11"/>
      <name val="Calibri"/>
      <family val="2"/>
      <scheme val="minor"/>
    </font>
    <font>
      <sz val="12"/>
      <color rgb="FFFF0000"/>
      <name val="Calibri"/>
      <family val="2"/>
      <scheme val="minor"/>
    </font>
    <font>
      <sz val="11"/>
      <color rgb="FFFF0000"/>
      <name val="Calibri"/>
      <family val="2"/>
      <scheme val="minor"/>
    </font>
    <font>
      <sz val="12"/>
      <color rgb="FF000000"/>
      <name val="Calibri"/>
      <family val="2"/>
      <scheme val="minor"/>
    </font>
    <font>
      <sz val="11"/>
      <color theme="9"/>
      <name val="Calibri"/>
      <family val="2"/>
      <scheme val="minor"/>
    </font>
  </fonts>
  <fills count="7">
    <fill>
      <patternFill patternType="none"/>
    </fill>
    <fill>
      <patternFill patternType="gray125"/>
    </fill>
    <fill>
      <patternFill patternType="solid">
        <fgColor theme="9" tint="0.59996337778862885"/>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s>
  <borders count="3">
    <border>
      <left/>
      <right/>
      <top/>
      <bottom/>
      <diagonal/>
    </border>
    <border>
      <left/>
      <right/>
      <top/>
      <bottom style="thin">
        <color indexed="64"/>
      </bottom>
      <diagonal/>
    </border>
    <border>
      <left style="thin">
        <color indexed="64"/>
      </left>
      <right/>
      <top/>
      <bottom/>
      <diagonal/>
    </border>
  </borders>
  <cellStyleXfs count="7">
    <xf numFmtId="0" fontId="0" fillId="0" borderId="0"/>
    <xf numFmtId="0" fontId="4"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0" fontId="19" fillId="0" borderId="0"/>
    <xf numFmtId="0" fontId="21" fillId="0" borderId="0" applyNumberFormat="0" applyFill="0" applyBorder="0" applyAlignment="0" applyProtection="0"/>
  </cellStyleXfs>
  <cellXfs count="146">
    <xf numFmtId="0" fontId="0" fillId="0" borderId="0" xfId="0"/>
    <xf numFmtId="10" fontId="0" fillId="0" borderId="0" xfId="0" applyNumberFormat="1"/>
    <xf numFmtId="0" fontId="0" fillId="2" borderId="0" xfId="0" applyFill="1"/>
    <xf numFmtId="0" fontId="4" fillId="0" borderId="0" xfId="1"/>
    <xf numFmtId="0" fontId="4" fillId="0" borderId="0" xfId="1" applyAlignment="1">
      <alignment horizontal="center"/>
    </xf>
    <xf numFmtId="1" fontId="4" fillId="0" borderId="0" xfId="1" applyNumberFormat="1" applyAlignment="1">
      <alignment horizontal="center"/>
    </xf>
    <xf numFmtId="2" fontId="4" fillId="0" borderId="0" xfId="1" applyNumberFormat="1" applyAlignment="1">
      <alignment horizontal="center"/>
    </xf>
    <xf numFmtId="164" fontId="4" fillId="0" borderId="0" xfId="1" applyNumberFormat="1" applyAlignment="1">
      <alignment horizontal="center"/>
    </xf>
    <xf numFmtId="0" fontId="6" fillId="0" borderId="0" xfId="2" applyFont="1"/>
    <xf numFmtId="0" fontId="7" fillId="0" borderId="0" xfId="2" applyFont="1" applyFill="1"/>
    <xf numFmtId="0" fontId="5" fillId="0" borderId="0" xfId="2" applyFill="1"/>
    <xf numFmtId="0" fontId="5" fillId="0" borderId="0" xfId="2"/>
    <xf numFmtId="0" fontId="8" fillId="0" borderId="0" xfId="2" applyFont="1"/>
    <xf numFmtId="0" fontId="5" fillId="0" borderId="0" xfId="2" applyFill="1" applyAlignment="1">
      <alignment horizontal="center"/>
    </xf>
    <xf numFmtId="0" fontId="9" fillId="0" borderId="0" xfId="2" applyFont="1" applyAlignment="1">
      <alignment horizontal="center" vertical="center"/>
    </xf>
    <xf numFmtId="0" fontId="10" fillId="0" borderId="0" xfId="3" applyNumberFormat="1" applyFont="1" applyFill="1" applyBorder="1" applyAlignment="1">
      <alignment horizontal="center" vertical="center" wrapText="1"/>
    </xf>
    <xf numFmtId="0" fontId="5" fillId="0" borderId="0" xfId="2" applyFill="1" applyAlignment="1">
      <alignment wrapText="1"/>
    </xf>
    <xf numFmtId="0" fontId="5" fillId="0" borderId="0" xfId="2" applyAlignment="1">
      <alignment wrapText="1"/>
    </xf>
    <xf numFmtId="0" fontId="12" fillId="0" borderId="0" xfId="2" applyFont="1"/>
    <xf numFmtId="166" fontId="8" fillId="0" borderId="0" xfId="2" applyNumberFormat="1" applyFont="1" applyFill="1" applyAlignment="1">
      <alignment wrapText="1"/>
    </xf>
    <xf numFmtId="166" fontId="9" fillId="0" borderId="0" xfId="2" applyNumberFormat="1" applyFont="1" applyFill="1" applyAlignment="1">
      <alignment wrapText="1"/>
    </xf>
    <xf numFmtId="0" fontId="12" fillId="0" borderId="0" xfId="2" applyFont="1" applyFill="1"/>
    <xf numFmtId="1" fontId="8" fillId="0" borderId="0" xfId="2" applyNumberFormat="1" applyFont="1"/>
    <xf numFmtId="166" fontId="8" fillId="0" borderId="0" xfId="2" applyNumberFormat="1" applyFont="1"/>
    <xf numFmtId="0" fontId="9" fillId="0" borderId="0" xfId="2" applyFont="1"/>
    <xf numFmtId="167" fontId="9" fillId="0" borderId="0" xfId="4" applyNumberFormat="1" applyFont="1" applyFill="1" applyBorder="1"/>
    <xf numFmtId="1" fontId="9" fillId="0" borderId="0" xfId="2" applyNumberFormat="1" applyFont="1" applyFill="1" applyAlignment="1">
      <alignment wrapText="1"/>
    </xf>
    <xf numFmtId="0" fontId="9" fillId="0" borderId="0" xfId="2" applyFont="1" applyFill="1"/>
    <xf numFmtId="168" fontId="12" fillId="0" borderId="0" xfId="2" applyNumberFormat="1" applyFont="1" applyFill="1"/>
    <xf numFmtId="1" fontId="13" fillId="0" borderId="0" xfId="2" applyNumberFormat="1" applyFont="1"/>
    <xf numFmtId="166" fontId="13" fillId="0" borderId="0" xfId="2" applyNumberFormat="1" applyFont="1"/>
    <xf numFmtId="2" fontId="9" fillId="0" borderId="0" xfId="2" applyNumberFormat="1" applyFont="1" applyFill="1"/>
    <xf numFmtId="1" fontId="8" fillId="0" borderId="0" xfId="2" applyNumberFormat="1" applyFont="1" applyFill="1" applyAlignment="1">
      <alignment wrapText="1"/>
    </xf>
    <xf numFmtId="166" fontId="9" fillId="0" borderId="0" xfId="2" applyNumberFormat="1" applyFont="1" applyFill="1"/>
    <xf numFmtId="2" fontId="9" fillId="0" borderId="0" xfId="2" applyNumberFormat="1" applyFont="1" applyFill="1" applyBorder="1"/>
    <xf numFmtId="167" fontId="9" fillId="0" borderId="0" xfId="4" applyNumberFormat="1" applyFont="1" applyFill="1" applyBorder="1" applyAlignment="1">
      <alignment horizontal="right"/>
    </xf>
    <xf numFmtId="166" fontId="9" fillId="0" borderId="0" xfId="4" applyNumberFormat="1" applyFont="1" applyFill="1" applyBorder="1" applyAlignment="1">
      <alignment horizontal="center"/>
    </xf>
    <xf numFmtId="1" fontId="9" fillId="0" borderId="0" xfId="2" applyNumberFormat="1" applyFont="1"/>
    <xf numFmtId="0" fontId="12" fillId="0" borderId="0" xfId="2" applyFont="1" applyBorder="1"/>
    <xf numFmtId="0" fontId="14" fillId="0" borderId="0" xfId="2" applyFont="1"/>
    <xf numFmtId="0" fontId="9" fillId="0" borderId="0" xfId="2" applyFont="1" applyAlignment="1">
      <alignment horizontal="center"/>
    </xf>
    <xf numFmtId="9" fontId="9" fillId="0" borderId="0" xfId="4" applyFont="1" applyAlignment="1">
      <alignment horizontal="center"/>
    </xf>
    <xf numFmtId="166" fontId="13" fillId="0" borderId="0" xfId="2" applyNumberFormat="1" applyFont="1" applyFill="1"/>
    <xf numFmtId="2" fontId="12" fillId="0" borderId="0" xfId="2" applyNumberFormat="1" applyFont="1" applyFill="1"/>
    <xf numFmtId="166" fontId="8" fillId="0" borderId="0" xfId="2" applyNumberFormat="1" applyFont="1" applyFill="1"/>
    <xf numFmtId="2" fontId="8" fillId="0" borderId="0" xfId="2" applyNumberFormat="1" applyFont="1" applyFill="1"/>
    <xf numFmtId="0" fontId="14" fillId="0" borderId="0" xfId="2" applyFont="1" applyFill="1" applyBorder="1"/>
    <xf numFmtId="0" fontId="13" fillId="0" borderId="0" xfId="2" applyFont="1" applyAlignment="1">
      <alignment horizontal="left"/>
    </xf>
    <xf numFmtId="0" fontId="13" fillId="0" borderId="0" xfId="2" applyFont="1" applyFill="1" applyBorder="1" applyAlignment="1">
      <alignment horizontal="center"/>
    </xf>
    <xf numFmtId="166" fontId="9" fillId="0" borderId="0" xfId="2" applyNumberFormat="1" applyFont="1" applyFill="1" applyBorder="1" applyAlignment="1">
      <alignment horizontal="center"/>
    </xf>
    <xf numFmtId="169" fontId="12" fillId="0" borderId="0" xfId="4" applyNumberFormat="1" applyFont="1"/>
    <xf numFmtId="168" fontId="9" fillId="0" borderId="0" xfId="2" applyNumberFormat="1" applyFont="1" applyFill="1" applyBorder="1" applyAlignment="1">
      <alignment horizontal="center"/>
    </xf>
    <xf numFmtId="2" fontId="13" fillId="0" borderId="0" xfId="2" applyNumberFormat="1" applyFont="1"/>
    <xf numFmtId="167" fontId="13" fillId="0" borderId="0" xfId="4" applyNumberFormat="1" applyFont="1"/>
    <xf numFmtId="166" fontId="13" fillId="0" borderId="0" xfId="2" applyNumberFormat="1" applyFont="1" applyAlignment="1">
      <alignment horizontal="center"/>
    </xf>
    <xf numFmtId="2" fontId="10" fillId="0" borderId="0" xfId="2" applyNumberFormat="1" applyFont="1" applyFill="1" applyBorder="1"/>
    <xf numFmtId="167" fontId="14" fillId="0" borderId="0" xfId="4" applyNumberFormat="1" applyFont="1"/>
    <xf numFmtId="166" fontId="10" fillId="0" borderId="0" xfId="4" applyNumberFormat="1" applyFont="1" applyFill="1" applyBorder="1" applyAlignment="1">
      <alignment horizontal="center"/>
    </xf>
    <xf numFmtId="0" fontId="9" fillId="0" borderId="0" xfId="2" applyFont="1" applyFill="1" applyBorder="1" applyAlignment="1">
      <alignment horizontal="center"/>
    </xf>
    <xf numFmtId="167" fontId="12" fillId="0" borderId="0" xfId="4" applyNumberFormat="1" applyFont="1" applyFill="1"/>
    <xf numFmtId="167" fontId="12" fillId="0" borderId="0" xfId="4" applyNumberFormat="1" applyFont="1"/>
    <xf numFmtId="10" fontId="12" fillId="0" borderId="0" xfId="4" applyNumberFormat="1" applyFont="1"/>
    <xf numFmtId="0" fontId="10" fillId="0" borderId="0" xfId="2" applyFont="1"/>
    <xf numFmtId="0" fontId="13" fillId="0" borderId="0" xfId="2" applyFont="1" applyFill="1" applyBorder="1"/>
    <xf numFmtId="0" fontId="9" fillId="0" borderId="0" xfId="2" applyFont="1" applyAlignment="1"/>
    <xf numFmtId="0" fontId="9" fillId="0" borderId="0" xfId="2" applyFont="1" applyBorder="1"/>
    <xf numFmtId="0" fontId="9" fillId="0" borderId="0" xfId="2" applyFont="1" applyFill="1" applyBorder="1"/>
    <xf numFmtId="46" fontId="9" fillId="0" borderId="0" xfId="2" applyNumberFormat="1" applyFont="1"/>
    <xf numFmtId="46" fontId="12" fillId="0" borderId="0" xfId="2" applyNumberFormat="1" applyFont="1"/>
    <xf numFmtId="0" fontId="4" fillId="0" borderId="0" xfId="0" applyFont="1" applyAlignment="1">
      <alignment horizontal="center"/>
    </xf>
    <xf numFmtId="0" fontId="0" fillId="0" borderId="0" xfId="0" applyAlignment="1">
      <alignment horizontal="center"/>
    </xf>
    <xf numFmtId="0" fontId="16" fillId="0" borderId="1" xfId="0" applyFont="1" applyBorder="1" applyAlignment="1">
      <alignment horizontal="center"/>
    </xf>
    <xf numFmtId="0" fontId="15" fillId="0" borderId="1" xfId="0" applyFont="1" applyBorder="1" applyAlignment="1">
      <alignment horizontal="center"/>
    </xf>
    <xf numFmtId="0" fontId="4" fillId="0" borderId="0" xfId="0" applyFont="1" applyBorder="1" applyAlignment="1">
      <alignment horizontal="center"/>
    </xf>
    <xf numFmtId="2" fontId="4" fillId="0" borderId="0" xfId="0" applyNumberFormat="1" applyFont="1" applyAlignment="1">
      <alignment horizontal="center"/>
    </xf>
    <xf numFmtId="0" fontId="4" fillId="0" borderId="0" xfId="1" applyAlignment="1"/>
    <xf numFmtId="0" fontId="21" fillId="0" borderId="0" xfId="6"/>
    <xf numFmtId="2" fontId="4" fillId="0" borderId="0" xfId="1" applyNumberFormat="1"/>
    <xf numFmtId="2" fontId="4" fillId="0" borderId="0" xfId="1" applyNumberFormat="1" applyAlignment="1">
      <alignment horizontal="right"/>
    </xf>
    <xf numFmtId="0" fontId="15" fillId="0" borderId="0" xfId="1" applyFont="1"/>
    <xf numFmtId="0" fontId="15" fillId="3" borderId="0" xfId="1" applyFont="1" applyFill="1"/>
    <xf numFmtId="0" fontId="4" fillId="3" borderId="0" xfId="1" applyFill="1"/>
    <xf numFmtId="0" fontId="15" fillId="3" borderId="0" xfId="1" applyFont="1" applyFill="1" applyAlignment="1">
      <alignment horizontal="left"/>
    </xf>
    <xf numFmtId="0" fontId="15" fillId="0" borderId="0" xfId="1" applyFont="1" applyFill="1" applyAlignment="1">
      <alignment horizontal="left"/>
    </xf>
    <xf numFmtId="0" fontId="4" fillId="0" borderId="0" xfId="1" applyAlignment="1">
      <alignment horizontal="left"/>
    </xf>
    <xf numFmtId="0" fontId="15" fillId="3" borderId="0" xfId="1" applyFont="1" applyFill="1" applyAlignment="1">
      <alignment horizontal="center"/>
    </xf>
    <xf numFmtId="0" fontId="15" fillId="0" borderId="0" xfId="1" applyFont="1" applyFill="1" applyAlignment="1">
      <alignment horizontal="center"/>
    </xf>
    <xf numFmtId="0" fontId="15" fillId="0" borderId="0" xfId="1" applyFont="1" applyAlignment="1">
      <alignment horizontal="center"/>
    </xf>
    <xf numFmtId="10" fontId="4" fillId="0" borderId="0" xfId="1" applyNumberFormat="1" applyAlignment="1">
      <alignment horizontal="center"/>
    </xf>
    <xf numFmtId="0" fontId="20" fillId="0" borderId="1" xfId="5" applyFont="1" applyBorder="1" applyAlignment="1">
      <alignment horizontal="center"/>
    </xf>
    <xf numFmtId="0" fontId="5" fillId="0" borderId="0" xfId="0" applyFont="1" applyAlignment="1">
      <alignment horizontal="center"/>
    </xf>
    <xf numFmtId="10" fontId="22" fillId="0" borderId="0" xfId="0" applyNumberFormat="1" applyFont="1" applyAlignment="1">
      <alignment horizontal="center"/>
    </xf>
    <xf numFmtId="0" fontId="15" fillId="0" borderId="0" xfId="1" applyFont="1" applyAlignment="1">
      <alignment horizontal="center" vertical="center"/>
    </xf>
    <xf numFmtId="0" fontId="15" fillId="0" borderId="0" xfId="1" applyFont="1" applyFill="1" applyAlignment="1">
      <alignment horizontal="center" vertical="center"/>
    </xf>
    <xf numFmtId="2" fontId="0" fillId="0" borderId="0" xfId="0" applyNumberFormat="1" applyAlignment="1">
      <alignment horizontal="center"/>
    </xf>
    <xf numFmtId="2" fontId="16" fillId="0" borderId="0" xfId="0" applyNumberFormat="1" applyFont="1" applyAlignment="1">
      <alignment horizontal="center"/>
    </xf>
    <xf numFmtId="2" fontId="21" fillId="0" borderId="0" xfId="6" applyNumberFormat="1" applyAlignment="1">
      <alignment horizontal="left"/>
    </xf>
    <xf numFmtId="2" fontId="0" fillId="0" borderId="0" xfId="0" applyNumberFormat="1" applyFont="1" applyAlignment="1">
      <alignment horizontal="center"/>
    </xf>
    <xf numFmtId="0" fontId="16" fillId="0" borderId="0" xfId="0" applyFont="1" applyAlignment="1">
      <alignment horizontal="center"/>
    </xf>
    <xf numFmtId="0" fontId="0" fillId="0" borderId="0" xfId="0" applyFont="1" applyAlignment="1">
      <alignment horizontal="center"/>
    </xf>
    <xf numFmtId="0" fontId="0" fillId="0" borderId="0" xfId="0" applyFont="1"/>
    <xf numFmtId="0" fontId="16" fillId="0" borderId="0" xfId="0" applyFont="1"/>
    <xf numFmtId="2" fontId="16" fillId="3" borderId="0" xfId="0" applyNumberFormat="1" applyFont="1" applyFill="1" applyAlignment="1">
      <alignment horizontal="left"/>
    </xf>
    <xf numFmtId="2" fontId="0" fillId="3" borderId="0" xfId="0" applyNumberFormat="1" applyFill="1" applyAlignment="1">
      <alignment horizontal="center"/>
    </xf>
    <xf numFmtId="0" fontId="16" fillId="0" borderId="1" xfId="0" applyFont="1" applyBorder="1"/>
    <xf numFmtId="0" fontId="15" fillId="3" borderId="0" xfId="0" applyFont="1" applyFill="1" applyAlignment="1">
      <alignment horizontal="left"/>
    </xf>
    <xf numFmtId="0" fontId="4" fillId="0" borderId="0" xfId="0" applyFont="1"/>
    <xf numFmtId="0" fontId="4" fillId="3" borderId="0" xfId="0" applyFont="1" applyFill="1" applyAlignment="1">
      <alignment horizontal="center"/>
    </xf>
    <xf numFmtId="0" fontId="4" fillId="0" borderId="1" xfId="0" applyFont="1" applyBorder="1"/>
    <xf numFmtId="0" fontId="15" fillId="0" borderId="1" xfId="0" applyFont="1" applyBorder="1"/>
    <xf numFmtId="0" fontId="15"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10" fontId="4" fillId="0" borderId="0" xfId="0" applyNumberFormat="1" applyFont="1" applyAlignment="1">
      <alignment horizontal="center"/>
    </xf>
    <xf numFmtId="0" fontId="23" fillId="0" borderId="0" xfId="0" applyFont="1" applyAlignment="1">
      <alignment horizontal="left"/>
    </xf>
    <xf numFmtId="0" fontId="0" fillId="0" borderId="0" xfId="0" applyAlignment="1">
      <alignment horizontal="left"/>
    </xf>
    <xf numFmtId="0" fontId="0" fillId="0" borderId="0" xfId="0" applyFont="1" applyAlignment="1">
      <alignment horizontal="left"/>
    </xf>
    <xf numFmtId="0" fontId="16" fillId="0" borderId="1" xfId="0" applyFont="1" applyBorder="1" applyAlignment="1">
      <alignment horizontal="left"/>
    </xf>
    <xf numFmtId="10" fontId="24" fillId="0" borderId="0" xfId="0" applyNumberFormat="1" applyFont="1" applyAlignment="1">
      <alignment horizontal="center"/>
    </xf>
    <xf numFmtId="0" fontId="24" fillId="0" borderId="0" xfId="0" applyFont="1" applyAlignment="1">
      <alignment horizontal="center"/>
    </xf>
    <xf numFmtId="0" fontId="16" fillId="3" borderId="0" xfId="0" applyFont="1" applyFill="1"/>
    <xf numFmtId="0" fontId="0" fillId="3" borderId="0" xfId="0" applyFill="1"/>
    <xf numFmtId="0" fontId="15" fillId="0" borderId="0" xfId="0" applyFont="1" applyBorder="1" applyAlignment="1">
      <alignment horizontal="center"/>
    </xf>
    <xf numFmtId="10" fontId="0" fillId="0" borderId="0" xfId="0" applyNumberFormat="1" applyAlignment="1">
      <alignment horizontal="center"/>
    </xf>
    <xf numFmtId="2" fontId="0" fillId="0" borderId="0" xfId="0" applyNumberFormat="1" applyFont="1"/>
    <xf numFmtId="0" fontId="25" fillId="0" borderId="0" xfId="0" applyFont="1" applyAlignment="1">
      <alignment vertical="center"/>
    </xf>
    <xf numFmtId="0" fontId="25" fillId="0" borderId="0" xfId="0" applyFont="1" applyAlignment="1">
      <alignment horizontal="center" vertical="center"/>
    </xf>
    <xf numFmtId="0" fontId="0" fillId="3" borderId="0" xfId="0" applyFont="1" applyFill="1"/>
    <xf numFmtId="2" fontId="25" fillId="0" borderId="0" xfId="0" applyNumberFormat="1" applyFont="1" applyAlignment="1">
      <alignment horizontal="center" vertical="center"/>
    </xf>
    <xf numFmtId="0" fontId="15" fillId="4" borderId="0" xfId="0" applyFont="1" applyFill="1" applyAlignment="1"/>
    <xf numFmtId="0" fontId="15" fillId="5" borderId="0" xfId="0" applyFont="1" applyFill="1" applyAlignment="1"/>
    <xf numFmtId="0" fontId="4" fillId="5" borderId="0" xfId="0" applyFont="1" applyFill="1" applyAlignment="1">
      <alignment horizontal="center"/>
    </xf>
    <xf numFmtId="0" fontId="0" fillId="0" borderId="0" xfId="0" applyBorder="1"/>
    <xf numFmtId="2" fontId="4" fillId="0" borderId="0" xfId="0" applyNumberFormat="1" applyFont="1" applyBorder="1" applyAlignment="1">
      <alignment horizontal="center"/>
    </xf>
    <xf numFmtId="0" fontId="0" fillId="0" borderId="2" xfId="0" applyBorder="1"/>
    <xf numFmtId="0" fontId="25" fillId="0" borderId="2" xfId="0" applyFont="1" applyBorder="1" applyAlignment="1">
      <alignment vertical="center"/>
    </xf>
    <xf numFmtId="0" fontId="25" fillId="0" borderId="2" xfId="0" applyFont="1" applyBorder="1" applyAlignment="1">
      <alignment horizontal="center" vertical="center"/>
    </xf>
    <xf numFmtId="0" fontId="0" fillId="0" borderId="2" xfId="0" applyBorder="1" applyAlignment="1">
      <alignment horizontal="center"/>
    </xf>
    <xf numFmtId="2" fontId="24" fillId="0" borderId="0" xfId="0" applyNumberFormat="1" applyFont="1" applyAlignment="1">
      <alignment horizontal="center"/>
    </xf>
    <xf numFmtId="10" fontId="15" fillId="0" borderId="1" xfId="0" applyNumberFormat="1" applyFont="1" applyBorder="1" applyAlignment="1">
      <alignment horizontal="center"/>
    </xf>
    <xf numFmtId="10" fontId="4" fillId="0" borderId="0" xfId="0" applyNumberFormat="1" applyFont="1"/>
    <xf numFmtId="0" fontId="4" fillId="3" borderId="0" xfId="0" applyFont="1" applyFill="1"/>
    <xf numFmtId="10" fontId="4" fillId="3" borderId="0" xfId="0" applyNumberFormat="1" applyFont="1" applyFill="1"/>
    <xf numFmtId="0" fontId="1" fillId="6" borderId="0" xfId="0" applyFont="1" applyFill="1"/>
    <xf numFmtId="0" fontId="26" fillId="6" borderId="0" xfId="0" applyFont="1" applyFill="1"/>
    <xf numFmtId="2" fontId="16" fillId="0" borderId="0" xfId="0" applyNumberFormat="1" applyFont="1" applyAlignment="1">
      <alignment horizontal="center"/>
    </xf>
  </cellXfs>
  <cellStyles count="7">
    <cellStyle name="Comma 2" xfId="3" xr:uid="{00000000-0005-0000-0000-000000000000}"/>
    <cellStyle name="Hyperlink" xfId="6" builtinId="8"/>
    <cellStyle name="Normal" xfId="0" builtinId="0"/>
    <cellStyle name="Normal 2" xfId="1" xr:uid="{00000000-0005-0000-0000-000003000000}"/>
    <cellStyle name="Normal 2 2 3" xfId="5" xr:uid="{00000000-0005-0000-0000-000004000000}"/>
    <cellStyle name="Normal 3" xfId="2" xr:uid="{00000000-0005-0000-0000-000005000000}"/>
    <cellStyle name="Percent 2" xfId="4"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633036226588218E-2"/>
          <c:y val="2.5879265091863602E-2"/>
          <c:w val="0.89364574928784302"/>
          <c:h val="0.85647437299504203"/>
        </c:manualLayout>
      </c:layout>
      <c:scatterChart>
        <c:scatterStyle val="lineMarker"/>
        <c:varyColors val="0"/>
        <c:ser>
          <c:idx val="0"/>
          <c:order val="0"/>
          <c:tx>
            <c:v>Constant</c:v>
          </c:tx>
          <c:spPr>
            <a:ln w="38100">
              <a:solidFill>
                <a:srgbClr val="333333"/>
              </a:solidFill>
              <a:prstDash val="solid"/>
            </a:ln>
          </c:spPr>
          <c:marker>
            <c:symbol val="none"/>
          </c:marker>
          <c:xVal>
            <c:numRef>
              <c:f>Dahmus_2014!$AH$73:$AH$79</c:f>
              <c:numCache>
                <c:formatCode>0%</c:formatCode>
                <c:ptCount val="7"/>
                <c:pt idx="0">
                  <c:v>0</c:v>
                </c:pt>
                <c:pt idx="1">
                  <c:v>0.01</c:v>
                </c:pt>
                <c:pt idx="2">
                  <c:v>0.02</c:v>
                </c:pt>
                <c:pt idx="3">
                  <c:v>0.03</c:v>
                </c:pt>
                <c:pt idx="4">
                  <c:v>0.04</c:v>
                </c:pt>
                <c:pt idx="5">
                  <c:v>0.05</c:v>
                </c:pt>
                <c:pt idx="6">
                  <c:v>0.06</c:v>
                </c:pt>
              </c:numCache>
            </c:numRef>
          </c:xVal>
          <c:yVal>
            <c:numRef>
              <c:f>Dahmus_2014!$AI$73:$AI$79</c:f>
              <c:numCache>
                <c:formatCode>0%</c:formatCode>
                <c:ptCount val="7"/>
                <c:pt idx="0">
                  <c:v>0</c:v>
                </c:pt>
                <c:pt idx="1">
                  <c:v>0.01</c:v>
                </c:pt>
                <c:pt idx="2">
                  <c:v>0.02</c:v>
                </c:pt>
                <c:pt idx="3">
                  <c:v>0.03</c:v>
                </c:pt>
                <c:pt idx="4">
                  <c:v>0.04</c:v>
                </c:pt>
                <c:pt idx="5">
                  <c:v>0.05</c:v>
                </c:pt>
                <c:pt idx="6">
                  <c:v>0.06</c:v>
                </c:pt>
              </c:numCache>
            </c:numRef>
          </c:yVal>
          <c:smooth val="0"/>
          <c:extLst>
            <c:ext xmlns:c16="http://schemas.microsoft.com/office/drawing/2014/chart" uri="{C3380CC4-5D6E-409C-BE32-E72D297353CC}">
              <c16:uniqueId val="{00000000-B61D-4D99-8D67-4AA4F04AECB1}"/>
            </c:ext>
          </c:extLst>
        </c:ser>
        <c:ser>
          <c:idx val="2"/>
          <c:order val="1"/>
          <c:tx>
            <c:strRef>
              <c:f>Dahmus_2014!$P$86:$P$90</c:f>
              <c:strCache>
                <c:ptCount val="5"/>
                <c:pt idx="0">
                  <c:v>1960-1969</c:v>
                </c:pt>
                <c:pt idx="1">
                  <c:v>1970-1979</c:v>
                </c:pt>
                <c:pt idx="2">
                  <c:v>1980-1989</c:v>
                </c:pt>
                <c:pt idx="3">
                  <c:v>1990-1999</c:v>
                </c:pt>
                <c:pt idx="4">
                  <c:v>2000-2009</c:v>
                </c:pt>
              </c:strCache>
            </c:strRef>
          </c:tx>
          <c:spPr>
            <a:ln w="38100">
              <a:solidFill>
                <a:srgbClr val="969696"/>
              </a:solidFill>
              <a:prstDash val="solid"/>
            </a:ln>
          </c:spPr>
          <c:marker>
            <c:symbol val="circle"/>
            <c:size val="9"/>
            <c:spPr>
              <a:solidFill>
                <a:srgbClr val="969696"/>
              </a:solidFill>
              <a:ln>
                <a:solidFill>
                  <a:srgbClr val="969696"/>
                </a:solidFill>
                <a:prstDash val="solid"/>
              </a:ln>
            </c:spPr>
          </c:marker>
          <c:dLbls>
            <c:dLbl>
              <c:idx val="0"/>
              <c:layout>
                <c:manualLayout>
                  <c:x val="-6.9045119360080006E-3"/>
                  <c:y val="-2.5447652376786201E-2"/>
                </c:manualLayout>
              </c:layout>
              <c:tx>
                <c:rich>
                  <a:bodyPr/>
                  <a:lstStyle/>
                  <a:p>
                    <a:pPr>
                      <a:defRPr sz="1000" b="1" i="0" u="none" strike="noStrike" baseline="0">
                        <a:solidFill>
                          <a:srgbClr val="000000"/>
                        </a:solidFill>
                        <a:latin typeface="Arial"/>
                        <a:ea typeface="Arial"/>
                        <a:cs typeface="Arial"/>
                      </a:defRPr>
                    </a:pPr>
                    <a:r>
                      <a:rPr lang="en-US"/>
                      <a:t>1960-1969</a:t>
                    </a:r>
                  </a:p>
                </c:rich>
              </c:tx>
              <c:spPr>
                <a:noFill/>
                <a:ln w="25400">
                  <a:noFill/>
                </a:ln>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B61D-4D99-8D67-4AA4F04AECB1}"/>
                </c:ext>
              </c:extLst>
            </c:dLbl>
            <c:dLbl>
              <c:idx val="1"/>
              <c:layout>
                <c:manualLayout>
                  <c:x val="-1.2136340268289801E-2"/>
                  <c:y val="-2.5220585340509902E-2"/>
                </c:manualLayout>
              </c:layout>
              <c:tx>
                <c:rich>
                  <a:bodyPr/>
                  <a:lstStyle/>
                  <a:p>
                    <a:pPr>
                      <a:defRPr sz="1000" b="1" i="0" u="none" strike="noStrike" baseline="0">
                        <a:solidFill>
                          <a:srgbClr val="000000"/>
                        </a:solidFill>
                        <a:latin typeface="Arial"/>
                        <a:ea typeface="Arial"/>
                        <a:cs typeface="Arial"/>
                      </a:defRPr>
                    </a:pPr>
                    <a:r>
                      <a:rPr lang="en-US"/>
                      <a:t>1970-1979</a:t>
                    </a:r>
                  </a:p>
                </c:rich>
              </c:tx>
              <c:spPr>
                <a:noFill/>
                <a:ln w="25400">
                  <a:noFill/>
                </a:ln>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B61D-4D99-8D67-4AA4F04AECB1}"/>
                </c:ext>
              </c:extLst>
            </c:dLbl>
            <c:dLbl>
              <c:idx val="2"/>
              <c:layout>
                <c:manualLayout>
                  <c:x val="-5.5372158668845615E-2"/>
                  <c:y val="-4.2146684981330708E-2"/>
                </c:manualLayout>
              </c:layout>
              <c:tx>
                <c:rich>
                  <a:bodyPr/>
                  <a:lstStyle/>
                  <a:p>
                    <a:pPr>
                      <a:defRPr sz="1000" b="1" i="0" u="none" strike="noStrike" baseline="0">
                        <a:solidFill>
                          <a:srgbClr val="000000"/>
                        </a:solidFill>
                        <a:latin typeface="Arial"/>
                        <a:ea typeface="Arial"/>
                        <a:cs typeface="Arial"/>
                      </a:defRPr>
                    </a:pPr>
                    <a:r>
                      <a:rPr lang="en-US"/>
                      <a:t>1980-1989</a:t>
                    </a:r>
                  </a:p>
                </c:rich>
              </c:tx>
              <c:spPr>
                <a:noFill/>
                <a:ln w="25400">
                  <a:noFill/>
                </a:ln>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B61D-4D99-8D67-4AA4F04AECB1}"/>
                </c:ext>
              </c:extLst>
            </c:dLbl>
            <c:dLbl>
              <c:idx val="3"/>
              <c:layout>
                <c:manualLayout>
                  <c:x val="-4.3147981502312104E-2"/>
                  <c:y val="-3.6053149606299212E-2"/>
                </c:manualLayout>
              </c:layout>
              <c:tx>
                <c:rich>
                  <a:bodyPr/>
                  <a:lstStyle/>
                  <a:p>
                    <a:pPr>
                      <a:defRPr sz="1000" b="1" i="0" u="none" strike="noStrike" baseline="0">
                        <a:solidFill>
                          <a:srgbClr val="000000"/>
                        </a:solidFill>
                        <a:latin typeface="Arial"/>
                        <a:ea typeface="Arial"/>
                        <a:cs typeface="Arial"/>
                      </a:defRPr>
                    </a:pPr>
                    <a:r>
                      <a:rPr lang="en-US"/>
                      <a:t>1990-1999</a:t>
                    </a:r>
                  </a:p>
                </c:rich>
              </c:tx>
              <c:spPr>
                <a:noFill/>
                <a:ln w="25400">
                  <a:noFill/>
                </a:ln>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B61D-4D99-8D67-4AA4F04AECB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Dahmus_2014!$Q$86:$Q$90</c:f>
              <c:numCache>
                <c:formatCode>0.0%</c:formatCode>
                <c:ptCount val="5"/>
                <c:pt idx="0">
                  <c:v>-3.1447739743733744E-2</c:v>
                </c:pt>
                <c:pt idx="1">
                  <c:v>-2.2082094710415005E-2</c:v>
                </c:pt>
                <c:pt idx="2">
                  <c:v>3.1403212399060784E-2</c:v>
                </c:pt>
                <c:pt idx="3">
                  <c:v>4.9478240176788514E-2</c:v>
                </c:pt>
                <c:pt idx="4">
                  <c:v>4.0620041335961699E-2</c:v>
                </c:pt>
              </c:numCache>
            </c:numRef>
          </c:xVal>
          <c:yVal>
            <c:numRef>
              <c:f>Dahmus_2014!$R$86:$R$90</c:f>
              <c:numCache>
                <c:formatCode>0.0%</c:formatCode>
                <c:ptCount val="5"/>
                <c:pt idx="0">
                  <c:v>7.1229752620778464E-2</c:v>
                </c:pt>
                <c:pt idx="1">
                  <c:v>4.9969043643110167E-2</c:v>
                </c:pt>
                <c:pt idx="2">
                  <c:v>3.3443321122795383E-2</c:v>
                </c:pt>
                <c:pt idx="3">
                  <c:v>2.196044518371177E-2</c:v>
                </c:pt>
                <c:pt idx="4">
                  <c:v>2.0037569393530779E-2</c:v>
                </c:pt>
              </c:numCache>
            </c:numRef>
          </c:yVal>
          <c:smooth val="0"/>
          <c:extLst>
            <c:ext xmlns:c16="http://schemas.microsoft.com/office/drawing/2014/chart" uri="{C3380CC4-5D6E-409C-BE32-E72D297353CC}">
              <c16:uniqueId val="{00000005-B61D-4D99-8D67-4AA4F04AECB1}"/>
            </c:ext>
          </c:extLst>
        </c:ser>
        <c:ser>
          <c:idx val="3"/>
          <c:order val="2"/>
          <c:tx>
            <c:v>Total</c:v>
          </c:tx>
          <c:spPr>
            <a:ln w="28575">
              <a:noFill/>
            </a:ln>
          </c:spPr>
          <c:marker>
            <c:symbol val="diamond"/>
            <c:size val="9"/>
            <c:spPr>
              <a:solidFill>
                <a:srgbClr val="000080"/>
              </a:solidFill>
              <a:ln>
                <a:solidFill>
                  <a:srgbClr val="000080"/>
                </a:solidFill>
                <a:prstDash val="solid"/>
              </a:ln>
            </c:spPr>
          </c:marker>
          <c:xVal>
            <c:numRef>
              <c:f>Dahmus_2014!$Q$92</c:f>
              <c:numCache>
                <c:formatCode>0.0%</c:formatCode>
                <c:ptCount val="1"/>
                <c:pt idx="0">
                  <c:v>1.359433189153245E-2</c:v>
                </c:pt>
              </c:numCache>
            </c:numRef>
          </c:xVal>
          <c:yVal>
            <c:numRef>
              <c:f>Dahmus_2014!$R$92</c:f>
              <c:numCache>
                <c:formatCode>0.0%</c:formatCode>
                <c:ptCount val="1"/>
                <c:pt idx="0">
                  <c:v>3.932802639278532E-2</c:v>
                </c:pt>
              </c:numCache>
            </c:numRef>
          </c:yVal>
          <c:smooth val="0"/>
          <c:extLst>
            <c:ext xmlns:c16="http://schemas.microsoft.com/office/drawing/2014/chart" uri="{C3380CC4-5D6E-409C-BE32-E72D297353CC}">
              <c16:uniqueId val="{00000006-B61D-4D99-8D67-4AA4F04AECB1}"/>
            </c:ext>
          </c:extLst>
        </c:ser>
        <c:dLbls>
          <c:showLegendKey val="0"/>
          <c:showVal val="0"/>
          <c:showCatName val="0"/>
          <c:showSerName val="0"/>
          <c:showPercent val="0"/>
          <c:showBubbleSize val="0"/>
        </c:dLbls>
        <c:axId val="58111488"/>
        <c:axId val="58113024"/>
      </c:scatterChart>
      <c:valAx>
        <c:axId val="58111488"/>
        <c:scaling>
          <c:orientation val="minMax"/>
          <c:max val="6.0000000000000005E-2"/>
          <c:min val="-4.0000000000000008E-2"/>
        </c:scaling>
        <c:delete val="0"/>
        <c:axPos val="b"/>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13024"/>
        <c:crosses val="autoZero"/>
        <c:crossBetween val="midCat"/>
      </c:valAx>
      <c:valAx>
        <c:axId val="58113024"/>
        <c:scaling>
          <c:orientation val="minMax"/>
          <c:max val="8.0000000000000016E-2"/>
        </c:scaling>
        <c:delete val="0"/>
        <c:axPos val="l"/>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8111488"/>
        <c:crosses val="autoZero"/>
        <c:crossBetween val="midCat"/>
        <c:majorUnit val="2.0000000000000004E-2"/>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000000000000111" r="0.75000000000000111" t="1" header="0.5" footer="0.5"/>
    <c:pageSetup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86471413258101"/>
          <c:y val="4.9027413240011808E-2"/>
          <c:w val="0.79773165854268213"/>
          <c:h val="0.85685567949839825"/>
        </c:manualLayout>
      </c:layout>
      <c:scatterChart>
        <c:scatterStyle val="lineMarker"/>
        <c:varyColors val="0"/>
        <c:ser>
          <c:idx val="2"/>
          <c:order val="1"/>
          <c:tx>
            <c:v>Efficiency</c:v>
          </c:tx>
          <c:spPr>
            <a:ln w="38100">
              <a:solidFill>
                <a:srgbClr val="969696"/>
              </a:solidFill>
              <a:prstDash val="solid"/>
            </a:ln>
          </c:spPr>
          <c:marker>
            <c:symbol val="none"/>
          </c:marker>
          <c:xVal>
            <c:numRef>
              <c:f>Dahmus_2014!$A$32:$A$81</c:f>
              <c:numCache>
                <c:formatCode>General</c:formatCode>
                <c:ptCount val="5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numCache>
            </c:numRef>
          </c:xVal>
          <c:yVal>
            <c:numRef>
              <c:f>Dahmus_2014!$K$32:$K$81</c:f>
              <c:numCache>
                <c:formatCode>0.00</c:formatCode>
                <c:ptCount val="50"/>
                <c:pt idx="0">
                  <c:v>1.3881483932104661</c:v>
                </c:pt>
                <c:pt idx="1">
                  <c:v>1.350001678287956</c:v>
                </c:pt>
                <c:pt idx="2">
                  <c:v>1.3117203241171012</c:v>
                </c:pt>
                <c:pt idx="3">
                  <c:v>1.2706277109464232</c:v>
                </c:pt>
                <c:pt idx="4">
                  <c:v>1.2292621301680589</c:v>
                </c:pt>
                <c:pt idx="5">
                  <c:v>1.1912767636842736</c:v>
                </c:pt>
                <c:pt idx="6">
                  <c:v>1.1495026944285596</c:v>
                </c:pt>
                <c:pt idx="7">
                  <c:v>1.108862871355494</c:v>
                </c:pt>
                <c:pt idx="8">
                  <c:v>1.0685085922433073</c:v>
                </c:pt>
                <c:pt idx="9">
                  <c:v>1.0317885914816127</c:v>
                </c:pt>
                <c:pt idx="10">
                  <c:v>0.99671036664248713</c:v>
                </c:pt>
                <c:pt idx="11">
                  <c:v>0.96211931592022792</c:v>
                </c:pt>
                <c:pt idx="12">
                  <c:v>0.93012606697087175</c:v>
                </c:pt>
                <c:pt idx="13">
                  <c:v>0.89886502874536811</c:v>
                </c:pt>
                <c:pt idx="14">
                  <c:v>0.86912763040117147</c:v>
                </c:pt>
                <c:pt idx="15">
                  <c:v>0.84621851724790842</c:v>
                </c:pt>
                <c:pt idx="16">
                  <c:v>0.8268213521255825</c:v>
                </c:pt>
                <c:pt idx="17">
                  <c:v>0.81720547390007636</c:v>
                </c:pt>
                <c:pt idx="18">
                  <c:v>0.81510228826284314</c:v>
                </c:pt>
                <c:pt idx="19">
                  <c:v>0.82432262233904408</c:v>
                </c:pt>
                <c:pt idx="20">
                  <c:v>0.841170384588944</c:v>
                </c:pt>
                <c:pt idx="21">
                  <c:v>0.86346629601950342</c:v>
                </c:pt>
                <c:pt idx="22">
                  <c:v>0.88909072961205615</c:v>
                </c:pt>
                <c:pt idx="23">
                  <c:v>0.91720074276280472</c:v>
                </c:pt>
                <c:pt idx="24">
                  <c:v>0.94938615256271375</c:v>
                </c:pt>
                <c:pt idx="25">
                  <c:v>0.97867696601996734</c:v>
                </c:pt>
                <c:pt idx="26">
                  <c:v>1.0138239161303353</c:v>
                </c:pt>
                <c:pt idx="27">
                  <c:v>1.0493980424923899</c:v>
                </c:pt>
                <c:pt idx="28">
                  <c:v>1.0846666289698133</c:v>
                </c:pt>
                <c:pt idx="29">
                  <c:v>1.1228921359815156</c:v>
                </c:pt>
                <c:pt idx="30">
                  <c:v>1.1655893260777481</c:v>
                </c:pt>
                <c:pt idx="31">
                  <c:v>1.2089255639261296</c:v>
                </c:pt>
                <c:pt idx="32">
                  <c:v>1.2702645001072947</c:v>
                </c:pt>
                <c:pt idx="33">
                  <c:v>1.3461327802483529</c:v>
                </c:pt>
                <c:pt idx="34">
                  <c:v>1.4345515470715475</c:v>
                </c:pt>
                <c:pt idx="35">
                  <c:v>1.5263656664215826</c:v>
                </c:pt>
                <c:pt idx="36">
                  <c:v>1.6122234734555634</c:v>
                </c:pt>
                <c:pt idx="37">
                  <c:v>1.6851061174288395</c:v>
                </c:pt>
                <c:pt idx="38">
                  <c:v>1.7560620725961991</c:v>
                </c:pt>
                <c:pt idx="39">
                  <c:v>1.8190420665319005</c:v>
                </c:pt>
                <c:pt idx="40">
                  <c:v>1.9125366005091753</c:v>
                </c:pt>
                <c:pt idx="41">
                  <c:v>1.9936067459928484</c:v>
                </c:pt>
                <c:pt idx="42">
                  <c:v>2.1050766300536861</c:v>
                </c:pt>
                <c:pt idx="43">
                  <c:v>2.2244641000058927</c:v>
                </c:pt>
                <c:pt idx="44">
                  <c:v>2.3295008221603681</c:v>
                </c:pt>
                <c:pt idx="45">
                  <c:v>2.4197363843358293</c:v>
                </c:pt>
                <c:pt idx="46">
                  <c:v>2.4963887502227919</c:v>
                </c:pt>
                <c:pt idx="47">
                  <c:v>2.5614541751571203</c:v>
                </c:pt>
                <c:pt idx="48">
                  <c:v>2.6391948712272959</c:v>
                </c:pt>
                <c:pt idx="49">
                  <c:v>2.7071258026736178</c:v>
                </c:pt>
              </c:numCache>
            </c:numRef>
          </c:yVal>
          <c:smooth val="0"/>
          <c:extLst>
            <c:ext xmlns:c16="http://schemas.microsoft.com/office/drawing/2014/chart" uri="{C3380CC4-5D6E-409C-BE32-E72D297353CC}">
              <c16:uniqueId val="{00000000-660D-4D89-AEDC-BA93E8861026}"/>
            </c:ext>
          </c:extLst>
        </c:ser>
        <c:dLbls>
          <c:showLegendKey val="0"/>
          <c:showVal val="0"/>
          <c:showCatName val="0"/>
          <c:showSerName val="0"/>
          <c:showPercent val="0"/>
          <c:showBubbleSize val="0"/>
        </c:dLbls>
        <c:axId val="61977344"/>
        <c:axId val="61979264"/>
      </c:scatterChart>
      <c:scatterChart>
        <c:scatterStyle val="lineMarker"/>
        <c:varyColors val="0"/>
        <c:ser>
          <c:idx val="0"/>
          <c:order val="0"/>
          <c:tx>
            <c:v>Production</c:v>
          </c:tx>
          <c:spPr>
            <a:ln w="38100">
              <a:solidFill>
                <a:srgbClr val="000090"/>
              </a:solidFill>
              <a:prstDash val="solid"/>
            </a:ln>
          </c:spPr>
          <c:marker>
            <c:symbol val="none"/>
          </c:marker>
          <c:xVal>
            <c:numRef>
              <c:f>Dahmus_2014!$A$32:$A$81</c:f>
              <c:numCache>
                <c:formatCode>General</c:formatCode>
                <c:ptCount val="5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numCache>
            </c:numRef>
          </c:xVal>
          <c:yVal>
            <c:numRef>
              <c:f>Dahmus_2014!$F$32:$F$81</c:f>
              <c:numCache>
                <c:formatCode>0</c:formatCode>
                <c:ptCount val="50"/>
                <c:pt idx="0">
                  <c:v>117.54514653121427</c:v>
                </c:pt>
                <c:pt idx="1">
                  <c:v>126.70134731359367</c:v>
                </c:pt>
                <c:pt idx="2">
                  <c:v>136.52467665878046</c:v>
                </c:pt>
                <c:pt idx="3">
                  <c:v>146.80005292774385</c:v>
                </c:pt>
                <c:pt idx="4">
                  <c:v>156.94763020050317</c:v>
                </c:pt>
                <c:pt idx="5">
                  <c:v>167.67654381262784</c:v>
                </c:pt>
                <c:pt idx="6">
                  <c:v>178.92735402859248</c:v>
                </c:pt>
                <c:pt idx="7">
                  <c:v>191.09322458769023</c:v>
                </c:pt>
                <c:pt idx="8">
                  <c:v>203.77735460334824</c:v>
                </c:pt>
                <c:pt idx="9">
                  <c:v>216.78858723417255</c:v>
                </c:pt>
                <c:pt idx="10">
                  <c:v>229.51638918951852</c:v>
                </c:pt>
                <c:pt idx="11">
                  <c:v>242.31538503401055</c:v>
                </c:pt>
                <c:pt idx="12">
                  <c:v>255.54890389432614</c:v>
                </c:pt>
                <c:pt idx="13">
                  <c:v>268.69896943104374</c:v>
                </c:pt>
                <c:pt idx="14">
                  <c:v>282.12716256667744</c:v>
                </c:pt>
                <c:pt idx="15">
                  <c:v>295.47086235115819</c:v>
                </c:pt>
                <c:pt idx="16">
                  <c:v>308.85549959074933</c:v>
                </c:pt>
                <c:pt idx="17">
                  <c:v>323.29780748153695</c:v>
                </c:pt>
                <c:pt idx="18">
                  <c:v>338.17059303387504</c:v>
                </c:pt>
                <c:pt idx="19">
                  <c:v>352.98542473844861</c:v>
                </c:pt>
                <c:pt idx="20">
                  <c:v>367.45916957109398</c:v>
                </c:pt>
                <c:pt idx="21">
                  <c:v>381.80138482888208</c:v>
                </c:pt>
                <c:pt idx="22">
                  <c:v>396.41126939270572</c:v>
                </c:pt>
                <c:pt idx="23">
                  <c:v>411.46823880582741</c:v>
                </c:pt>
                <c:pt idx="24">
                  <c:v>426.59942959300582</c:v>
                </c:pt>
                <c:pt idx="25">
                  <c:v>439.63318853643824</c:v>
                </c:pt>
                <c:pt idx="26">
                  <c:v>453.10926781759082</c:v>
                </c:pt>
                <c:pt idx="27">
                  <c:v>465.01565981893759</c:v>
                </c:pt>
                <c:pt idx="28">
                  <c:v>477.59356911821544</c:v>
                </c:pt>
                <c:pt idx="29">
                  <c:v>490.4145559425707</c:v>
                </c:pt>
                <c:pt idx="30">
                  <c:v>503.34840630342859</c:v>
                </c:pt>
                <c:pt idx="31">
                  <c:v>514.766099732067</c:v>
                </c:pt>
                <c:pt idx="32">
                  <c:v>526.0941098779025</c:v>
                </c:pt>
                <c:pt idx="33">
                  <c:v>540.82370143166793</c:v>
                </c:pt>
                <c:pt idx="34">
                  <c:v>548.98117144654702</c:v>
                </c:pt>
                <c:pt idx="35">
                  <c:v>560.32138066871482</c:v>
                </c:pt>
                <c:pt idx="36">
                  <c:v>572.24240156070255</c:v>
                </c:pt>
                <c:pt idx="37">
                  <c:v>577.79131818422945</c:v>
                </c:pt>
                <c:pt idx="38">
                  <c:v>596.6137006775491</c:v>
                </c:pt>
                <c:pt idx="39">
                  <c:v>609.29455816561722</c:v>
                </c:pt>
                <c:pt idx="40">
                  <c:v>624.85488004550928</c:v>
                </c:pt>
                <c:pt idx="41">
                  <c:v>636.52023819658052</c:v>
                </c:pt>
                <c:pt idx="42">
                  <c:v>656.51662297610324</c:v>
                </c:pt>
                <c:pt idx="43">
                  <c:v>677.32560797384849</c:v>
                </c:pt>
                <c:pt idx="44">
                  <c:v>695.79056766134329</c:v>
                </c:pt>
                <c:pt idx="45">
                  <c:v>711.38876814635603</c:v>
                </c:pt>
                <c:pt idx="46">
                  <c:v>720.84988775831698</c:v>
                </c:pt>
                <c:pt idx="47">
                  <c:v>727.51482463007869</c:v>
                </c:pt>
                <c:pt idx="48">
                  <c:v>735.83435357535745</c:v>
                </c:pt>
                <c:pt idx="49">
                  <c:v>742.74884004881221</c:v>
                </c:pt>
              </c:numCache>
            </c:numRef>
          </c:yVal>
          <c:smooth val="0"/>
          <c:extLst>
            <c:ext xmlns:c16="http://schemas.microsoft.com/office/drawing/2014/chart" uri="{C3380CC4-5D6E-409C-BE32-E72D297353CC}">
              <c16:uniqueId val="{00000001-660D-4D89-AEDC-BA93E8861026}"/>
            </c:ext>
          </c:extLst>
        </c:ser>
        <c:dLbls>
          <c:showLegendKey val="0"/>
          <c:showVal val="0"/>
          <c:showCatName val="0"/>
          <c:showSerName val="0"/>
          <c:showPercent val="0"/>
          <c:showBubbleSize val="0"/>
        </c:dLbls>
        <c:axId val="75904896"/>
        <c:axId val="75903360"/>
      </c:scatterChart>
      <c:valAx>
        <c:axId val="61977344"/>
        <c:scaling>
          <c:orientation val="minMax"/>
          <c:max val="2010"/>
          <c:min val="1950"/>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7526096737907914"/>
              <c:y val="0.9546225211431911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1979264"/>
        <c:crosses val="autoZero"/>
        <c:crossBetween val="midCat"/>
        <c:majorUnit val="10"/>
      </c:valAx>
      <c:valAx>
        <c:axId val="61979264"/>
        <c:scaling>
          <c:orientation val="minMax"/>
          <c:max val="3"/>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1977344"/>
        <c:crosses val="autoZero"/>
        <c:crossBetween val="midCat"/>
        <c:majorUnit val="0.5"/>
      </c:valAx>
      <c:valAx>
        <c:axId val="75903360"/>
        <c:scaling>
          <c:orientation val="minMax"/>
        </c:scaling>
        <c:delete val="0"/>
        <c:axPos val="r"/>
        <c:numFmt formatCode="0" sourceLinked="1"/>
        <c:majorTickMark val="out"/>
        <c:minorTickMark val="none"/>
        <c:tickLblPos val="nextTo"/>
        <c:spPr>
          <a:ln>
            <a:solidFill>
              <a:schemeClr val="tx1"/>
            </a:solidFill>
          </a:ln>
        </c:spPr>
        <c:txPr>
          <a:bodyPr/>
          <a:lstStyle/>
          <a:p>
            <a:pPr>
              <a:defRPr sz="800"/>
            </a:pPr>
            <a:endParaRPr lang="en-US"/>
          </a:p>
        </c:txPr>
        <c:crossAx val="75904896"/>
        <c:crosses val="max"/>
        <c:crossBetween val="midCat"/>
      </c:valAx>
      <c:valAx>
        <c:axId val="75904896"/>
        <c:scaling>
          <c:orientation val="minMax"/>
        </c:scaling>
        <c:delete val="1"/>
        <c:axPos val="b"/>
        <c:numFmt formatCode="General" sourceLinked="1"/>
        <c:majorTickMark val="out"/>
        <c:minorTickMark val="none"/>
        <c:tickLblPos val="none"/>
        <c:crossAx val="7590336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000000000000111" r="0.75000000000000111" t="1" header="0.5" footer="0.5"/>
    <c:pageSetup orientation="landscape"/>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20</xdr:col>
      <xdr:colOff>12700</xdr:colOff>
      <xdr:row>70</xdr:row>
      <xdr:rowOff>38100</xdr:rowOff>
    </xdr:from>
    <xdr:to>
      <xdr:col>31</xdr:col>
      <xdr:colOff>609600</xdr:colOff>
      <xdr:row>106</xdr:row>
      <xdr:rowOff>38100</xdr:rowOff>
    </xdr:to>
    <xdr:graphicFrame macro="">
      <xdr:nvGraphicFramePr>
        <xdr:cNvPr id="2" name="Chart 16">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173</xdr:row>
      <xdr:rowOff>25400</xdr:rowOff>
    </xdr:from>
    <xdr:to>
      <xdr:col>9</xdr:col>
      <xdr:colOff>1438275</xdr:colOff>
      <xdr:row>209</xdr:row>
      <xdr:rowOff>63500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581150" y="28267025"/>
          <a:ext cx="7600950" cy="5867400"/>
        </a:xfrm>
        <a:prstGeom prst="rect">
          <a:avLst/>
        </a:prstGeom>
      </xdr:spPr>
    </xdr:pic>
    <xdr:clientData/>
  </xdr:twoCellAnchor>
  <xdr:twoCellAnchor>
    <xdr:from>
      <xdr:col>20</xdr:col>
      <xdr:colOff>38100</xdr:colOff>
      <xdr:row>7</xdr:row>
      <xdr:rowOff>38100</xdr:rowOff>
    </xdr:from>
    <xdr:to>
      <xdr:col>31</xdr:col>
      <xdr:colOff>635000</xdr:colOff>
      <xdr:row>43</xdr:row>
      <xdr:rowOff>38100</xdr:rowOff>
    </xdr:to>
    <xdr:graphicFrame macro="">
      <xdr:nvGraphicFramePr>
        <xdr:cNvPr id="4" name="Chart 7">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0.42622</cdr:x>
      <cdr:y>0.92967</cdr:y>
    </cdr:from>
    <cdr:to>
      <cdr:x>0.61425</cdr:x>
      <cdr:y>0.97293</cdr:y>
    </cdr:to>
    <cdr:sp macro="" textlink="">
      <cdr:nvSpPr>
        <cdr:cNvPr id="236549" name="Text Box 5"/>
        <cdr:cNvSpPr txBox="1">
          <a:spLocks xmlns:a="http://schemas.openxmlformats.org/drawingml/2006/main" noChangeArrowheads="1"/>
        </cdr:cNvSpPr>
      </cdr:nvSpPr>
      <cdr:spPr bwMode="auto">
        <a:xfrm xmlns:a="http://schemas.openxmlformats.org/drawingml/2006/main">
          <a:off x="3149987" y="5279411"/>
          <a:ext cx="1371772" cy="246988"/>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000" b="1" i="0" strike="noStrike">
              <a:solidFill>
                <a:srgbClr val="000000"/>
              </a:solidFill>
              <a:latin typeface="Arial"/>
              <a:cs typeface="Arial"/>
            </a:rPr>
            <a:t>Average Annual </a:t>
          </a:r>
          <a:r>
            <a:rPr lang="el-GR" sz="1000" b="1" i="1" strike="noStrike">
              <a:solidFill>
                <a:srgbClr val="000000"/>
              </a:solidFill>
              <a:latin typeface="Arial"/>
              <a:cs typeface="Arial"/>
            </a:rPr>
            <a:t>Δ</a:t>
          </a:r>
          <a:r>
            <a:rPr lang="en-US" sz="1000" b="1" i="1" strike="noStrike">
              <a:solidFill>
                <a:srgbClr val="000000"/>
              </a:solidFill>
              <a:latin typeface="Arial"/>
              <a:cs typeface="Arial"/>
            </a:rPr>
            <a:t>e/e</a:t>
          </a:r>
        </a:p>
      </cdr:txBody>
    </cdr:sp>
  </cdr:relSizeAnchor>
  <cdr:relSizeAnchor xmlns:cdr="http://schemas.openxmlformats.org/drawingml/2006/chartDrawing">
    <cdr:from>
      <cdr:x>0.0173</cdr:x>
      <cdr:y>0.31695</cdr:y>
    </cdr:from>
    <cdr:to>
      <cdr:x>0.04717</cdr:x>
      <cdr:y>0.63391</cdr:y>
    </cdr:to>
    <cdr:sp macro="" textlink="">
      <cdr:nvSpPr>
        <cdr:cNvPr id="236550" name="Text Box 6"/>
        <cdr:cNvSpPr txBox="1">
          <a:spLocks xmlns:a="http://schemas.openxmlformats.org/drawingml/2006/main" noChangeArrowheads="1"/>
        </cdr:cNvSpPr>
      </cdr:nvSpPr>
      <cdr:spPr bwMode="auto">
        <a:xfrm xmlns:a="http://schemas.openxmlformats.org/drawingml/2006/main">
          <a:off x="139700" y="1638300"/>
          <a:ext cx="241300" cy="163830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vert="vert270" wrap="square" lIns="27432" tIns="22860" rIns="0" bIns="0" anchor="t" upright="1"/>
        <a:lstStyle xmlns:a="http://schemas.openxmlformats.org/drawingml/2006/main"/>
        <a:p xmlns:a="http://schemas.openxmlformats.org/drawingml/2006/main">
          <a:pPr algn="ctr" rtl="0">
            <a:defRPr sz="1000"/>
          </a:pPr>
          <a:r>
            <a:rPr lang="en-US" sz="1000" b="1" i="0" strike="noStrike">
              <a:solidFill>
                <a:srgbClr val="000000"/>
              </a:solidFill>
              <a:latin typeface="Arial"/>
              <a:cs typeface="Arial"/>
            </a:rPr>
            <a:t>Average Annual </a:t>
          </a:r>
          <a:r>
            <a:rPr lang="el-GR" sz="1000" b="1" i="1" strike="noStrike">
              <a:solidFill>
                <a:srgbClr val="000000"/>
              </a:solidFill>
              <a:latin typeface="Arial"/>
              <a:cs typeface="Arial"/>
            </a:rPr>
            <a:t>Δ</a:t>
          </a:r>
          <a:r>
            <a:rPr lang="en-US" sz="1000" b="1" i="1" strike="noStrike">
              <a:solidFill>
                <a:srgbClr val="000000"/>
              </a:solidFill>
              <a:latin typeface="Arial"/>
              <a:cs typeface="Arial"/>
            </a:rPr>
            <a:t>Q/Q</a:t>
          </a:r>
        </a:p>
      </cdr:txBody>
    </cdr:sp>
  </cdr:relSizeAnchor>
  <cdr:relSizeAnchor xmlns:cdr="http://schemas.openxmlformats.org/drawingml/2006/chartDrawing">
    <cdr:from>
      <cdr:x>0.50352</cdr:x>
      <cdr:y>0.41056</cdr:y>
    </cdr:from>
    <cdr:to>
      <cdr:x>0.60643</cdr:x>
      <cdr:y>0.44349</cdr:y>
    </cdr:to>
    <cdr:sp macro="" textlink="">
      <cdr:nvSpPr>
        <cdr:cNvPr id="236552" name="Text Box 8"/>
        <cdr:cNvSpPr txBox="1">
          <a:spLocks xmlns:a="http://schemas.openxmlformats.org/drawingml/2006/main" noChangeArrowheads="1"/>
        </cdr:cNvSpPr>
      </cdr:nvSpPr>
      <cdr:spPr bwMode="auto">
        <a:xfrm xmlns:a="http://schemas.openxmlformats.org/drawingml/2006/main">
          <a:off x="4028637" y="2252511"/>
          <a:ext cx="823383" cy="18066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000" b="1" i="0" strike="noStrike">
              <a:solidFill>
                <a:srgbClr val="000000"/>
              </a:solidFill>
              <a:latin typeface="Arial"/>
              <a:cs typeface="Arial"/>
            </a:rPr>
            <a:t>1960-2009</a:t>
          </a:r>
        </a:p>
      </cdr:txBody>
    </cdr:sp>
  </cdr:relSizeAnchor>
  <cdr:relSizeAnchor xmlns:cdr="http://schemas.openxmlformats.org/drawingml/2006/chartDrawing">
    <cdr:from>
      <cdr:x>0.7258</cdr:x>
      <cdr:y>0.61769</cdr:y>
    </cdr:from>
    <cdr:to>
      <cdr:x>0.82821</cdr:x>
      <cdr:y>0.65136</cdr:y>
    </cdr:to>
    <cdr:sp macro="" textlink="">
      <cdr:nvSpPr>
        <cdr:cNvPr id="5" name="Text Box 8"/>
        <cdr:cNvSpPr txBox="1">
          <a:spLocks xmlns:a="http://schemas.openxmlformats.org/drawingml/2006/main" noChangeArrowheads="1"/>
        </cdr:cNvSpPr>
      </cdr:nvSpPr>
      <cdr:spPr bwMode="auto">
        <a:xfrm xmlns:a="http://schemas.openxmlformats.org/drawingml/2006/main">
          <a:off x="5807147" y="3388888"/>
          <a:ext cx="819383" cy="18472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000" b="1" i="0" strike="noStrike">
              <a:solidFill>
                <a:srgbClr val="000000"/>
              </a:solidFill>
              <a:latin typeface="Arial"/>
              <a:cs typeface="Arial"/>
            </a:rPr>
            <a:t>2000-2009</a:t>
          </a:r>
        </a:p>
      </cdr:txBody>
    </cdr:sp>
  </cdr:relSizeAnchor>
</c:userShapes>
</file>

<file path=xl/drawings/drawing3.xml><?xml version="1.0" encoding="utf-8"?>
<c:userShapes xmlns:c="http://schemas.openxmlformats.org/drawingml/2006/chart">
  <cdr:relSizeAnchor xmlns:cdr="http://schemas.openxmlformats.org/drawingml/2006/chartDrawing">
    <cdr:from>
      <cdr:x>0.47391</cdr:x>
      <cdr:y>0.37506</cdr:y>
    </cdr:from>
    <cdr:to>
      <cdr:x>0.55538</cdr:x>
      <cdr:y>0.41377</cdr:y>
    </cdr:to>
    <cdr:sp macro="" textlink="">
      <cdr:nvSpPr>
        <cdr:cNvPr id="264195" name="Text Box 3"/>
        <cdr:cNvSpPr txBox="1">
          <a:spLocks xmlns:a="http://schemas.openxmlformats.org/drawingml/2006/main" noChangeArrowheads="1"/>
        </cdr:cNvSpPr>
      </cdr:nvSpPr>
      <cdr:spPr bwMode="auto">
        <a:xfrm xmlns:a="http://schemas.openxmlformats.org/drawingml/2006/main">
          <a:off x="3791754" y="2057717"/>
          <a:ext cx="651841" cy="21237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27432" tIns="27432" rIns="0" bIns="0" anchor="t" upright="1">
          <a:spAutoFit/>
        </a:bodyPr>
        <a:lstStyle xmlns:a="http://schemas.openxmlformats.org/drawingml/2006/main"/>
        <a:p xmlns:a="http://schemas.openxmlformats.org/drawingml/2006/main">
          <a:pPr algn="l" rtl="0">
            <a:defRPr sz="1000"/>
          </a:pPr>
          <a:r>
            <a:rPr lang="en-US" sz="1200" b="1" i="0" strike="noStrike">
              <a:solidFill>
                <a:srgbClr val="000000"/>
              </a:solidFill>
              <a:latin typeface="Arial"/>
              <a:cs typeface="Arial"/>
            </a:rPr>
            <a:t>Quantity</a:t>
          </a:r>
        </a:p>
      </cdr:txBody>
    </cdr:sp>
  </cdr:relSizeAnchor>
  <cdr:relSizeAnchor xmlns:cdr="http://schemas.openxmlformats.org/drawingml/2006/chartDrawing">
    <cdr:from>
      <cdr:x>0.01193</cdr:x>
      <cdr:y>0.0463</cdr:y>
    </cdr:from>
    <cdr:to>
      <cdr:x>0.05873</cdr:x>
      <cdr:y>0.90972</cdr:y>
    </cdr:to>
    <cdr:sp macro="" textlink="">
      <cdr:nvSpPr>
        <cdr:cNvPr id="264196" name="Text Box 4"/>
        <cdr:cNvSpPr txBox="1">
          <a:spLocks xmlns:a="http://schemas.openxmlformats.org/drawingml/2006/main" noChangeArrowheads="1"/>
        </cdr:cNvSpPr>
      </cdr:nvSpPr>
      <cdr:spPr bwMode="auto">
        <a:xfrm xmlns:a="http://schemas.openxmlformats.org/drawingml/2006/main">
          <a:off x="95453" y="254000"/>
          <a:ext cx="374447" cy="473710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vert="vert270" wrap="square" lIns="36576" tIns="32004" rIns="36576" bIns="32004" anchor="ctr" upright="1"/>
        <a:lstStyle xmlns:a="http://schemas.openxmlformats.org/drawingml/2006/main"/>
        <a:p xmlns:a="http://schemas.openxmlformats.org/drawingml/2006/main">
          <a:pPr algn="ctr" rtl="0">
            <a:lnSpc>
              <a:spcPts val="1600"/>
            </a:lnSpc>
            <a:defRPr sz="1000"/>
          </a:pPr>
          <a:r>
            <a:rPr lang="en-US" sz="1400" b="1" i="1" u="none" strike="noStrike" baseline="0">
              <a:solidFill>
                <a:srgbClr val="000000"/>
              </a:solidFill>
              <a:latin typeface="Arial"/>
              <a:ea typeface="Arial"/>
              <a:cs typeface="Arial"/>
            </a:rPr>
            <a:t>e</a:t>
          </a:r>
          <a:endParaRPr lang="en-US" sz="1400" b="1" i="0" u="none" strike="noStrike" baseline="0">
            <a:solidFill>
              <a:srgbClr val="000000"/>
            </a:solidFill>
            <a:latin typeface="Arial"/>
            <a:ea typeface="Arial"/>
            <a:cs typeface="Arial"/>
          </a:endParaRPr>
        </a:p>
        <a:p xmlns:a="http://schemas.openxmlformats.org/drawingml/2006/main">
          <a:pPr algn="ctr" rtl="0">
            <a:lnSpc>
              <a:spcPts val="1100"/>
            </a:lnSpc>
            <a:defRPr sz="1000"/>
          </a:pPr>
          <a:r>
            <a:rPr lang="en-US" sz="1000" b="1" i="0" u="none" strike="noStrike" baseline="0">
              <a:solidFill>
                <a:srgbClr val="000000"/>
              </a:solidFill>
              <a:latin typeface="Arial"/>
              <a:ea typeface="Arial"/>
              <a:cs typeface="Arial"/>
            </a:rPr>
            <a:t>(hour cubic-meters of refrigeration produced per MJ of electricity consumed)</a:t>
          </a:r>
        </a:p>
      </cdr:txBody>
    </cdr:sp>
  </cdr:relSizeAnchor>
  <cdr:relSizeAnchor xmlns:cdr="http://schemas.openxmlformats.org/drawingml/2006/chartDrawing">
    <cdr:from>
      <cdr:x>0.68408</cdr:x>
      <cdr:y>0.55767</cdr:y>
    </cdr:from>
    <cdr:to>
      <cdr:x>0.7784</cdr:x>
      <cdr:y>0.59638</cdr:y>
    </cdr:to>
    <cdr:sp macro="" textlink="">
      <cdr:nvSpPr>
        <cdr:cNvPr id="2" name="Text Box 2"/>
        <cdr:cNvSpPr txBox="1">
          <a:spLocks xmlns:a="http://schemas.openxmlformats.org/drawingml/2006/main" noChangeArrowheads="1"/>
        </cdr:cNvSpPr>
      </cdr:nvSpPr>
      <cdr:spPr bwMode="auto">
        <a:xfrm xmlns:a="http://schemas.openxmlformats.org/drawingml/2006/main">
          <a:off x="5473330" y="3059625"/>
          <a:ext cx="754655" cy="21237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27432" tIns="27432" rIns="0" bIns="0" anchor="t" upright="1">
          <a:spAutoFit/>
        </a:bodyPr>
        <a:lstStyle xmlns:a="http://schemas.openxmlformats.org/drawingml/2006/main"/>
        <a:p xmlns:a="http://schemas.openxmlformats.org/drawingml/2006/main">
          <a:pPr algn="l" rtl="0">
            <a:defRPr sz="1000"/>
          </a:pPr>
          <a:r>
            <a:rPr lang="en-US" sz="1200" b="1" i="0" strike="noStrike">
              <a:solidFill>
                <a:srgbClr val="000000"/>
              </a:solidFill>
              <a:latin typeface="Arial"/>
              <a:cs typeface="Arial"/>
            </a:rPr>
            <a:t>Efficiency</a:t>
          </a:r>
        </a:p>
      </cdr:txBody>
    </cdr:sp>
  </cdr:relSizeAnchor>
  <cdr:relSizeAnchor xmlns:cdr="http://schemas.openxmlformats.org/drawingml/2006/chartDrawing">
    <cdr:from>
      <cdr:x>0.93968</cdr:x>
      <cdr:y>0.04861</cdr:y>
    </cdr:from>
    <cdr:to>
      <cdr:x>0.98648</cdr:x>
      <cdr:y>0.91204</cdr:y>
    </cdr:to>
    <cdr:sp macro="" textlink="">
      <cdr:nvSpPr>
        <cdr:cNvPr id="8" name="Text Box 4"/>
        <cdr:cNvSpPr txBox="1">
          <a:spLocks xmlns:a="http://schemas.openxmlformats.org/drawingml/2006/main" noChangeArrowheads="1"/>
        </cdr:cNvSpPr>
      </cdr:nvSpPr>
      <cdr:spPr bwMode="auto">
        <a:xfrm xmlns:a="http://schemas.openxmlformats.org/drawingml/2006/main">
          <a:off x="7518400" y="266700"/>
          <a:ext cx="374447" cy="473710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vert270" wrap="square" lIns="36576" tIns="32004" rIns="36576" bIns="3200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1600"/>
            </a:lnSpc>
            <a:defRPr sz="1000"/>
          </a:pPr>
          <a:r>
            <a:rPr lang="en-US" sz="1400" b="1" i="1" u="none" strike="noStrike" baseline="0">
              <a:solidFill>
                <a:srgbClr val="000000"/>
              </a:solidFill>
              <a:latin typeface="Arial"/>
              <a:ea typeface="Arial"/>
              <a:cs typeface="Arial"/>
            </a:rPr>
            <a:t>Q</a:t>
          </a:r>
          <a:endParaRPr lang="en-US" sz="1400" b="1" i="0" u="none" strike="noStrike" baseline="0">
            <a:solidFill>
              <a:srgbClr val="000000"/>
            </a:solidFill>
            <a:latin typeface="Arial"/>
            <a:ea typeface="Arial"/>
            <a:cs typeface="Arial"/>
          </a:endParaRPr>
        </a:p>
        <a:p xmlns:a="http://schemas.openxmlformats.org/drawingml/2006/main">
          <a:pPr algn="ctr" rtl="0">
            <a:lnSpc>
              <a:spcPts val="1100"/>
            </a:lnSpc>
            <a:defRPr sz="1000"/>
          </a:pPr>
          <a:r>
            <a:rPr lang="en-US" sz="1000" b="1" i="0" u="none" strike="noStrike" baseline="0">
              <a:solidFill>
                <a:srgbClr val="000000"/>
              </a:solidFill>
              <a:latin typeface="Arial"/>
              <a:ea typeface="Arial"/>
              <a:cs typeface="Arial"/>
            </a:rPr>
            <a:t>(billion hour-cubic meters of refrigeration)</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7</xdr:col>
      <xdr:colOff>40483</xdr:colOff>
      <xdr:row>2</xdr:row>
      <xdr:rowOff>0</xdr:rowOff>
    </xdr:from>
    <xdr:to>
      <xdr:col>18</xdr:col>
      <xdr:colOff>10968</xdr:colOff>
      <xdr:row>40</xdr:row>
      <xdr:rowOff>151432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088733" y="0"/>
          <a:ext cx="7566673" cy="78428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67</xdr:row>
      <xdr:rowOff>130968</xdr:rowOff>
    </xdr:from>
    <xdr:to>
      <xdr:col>6</xdr:col>
      <xdr:colOff>213919</xdr:colOff>
      <xdr:row>83</xdr:row>
      <xdr:rowOff>168379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0" y="13692187"/>
          <a:ext cx="5369325" cy="3275911"/>
        </a:xfrm>
        <a:prstGeom prst="rect">
          <a:avLst/>
        </a:prstGeom>
      </xdr:spPr>
    </xdr:pic>
    <xdr:clientData/>
  </xdr:twoCellAnchor>
  <xdr:twoCellAnchor editAs="oneCell">
    <xdr:from>
      <xdr:col>0</xdr:col>
      <xdr:colOff>0</xdr:colOff>
      <xdr:row>51</xdr:row>
      <xdr:rowOff>97234</xdr:rowOff>
    </xdr:from>
    <xdr:to>
      <xdr:col>6</xdr:col>
      <xdr:colOff>260866</xdr:colOff>
      <xdr:row>66</xdr:row>
      <xdr:rowOff>130361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0" y="10419953"/>
          <a:ext cx="5416272" cy="3069221"/>
        </a:xfrm>
        <a:prstGeom prst="rect">
          <a:avLst/>
        </a:prstGeom>
      </xdr:spPr>
    </xdr:pic>
    <xdr:clientData/>
  </xdr:twoCellAnchor>
  <xdr:twoCellAnchor editAs="oneCell">
    <xdr:from>
      <xdr:col>0</xdr:col>
      <xdr:colOff>0</xdr:colOff>
      <xdr:row>85</xdr:row>
      <xdr:rowOff>68860</xdr:rowOff>
    </xdr:from>
    <xdr:to>
      <xdr:col>6</xdr:col>
      <xdr:colOff>104168</xdr:colOff>
      <xdr:row>102</xdr:row>
      <xdr:rowOff>59529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0" y="17273391"/>
          <a:ext cx="5259574" cy="3431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1583533</xdr:colOff>
      <xdr:row>18</xdr:row>
      <xdr:rowOff>11905</xdr:rowOff>
    </xdr:from>
    <xdr:to>
      <xdr:col>13</xdr:col>
      <xdr:colOff>239717</xdr:colOff>
      <xdr:row>24</xdr:row>
      <xdr:rowOff>45087</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12287252" y="3655218"/>
          <a:ext cx="6323809" cy="12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130968</xdr:colOff>
      <xdr:row>0</xdr:row>
      <xdr:rowOff>0</xdr:rowOff>
    </xdr:from>
    <xdr:to>
      <xdr:col>22</xdr:col>
      <xdr:colOff>58762</xdr:colOff>
      <xdr:row>18</xdr:row>
      <xdr:rowOff>51925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061031" y="0"/>
          <a:ext cx="6142857" cy="3695238"/>
        </a:xfrm>
        <a:prstGeom prst="rect">
          <a:avLst/>
        </a:prstGeom>
      </xdr:spPr>
    </xdr:pic>
    <xdr:clientData/>
  </xdr:twoCellAnchor>
  <xdr:twoCellAnchor editAs="oneCell">
    <xdr:from>
      <xdr:col>4</xdr:col>
      <xdr:colOff>381001</xdr:colOff>
      <xdr:row>0</xdr:row>
      <xdr:rowOff>0</xdr:rowOff>
    </xdr:from>
    <xdr:to>
      <xdr:col>12</xdr:col>
      <xdr:colOff>313644</xdr:colOff>
      <xdr:row>17</xdr:row>
      <xdr:rowOff>6713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1" y="0"/>
          <a:ext cx="5457143" cy="3447619"/>
        </a:xfrm>
        <a:prstGeom prst="rect">
          <a:avLst/>
        </a:prstGeom>
      </xdr:spPr>
    </xdr:pic>
    <xdr:clientData/>
  </xdr:twoCellAnchor>
  <xdr:twoCellAnchor editAs="oneCell">
    <xdr:from>
      <xdr:col>13</xdr:col>
      <xdr:colOff>345280</xdr:colOff>
      <xdr:row>18</xdr:row>
      <xdr:rowOff>154782</xdr:rowOff>
    </xdr:from>
    <xdr:to>
      <xdr:col>22</xdr:col>
      <xdr:colOff>44503</xdr:colOff>
      <xdr:row>44</xdr:row>
      <xdr:rowOff>82696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2275343" y="3798095"/>
          <a:ext cx="5914286" cy="5190476"/>
        </a:xfrm>
        <a:prstGeom prst="rect">
          <a:avLst/>
        </a:prstGeom>
      </xdr:spPr>
    </xdr:pic>
    <xdr:clientData/>
  </xdr:twoCellAnchor>
  <xdr:twoCellAnchor editAs="oneCell">
    <xdr:from>
      <xdr:col>4</xdr:col>
      <xdr:colOff>321469</xdr:colOff>
      <xdr:row>18</xdr:row>
      <xdr:rowOff>95251</xdr:rowOff>
    </xdr:from>
    <xdr:to>
      <xdr:col>13</xdr:col>
      <xdr:colOff>96883</xdr:colOff>
      <xdr:row>37</xdr:row>
      <xdr:rowOff>163819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6036469" y="3738564"/>
          <a:ext cx="5990476" cy="3914286"/>
        </a:xfrm>
        <a:prstGeom prst="rect">
          <a:avLst/>
        </a:prstGeom>
      </xdr:spPr>
    </xdr:pic>
    <xdr:clientData/>
  </xdr:twoCellAnchor>
  <xdr:twoCellAnchor editAs="oneCell">
    <xdr:from>
      <xdr:col>22</xdr:col>
      <xdr:colOff>154781</xdr:colOff>
      <xdr:row>1</xdr:row>
      <xdr:rowOff>83344</xdr:rowOff>
    </xdr:from>
    <xdr:to>
      <xdr:col>45</xdr:col>
      <xdr:colOff>128987</xdr:colOff>
      <xdr:row>12</xdr:row>
      <xdr:rowOff>180684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8299906" y="285750"/>
          <a:ext cx="15857143" cy="2323809"/>
        </a:xfrm>
        <a:prstGeom prst="rect">
          <a:avLst/>
        </a:prstGeom>
      </xdr:spPr>
    </xdr:pic>
    <xdr:clientData/>
  </xdr:twoCellAnchor>
  <xdr:twoCellAnchor editAs="oneCell">
    <xdr:from>
      <xdr:col>4</xdr:col>
      <xdr:colOff>194775</xdr:colOff>
      <xdr:row>38</xdr:row>
      <xdr:rowOff>107156</xdr:rowOff>
    </xdr:from>
    <xdr:to>
      <xdr:col>13</xdr:col>
      <xdr:colOff>203925</xdr:colOff>
      <xdr:row>73</xdr:row>
      <xdr:rowOff>201414</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5909775" y="7798594"/>
          <a:ext cx="6224212" cy="7178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428625</xdr:colOff>
      <xdr:row>3</xdr:row>
      <xdr:rowOff>0</xdr:rowOff>
    </xdr:from>
    <xdr:to>
      <xdr:col>27</xdr:col>
      <xdr:colOff>15136</xdr:colOff>
      <xdr:row>36</xdr:row>
      <xdr:rowOff>75796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8715375" y="571500"/>
          <a:ext cx="9944949" cy="63622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279399</xdr:colOff>
      <xdr:row>25</xdr:row>
      <xdr:rowOff>165100</xdr:rowOff>
    </xdr:from>
    <xdr:to>
      <xdr:col>13</xdr:col>
      <xdr:colOff>266700</xdr:colOff>
      <xdr:row>49</xdr:row>
      <xdr:rowOff>133639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5308599" y="5165725"/>
          <a:ext cx="6654801" cy="4769139"/>
        </a:xfrm>
        <a:prstGeom prst="rect">
          <a:avLst/>
        </a:prstGeom>
      </xdr:spPr>
    </xdr:pic>
    <xdr:clientData/>
  </xdr:twoCellAnchor>
  <xdr:twoCellAnchor editAs="oneCell">
    <xdr:from>
      <xdr:col>0</xdr:col>
      <xdr:colOff>0</xdr:colOff>
      <xdr:row>26</xdr:row>
      <xdr:rowOff>0</xdr:rowOff>
    </xdr:from>
    <xdr:to>
      <xdr:col>5</xdr:col>
      <xdr:colOff>304800</xdr:colOff>
      <xdr:row>44</xdr:row>
      <xdr:rowOff>57409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0" y="5200650"/>
          <a:ext cx="5067300" cy="3657859"/>
        </a:xfrm>
        <a:prstGeom prst="rect">
          <a:avLst/>
        </a:prstGeom>
      </xdr:spPr>
    </xdr:pic>
    <xdr:clientData/>
  </xdr:twoCellAnchor>
  <xdr:twoCellAnchor editAs="oneCell">
    <xdr:from>
      <xdr:col>0</xdr:col>
      <xdr:colOff>0</xdr:colOff>
      <xdr:row>63</xdr:row>
      <xdr:rowOff>50800</xdr:rowOff>
    </xdr:from>
    <xdr:to>
      <xdr:col>6</xdr:col>
      <xdr:colOff>444500</xdr:colOff>
      <xdr:row>82</xdr:row>
      <xdr:rowOff>140354</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0" y="12652375"/>
          <a:ext cx="6159500" cy="3890029"/>
        </a:xfrm>
        <a:prstGeom prst="rect">
          <a:avLst/>
        </a:prstGeom>
      </xdr:spPr>
    </xdr:pic>
    <xdr:clientData/>
  </xdr:twoCellAnchor>
  <xdr:twoCellAnchor editAs="oneCell">
    <xdr:from>
      <xdr:col>11</xdr:col>
      <xdr:colOff>88900</xdr:colOff>
      <xdr:row>63</xdr:row>
      <xdr:rowOff>38100</xdr:rowOff>
    </xdr:from>
    <xdr:to>
      <xdr:col>17</xdr:col>
      <xdr:colOff>190500</xdr:colOff>
      <xdr:row>82</xdr:row>
      <xdr:rowOff>12700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9309100" y="12639675"/>
          <a:ext cx="5816600" cy="3775075"/>
        </a:xfrm>
        <a:prstGeom prst="rect">
          <a:avLst/>
        </a:prstGeom>
      </xdr:spPr>
    </xdr:pic>
    <xdr:clientData/>
  </xdr:twoCellAnchor>
  <xdr:twoCellAnchor editAs="oneCell">
    <xdr:from>
      <xdr:col>11</xdr:col>
      <xdr:colOff>38100</xdr:colOff>
      <xdr:row>52</xdr:row>
      <xdr:rowOff>23184</xdr:rowOff>
    </xdr:from>
    <xdr:to>
      <xdr:col>16</xdr:col>
      <xdr:colOff>835025</xdr:colOff>
      <xdr:row>58</xdr:row>
      <xdr:rowOff>101600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9258300" y="10424484"/>
          <a:ext cx="5664200" cy="1278566"/>
        </a:xfrm>
        <a:prstGeom prst="rect">
          <a:avLst/>
        </a:prstGeom>
      </xdr:spPr>
    </xdr:pic>
    <xdr:clientData/>
  </xdr:twoCellAnchor>
  <xdr:twoCellAnchor editAs="oneCell">
    <xdr:from>
      <xdr:col>21</xdr:col>
      <xdr:colOff>12700</xdr:colOff>
      <xdr:row>27</xdr:row>
      <xdr:rowOff>88900</xdr:rowOff>
    </xdr:from>
    <xdr:to>
      <xdr:col>25</xdr:col>
      <xdr:colOff>3175</xdr:colOff>
      <xdr:row>41</xdr:row>
      <xdr:rowOff>98500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17614900" y="5489575"/>
          <a:ext cx="3771900" cy="2809950"/>
        </a:xfrm>
        <a:prstGeom prst="rect">
          <a:avLst/>
        </a:prstGeom>
      </xdr:spPr>
    </xdr:pic>
    <xdr:clientData/>
  </xdr:twoCellAnchor>
  <xdr:twoCellAnchor editAs="oneCell">
    <xdr:from>
      <xdr:col>16</xdr:col>
      <xdr:colOff>0</xdr:colOff>
      <xdr:row>27</xdr:row>
      <xdr:rowOff>0</xdr:rowOff>
    </xdr:from>
    <xdr:to>
      <xdr:col>20</xdr:col>
      <xdr:colOff>224413</xdr:colOff>
      <xdr:row>41</xdr:row>
      <xdr:rowOff>114300</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13411200" y="5400675"/>
          <a:ext cx="4034413" cy="2914650"/>
        </a:xfrm>
        <a:prstGeom prst="rect">
          <a:avLst/>
        </a:prstGeom>
      </xdr:spPr>
    </xdr:pic>
    <xdr:clientData/>
  </xdr:twoCellAnchor>
  <xdr:twoCellAnchor editAs="oneCell">
    <xdr:from>
      <xdr:col>21</xdr:col>
      <xdr:colOff>25400</xdr:colOff>
      <xdr:row>41</xdr:row>
      <xdr:rowOff>165100</xdr:rowOff>
    </xdr:from>
    <xdr:to>
      <xdr:col>24</xdr:col>
      <xdr:colOff>837853</xdr:colOff>
      <xdr:row>55</xdr:row>
      <xdr:rowOff>190500</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17627600" y="8366125"/>
          <a:ext cx="3774728" cy="28257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31750</xdr:colOff>
      <xdr:row>3</xdr:row>
      <xdr:rowOff>50800</xdr:rowOff>
    </xdr:from>
    <xdr:to>
      <xdr:col>17</xdr:col>
      <xdr:colOff>221859</xdr:colOff>
      <xdr:row>13</xdr:row>
      <xdr:rowOff>88900</xdr:rowOff>
    </xdr:to>
    <xdr:grpSp>
      <xdr:nvGrpSpPr>
        <xdr:cNvPr id="2" name="Group 1">
          <a:extLst>
            <a:ext uri="{FF2B5EF4-FFF2-40B4-BE49-F238E27FC236}">
              <a16:creationId xmlns:a16="http://schemas.microsoft.com/office/drawing/2014/main" id="{00000000-0008-0000-0A00-000008000000}"/>
            </a:ext>
          </a:extLst>
        </xdr:cNvPr>
        <xdr:cNvGrpSpPr/>
      </xdr:nvGrpSpPr>
      <xdr:grpSpPr>
        <a:xfrm>
          <a:off x="9261475" y="622300"/>
          <a:ext cx="2933309" cy="1943100"/>
          <a:chOff x="0" y="3340100"/>
          <a:chExt cx="4800209" cy="3162300"/>
        </a:xfrm>
      </xdr:grpSpPr>
      <xdr:pic>
        <xdr:nvPicPr>
          <xdr:cNvPr id="3" name="Picture 2">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3340100"/>
            <a:ext cx="4800209" cy="3162300"/>
          </a:xfrm>
          <a:prstGeom prst="rect">
            <a:avLst/>
          </a:prstGeom>
        </xdr:spPr>
      </xdr:pic>
      <xdr:cxnSp macro="">
        <xdr:nvCxnSpPr>
          <xdr:cNvPr id="4" name="Straight Connector 3">
            <a:extLst>
              <a:ext uri="{FF2B5EF4-FFF2-40B4-BE49-F238E27FC236}">
                <a16:creationId xmlns:a16="http://schemas.microsoft.com/office/drawing/2014/main" id="{00000000-0008-0000-0A00-000007000000}"/>
              </a:ext>
            </a:extLst>
          </xdr:cNvPr>
          <xdr:cNvCxnSpPr/>
        </xdr:nvCxnSpPr>
        <xdr:spPr>
          <a:xfrm flipH="1">
            <a:off x="1028700" y="4622800"/>
            <a:ext cx="3346450" cy="0"/>
          </a:xfrm>
          <a:prstGeom prst="line">
            <a:avLst/>
          </a:prstGeom>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13</xdr:col>
      <xdr:colOff>50800</xdr:colOff>
      <xdr:row>16</xdr:row>
      <xdr:rowOff>57150</xdr:rowOff>
    </xdr:from>
    <xdr:to>
      <xdr:col>19</xdr:col>
      <xdr:colOff>234083</xdr:colOff>
      <xdr:row>31</xdr:row>
      <xdr:rowOff>63500</xdr:rowOff>
    </xdr:to>
    <xdr:pic>
      <xdr:nvPicPr>
        <xdr:cNvPr id="5" name="Picture 4">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a:stretch>
          <a:fillRect/>
        </a:stretch>
      </xdr:blipFill>
      <xdr:spPr>
        <a:xfrm>
          <a:off x="8442325" y="3105150"/>
          <a:ext cx="3840883" cy="2863850"/>
        </a:xfrm>
        <a:prstGeom prst="rect">
          <a:avLst/>
        </a:prstGeom>
      </xdr:spPr>
    </xdr:pic>
    <xdr:clientData/>
  </xdr:twoCellAnchor>
  <xdr:twoCellAnchor editAs="oneCell">
    <xdr:from>
      <xdr:col>5</xdr:col>
      <xdr:colOff>25399</xdr:colOff>
      <xdr:row>20</xdr:row>
      <xdr:rowOff>57150</xdr:rowOff>
    </xdr:from>
    <xdr:to>
      <xdr:col>12</xdr:col>
      <xdr:colOff>551818</xdr:colOff>
      <xdr:row>26</xdr:row>
      <xdr:rowOff>139700</xdr:rowOff>
    </xdr:to>
    <xdr:pic>
      <xdr:nvPicPr>
        <xdr:cNvPr id="6" name="Picture 5">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a:stretch>
          <a:fillRect/>
        </a:stretch>
      </xdr:blipFill>
      <xdr:spPr>
        <a:xfrm>
          <a:off x="3540124" y="3867150"/>
          <a:ext cx="4793619" cy="1225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533400</xdr:colOff>
      <xdr:row>0</xdr:row>
      <xdr:rowOff>0</xdr:rowOff>
    </xdr:from>
    <xdr:to>
      <xdr:col>27</xdr:col>
      <xdr:colOff>313209</xdr:colOff>
      <xdr:row>43</xdr:row>
      <xdr:rowOff>179928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1372850" y="0"/>
          <a:ext cx="8923809" cy="83714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GHA/Details/GHUsefulWorkEfficienciesMatrix_2016_11_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HND/Details/HN_TFC_Efficienc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18%20Summer\GHUsefulWorkEfficienciesMatrix_10-y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B Efficiencies"/>
      <sheetName val="phi_heat"/>
      <sheetName val="Stove efficiencies"/>
      <sheetName val="Fan efficiencies"/>
      <sheetName val="Domestic electricity allocation"/>
      <sheetName val="Electric lighting efficiencies"/>
      <sheetName val="TV lighting efficiencies"/>
      <sheetName val="Domestic refrigeration"/>
      <sheetName val="Non-spec. ind. elec. alloc."/>
      <sheetName val="FixedGHIndustryElectricity"/>
      <sheetName val="GHUsefulWorkEfficienciesMatrix"/>
      <sheetName val="GHPrimary"/>
      <sheetName val="Summary"/>
    </sheetNames>
    <sheetDataSet>
      <sheetData sheetId="0"/>
      <sheetData sheetId="1">
        <row r="3">
          <cell r="B3">
            <v>25</v>
          </cell>
        </row>
        <row r="6">
          <cell r="C6">
            <v>0.13300399011970354</v>
          </cell>
        </row>
        <row r="8">
          <cell r="C8">
            <v>0.20099155835454907</v>
          </cell>
        </row>
        <row r="9">
          <cell r="C9">
            <v>0.36986156609954557</v>
          </cell>
        </row>
        <row r="10">
          <cell r="C10">
            <v>0.65853518868464755</v>
          </cell>
        </row>
        <row r="15">
          <cell r="C15">
            <v>1.04</v>
          </cell>
        </row>
        <row r="16">
          <cell r="C16">
            <v>1.07</v>
          </cell>
        </row>
        <row r="17">
          <cell r="C17">
            <v>1.1499999999999999</v>
          </cell>
        </row>
        <row r="19">
          <cell r="C19">
            <v>1</v>
          </cell>
        </row>
        <row r="26">
          <cell r="C26">
            <v>1</v>
          </cell>
        </row>
        <row r="27">
          <cell r="C27">
            <v>1</v>
          </cell>
        </row>
        <row r="28">
          <cell r="C28">
            <v>1</v>
          </cell>
        </row>
        <row r="29">
          <cell r="C29">
            <v>1</v>
          </cell>
        </row>
      </sheetData>
      <sheetData sheetId="2">
        <row r="5">
          <cell r="B5">
            <v>0.14000000000000001</v>
          </cell>
        </row>
        <row r="6">
          <cell r="B6">
            <v>0.18</v>
          </cell>
        </row>
        <row r="7">
          <cell r="B7">
            <v>0.35</v>
          </cell>
        </row>
        <row r="8">
          <cell r="B8">
            <v>0.45</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_TFC_Efficiencies"/>
      <sheetName val="Ind. -- Elect. (fixed)"/>
      <sheetName val="PB-MH Efficiencies"/>
      <sheetName val="Phi Values"/>
      <sheetName val="Kerosene Use"/>
      <sheetName val="Industry -- Coke furnace"/>
      <sheetName val="Road--Automobile Efficiency"/>
      <sheetName val="Services--Electricity"/>
      <sheetName val="Lighting"/>
      <sheetName val="Industrial--Electricity"/>
      <sheetName val="Refrigerator Efficiency"/>
      <sheetName val="Industrial--Solid Biomass"/>
      <sheetName val="Residential--Electricity"/>
      <sheetName val="Residential--Census Data"/>
      <sheetName val="Residential--Fuel Oil"/>
      <sheetName val="Industrial -- Fuel oil"/>
      <sheetName val="Residential--Stove Efficiency"/>
    </sheetNames>
    <sheetDataSet>
      <sheetData sheetId="0"/>
      <sheetData sheetId="1"/>
      <sheetData sheetId="2"/>
      <sheetData sheetId="3">
        <row r="6">
          <cell r="C6">
            <v>0.13300399011970354</v>
          </cell>
        </row>
        <row r="9">
          <cell r="C9">
            <v>0.20099155835454907</v>
          </cell>
        </row>
        <row r="10">
          <cell r="C10">
            <v>0.36986156609954557</v>
          </cell>
        </row>
        <row r="12">
          <cell r="C12">
            <v>0.76581706790244675</v>
          </cell>
        </row>
      </sheetData>
      <sheetData sheetId="4">
        <row r="19">
          <cell r="S19">
            <v>0.37790000000000001</v>
          </cell>
        </row>
        <row r="30">
          <cell r="O30">
            <v>0.246</v>
          </cell>
        </row>
        <row r="32">
          <cell r="O32">
            <v>3.6017569546120056E-3</v>
          </cell>
        </row>
      </sheetData>
      <sheetData sheetId="5">
        <row r="4">
          <cell r="L4">
            <v>0.47127999999999998</v>
          </cell>
        </row>
      </sheetData>
      <sheetData sheetId="6"/>
      <sheetData sheetId="7"/>
      <sheetData sheetId="8"/>
      <sheetData sheetId="9"/>
      <sheetData sheetId="10">
        <row r="38">
          <cell r="B38">
            <v>2.9704224460067142E-2</v>
          </cell>
        </row>
      </sheetData>
      <sheetData sheetId="11"/>
      <sheetData sheetId="12"/>
      <sheetData sheetId="13">
        <row r="7">
          <cell r="F7">
            <v>0.23057214414717275</v>
          </cell>
        </row>
      </sheetData>
      <sheetData sheetId="14"/>
      <sheetData sheetId="15"/>
      <sheetData sheetId="16">
        <row r="64">
          <cell r="B64">
            <v>0.58742499999999997</v>
          </cell>
        </row>
        <row r="91">
          <cell r="F91">
            <v>0.18</v>
          </cell>
        </row>
        <row r="92">
          <cell r="F92">
            <v>0.45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H_TFC_Efficiencies"/>
      <sheetName val="PB Efficiencies"/>
      <sheetName val="phi_heat"/>
      <sheetName val="Stove efficiencies"/>
      <sheetName val="Domestic electricity allocation"/>
      <sheetName val="Fan efficiencies"/>
      <sheetName val="Electric lighting efficiencies"/>
      <sheetName val="TV lighting efficiencies"/>
      <sheetName val="Domestic refrigeration"/>
      <sheetName val="Non-spec. ind. elec. alloc."/>
      <sheetName val="FixedGHIndustryElectricity"/>
      <sheetName val="PSB"/>
      <sheetName val="FixedGHPSB"/>
      <sheetName val="Xf Eu Xu calcs"/>
      <sheetName val="GHPrimary"/>
      <sheetName val="TFCSummary"/>
      <sheetName val="GH_EIOU_Efficiencies"/>
    </sheetNames>
    <sheetDataSet>
      <sheetData sheetId="0" refreshError="1"/>
      <sheetData sheetId="1" refreshError="1"/>
      <sheetData sheetId="2" refreshError="1">
        <row r="8">
          <cell r="C8">
            <v>0.20099155835454907</v>
          </cell>
        </row>
      </sheetData>
      <sheetData sheetId="3" refreshError="1">
        <row r="7">
          <cell r="B7">
            <v>0.35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i.org/10.1111/jiec.1211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link.springer.com/chapter/10.1007/978-94-009-1403-2_36"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https://hal.archives-ouvertes.fr/hal-00583230/document"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dspace.library.uu.nl/handle/1874/32937"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www.aei.org/publication/when-it-comes-to-home-appliances-the-good-old-days-are-now-theyre-cheaper-better-more-energy-efficient-than-ever/" TargetMode="External"/><Relationship Id="rId1" Type="http://schemas.openxmlformats.org/officeDocument/2006/relationships/hyperlink" Target="http://www.ine.gob.ni/DAC/consultas/Tabla_Consumo_Equipos_actMay12.pdf"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hyperlink" Target="https://www.sciencedirect.com/science/article/pii/030142159190150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6"/>
  <sheetViews>
    <sheetView topLeftCell="A7" zoomScale="80" zoomScaleNormal="80" workbookViewId="0">
      <selection sqref="A1:A46"/>
    </sheetView>
  </sheetViews>
  <sheetFormatPr defaultRowHeight="15" x14ac:dyDescent="0.25"/>
  <cols>
    <col min="1" max="16384" width="9" style="143"/>
  </cols>
  <sheetData>
    <row r="1" spans="1:1" x14ac:dyDescent="0.25">
      <c r="A1" s="144" t="s">
        <v>272</v>
      </c>
    </row>
    <row r="2" spans="1:1" x14ac:dyDescent="0.25">
      <c r="A2" s="144" t="s">
        <v>273</v>
      </c>
    </row>
    <row r="3" spans="1:1" x14ac:dyDescent="0.25">
      <c r="A3" s="144" t="s">
        <v>274</v>
      </c>
    </row>
    <row r="4" spans="1:1" x14ac:dyDescent="0.25">
      <c r="A4" s="144" t="s">
        <v>275</v>
      </c>
    </row>
    <row r="5" spans="1:1" x14ac:dyDescent="0.25">
      <c r="A5" s="144" t="s">
        <v>276</v>
      </c>
    </row>
    <row r="6" spans="1:1" x14ac:dyDescent="0.25">
      <c r="A6" s="144" t="s">
        <v>277</v>
      </c>
    </row>
    <row r="7" spans="1:1" x14ac:dyDescent="0.25">
      <c r="A7" s="144" t="s">
        <v>278</v>
      </c>
    </row>
    <row r="8" spans="1:1" x14ac:dyDescent="0.25">
      <c r="A8" s="144" t="s">
        <v>279</v>
      </c>
    </row>
    <row r="9" spans="1:1" x14ac:dyDescent="0.25">
      <c r="A9" s="144" t="s">
        <v>280</v>
      </c>
    </row>
    <row r="10" spans="1:1" x14ac:dyDescent="0.25">
      <c r="A10" s="144" t="s">
        <v>281</v>
      </c>
    </row>
    <row r="11" spans="1:1" x14ac:dyDescent="0.25">
      <c r="A11" s="144" t="s">
        <v>282</v>
      </c>
    </row>
    <row r="12" spans="1:1" x14ac:dyDescent="0.25">
      <c r="A12" s="144"/>
    </row>
    <row r="13" spans="1:1" x14ac:dyDescent="0.25">
      <c r="A13" s="144" t="s">
        <v>284</v>
      </c>
    </row>
    <row r="14" spans="1:1" x14ac:dyDescent="0.25">
      <c r="A14" s="144" t="s">
        <v>285</v>
      </c>
    </row>
    <row r="15" spans="1:1" x14ac:dyDescent="0.25">
      <c r="A15" s="144" t="s">
        <v>286</v>
      </c>
    </row>
    <row r="16" spans="1:1" x14ac:dyDescent="0.25">
      <c r="A16" s="144" t="s">
        <v>287</v>
      </c>
    </row>
    <row r="17" spans="1:1" x14ac:dyDescent="0.25">
      <c r="A17" s="144" t="s">
        <v>288</v>
      </c>
    </row>
    <row r="18" spans="1:1" x14ac:dyDescent="0.25">
      <c r="A18" s="144" t="s">
        <v>282</v>
      </c>
    </row>
    <row r="19" spans="1:1" x14ac:dyDescent="0.25">
      <c r="A19" s="144"/>
    </row>
    <row r="20" spans="1:1" x14ac:dyDescent="0.25">
      <c r="A20" s="144" t="s">
        <v>289</v>
      </c>
    </row>
    <row r="21" spans="1:1" x14ac:dyDescent="0.25">
      <c r="A21" s="144" t="s">
        <v>290</v>
      </c>
    </row>
    <row r="22" spans="1:1" x14ac:dyDescent="0.25">
      <c r="A22" s="144" t="s">
        <v>291</v>
      </c>
    </row>
    <row r="23" spans="1:1" x14ac:dyDescent="0.25">
      <c r="A23" s="144" t="s">
        <v>292</v>
      </c>
    </row>
    <row r="24" spans="1:1" x14ac:dyDescent="0.25">
      <c r="A24" s="144" t="s">
        <v>293</v>
      </c>
    </row>
    <row r="25" spans="1:1" x14ac:dyDescent="0.25">
      <c r="A25" s="144" t="s">
        <v>294</v>
      </c>
    </row>
    <row r="26" spans="1:1" x14ac:dyDescent="0.25">
      <c r="A26" s="144" t="s">
        <v>295</v>
      </c>
    </row>
    <row r="27" spans="1:1" x14ac:dyDescent="0.25">
      <c r="A27" s="144" t="s">
        <v>296</v>
      </c>
    </row>
    <row r="28" spans="1:1" x14ac:dyDescent="0.25">
      <c r="A28" s="144" t="s">
        <v>297</v>
      </c>
    </row>
    <row r="29" spans="1:1" x14ac:dyDescent="0.25">
      <c r="A29" s="144" t="s">
        <v>298</v>
      </c>
    </row>
    <row r="30" spans="1:1" x14ac:dyDescent="0.25">
      <c r="A30" s="144" t="s">
        <v>282</v>
      </c>
    </row>
    <row r="31" spans="1:1" x14ac:dyDescent="0.25">
      <c r="A31" s="144"/>
    </row>
    <row r="32" spans="1:1" x14ac:dyDescent="0.25">
      <c r="A32" s="144" t="s">
        <v>299</v>
      </c>
    </row>
    <row r="33" spans="1:1" x14ac:dyDescent="0.25">
      <c r="A33" s="144" t="s">
        <v>300</v>
      </c>
    </row>
    <row r="34" spans="1:1" x14ac:dyDescent="0.25">
      <c r="A34" s="144" t="s">
        <v>301</v>
      </c>
    </row>
    <row r="35" spans="1:1" x14ac:dyDescent="0.25">
      <c r="A35" s="144" t="s">
        <v>302</v>
      </c>
    </row>
    <row r="36" spans="1:1" x14ac:dyDescent="0.25">
      <c r="A36" s="144" t="s">
        <v>303</v>
      </c>
    </row>
    <row r="37" spans="1:1" x14ac:dyDescent="0.25">
      <c r="A37" s="144" t="s">
        <v>282</v>
      </c>
    </row>
    <row r="38" spans="1:1" x14ac:dyDescent="0.25">
      <c r="A38" s="144"/>
    </row>
    <row r="39" spans="1:1" x14ac:dyDescent="0.25">
      <c r="A39" s="144" t="s">
        <v>304</v>
      </c>
    </row>
    <row r="40" spans="1:1" x14ac:dyDescent="0.25">
      <c r="A40" s="144" t="s">
        <v>305</v>
      </c>
    </row>
    <row r="41" spans="1:1" x14ac:dyDescent="0.25">
      <c r="A41" s="144" t="s">
        <v>306</v>
      </c>
    </row>
    <row r="42" spans="1:1" x14ac:dyDescent="0.25">
      <c r="A42" s="144" t="s">
        <v>307</v>
      </c>
    </row>
    <row r="43" spans="1:1" x14ac:dyDescent="0.25">
      <c r="A43" s="144" t="s">
        <v>308</v>
      </c>
    </row>
    <row r="44" spans="1:1" x14ac:dyDescent="0.25">
      <c r="A44" s="144" t="s">
        <v>309</v>
      </c>
    </row>
    <row r="45" spans="1:1" x14ac:dyDescent="0.25">
      <c r="A45" s="144" t="s">
        <v>310</v>
      </c>
    </row>
    <row r="46" spans="1:1" x14ac:dyDescent="0.25">
      <c r="A46" s="144" t="s">
        <v>282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7"/>
  <sheetViews>
    <sheetView zoomScale="80" zoomScaleNormal="80" workbookViewId="0">
      <selection activeCell="E12" sqref="E12"/>
    </sheetView>
  </sheetViews>
  <sheetFormatPr defaultColWidth="9" defaultRowHeight="15.75" x14ac:dyDescent="0.25"/>
  <cols>
    <col min="1" max="1" width="9" style="4"/>
    <col min="2" max="2" width="10.25" style="70" bestFit="1" customWidth="1"/>
    <col min="3" max="3" width="8.875" style="70" bestFit="1" customWidth="1"/>
    <col min="4" max="4" width="10.75" style="70" customWidth="1"/>
    <col min="5" max="5" width="12.125" style="4" bestFit="1" customWidth="1"/>
    <col min="6" max="6" width="11" style="4" customWidth="1"/>
    <col min="7" max="7" width="10" style="4" customWidth="1"/>
    <col min="8" max="18" width="8.75" style="4" customWidth="1"/>
    <col min="19" max="16384" width="9" style="4"/>
  </cols>
  <sheetData>
    <row r="1" spans="1:69" s="89" customFormat="1" ht="15" x14ac:dyDescent="0.25">
      <c r="A1" s="89" t="s">
        <v>97</v>
      </c>
      <c r="B1" s="89" t="s">
        <v>150</v>
      </c>
      <c r="C1" s="89" t="s">
        <v>151</v>
      </c>
      <c r="D1" s="89" t="s">
        <v>152</v>
      </c>
      <c r="E1" s="89" t="s">
        <v>98</v>
      </c>
      <c r="F1" s="89" t="s">
        <v>99</v>
      </c>
      <c r="G1" s="89" t="s">
        <v>149</v>
      </c>
      <c r="H1" s="89">
        <v>1960</v>
      </c>
      <c r="I1" s="89">
        <v>1961</v>
      </c>
      <c r="J1" s="89">
        <v>1962</v>
      </c>
      <c r="K1" s="89">
        <v>1963</v>
      </c>
      <c r="L1" s="89">
        <v>1964</v>
      </c>
      <c r="M1" s="89">
        <v>1965</v>
      </c>
      <c r="N1" s="89">
        <v>1966</v>
      </c>
      <c r="O1" s="89">
        <v>1967</v>
      </c>
      <c r="P1" s="89">
        <v>1968</v>
      </c>
      <c r="Q1" s="89">
        <v>1969</v>
      </c>
      <c r="R1" s="89">
        <v>1970</v>
      </c>
      <c r="S1" s="89">
        <v>1971</v>
      </c>
      <c r="T1" s="89">
        <v>1972</v>
      </c>
      <c r="U1" s="89">
        <v>1973</v>
      </c>
      <c r="V1" s="89">
        <v>1974</v>
      </c>
      <c r="W1" s="89">
        <v>1975</v>
      </c>
      <c r="X1" s="89">
        <v>1976</v>
      </c>
      <c r="Y1" s="89">
        <v>1977</v>
      </c>
      <c r="Z1" s="89">
        <v>1978</v>
      </c>
      <c r="AA1" s="89">
        <v>1979</v>
      </c>
      <c r="AB1" s="89">
        <v>1980</v>
      </c>
      <c r="AC1" s="89">
        <v>1981</v>
      </c>
      <c r="AD1" s="89">
        <v>1982</v>
      </c>
      <c r="AE1" s="89">
        <v>1983</v>
      </c>
      <c r="AF1" s="89">
        <v>1984</v>
      </c>
      <c r="AG1" s="89">
        <v>1985</v>
      </c>
      <c r="AH1" s="89">
        <v>1986</v>
      </c>
      <c r="AI1" s="89">
        <v>1987</v>
      </c>
      <c r="AJ1" s="89">
        <v>1988</v>
      </c>
      <c r="AK1" s="89">
        <v>1989</v>
      </c>
      <c r="AL1" s="89">
        <v>1990</v>
      </c>
      <c r="AM1" s="89">
        <v>1991</v>
      </c>
      <c r="AN1" s="89">
        <v>1992</v>
      </c>
      <c r="AO1" s="89">
        <v>1993</v>
      </c>
      <c r="AP1" s="89">
        <v>1994</v>
      </c>
      <c r="AQ1" s="89">
        <v>1995</v>
      </c>
      <c r="AR1" s="89">
        <v>1996</v>
      </c>
      <c r="AS1" s="89">
        <v>1997</v>
      </c>
      <c r="AT1" s="89">
        <v>1998</v>
      </c>
      <c r="AU1" s="89">
        <v>1999</v>
      </c>
      <c r="AV1" s="89">
        <v>2000</v>
      </c>
      <c r="AW1" s="89">
        <v>2001</v>
      </c>
      <c r="AX1" s="89">
        <v>2002</v>
      </c>
      <c r="AY1" s="89">
        <v>2003</v>
      </c>
      <c r="AZ1" s="89">
        <v>2004</v>
      </c>
      <c r="BA1" s="89">
        <v>2005</v>
      </c>
      <c r="BB1" s="89">
        <v>2006</v>
      </c>
      <c r="BC1" s="89">
        <v>2007</v>
      </c>
      <c r="BD1" s="89">
        <v>2008</v>
      </c>
      <c r="BE1" s="89">
        <v>2009</v>
      </c>
      <c r="BF1" s="89">
        <v>2010</v>
      </c>
      <c r="BG1" s="89">
        <v>2011</v>
      </c>
      <c r="BH1" s="89">
        <v>2012</v>
      </c>
      <c r="BI1" s="89">
        <v>2013</v>
      </c>
      <c r="BJ1" s="89">
        <v>2014</v>
      </c>
      <c r="BK1" s="89">
        <v>2015</v>
      </c>
      <c r="BL1" s="89">
        <v>2016</v>
      </c>
      <c r="BM1" s="89">
        <v>2017</v>
      </c>
      <c r="BN1" s="89">
        <v>2018</v>
      </c>
      <c r="BO1" s="89">
        <v>2019</v>
      </c>
      <c r="BP1" s="89">
        <v>2020</v>
      </c>
    </row>
    <row r="2" spans="1:69" ht="15" x14ac:dyDescent="0.25">
      <c r="A2" s="4" t="s">
        <v>229</v>
      </c>
      <c r="B2" s="90" t="s">
        <v>153</v>
      </c>
      <c r="C2" s="90" t="s">
        <v>154</v>
      </c>
      <c r="D2" s="90" t="s">
        <v>155</v>
      </c>
      <c r="E2" s="4" t="s">
        <v>103</v>
      </c>
      <c r="F2" s="4" t="s">
        <v>156</v>
      </c>
      <c r="G2" s="4" t="s">
        <v>157</v>
      </c>
      <c r="H2" s="88">
        <f t="array" ref="H2:BP2">TRANSPOSE(Calcs!I3:I63)</f>
        <v>0.24912937175243063</v>
      </c>
      <c r="I2" s="88">
        <v>0.23521071364860544</v>
      </c>
      <c r="J2" s="88">
        <v>0.22506058883107885</v>
      </c>
      <c r="K2" s="88">
        <v>0.21064155845683671</v>
      </c>
      <c r="L2" s="88">
        <v>0.19373261782976908</v>
      </c>
      <c r="M2" s="88">
        <v>0.18598539477078135</v>
      </c>
      <c r="N2" s="88">
        <v>0.17746130840628696</v>
      </c>
      <c r="O2" s="88">
        <v>0.17810219665391477</v>
      </c>
      <c r="P2" s="88">
        <v>0.17562399952429206</v>
      </c>
      <c r="Q2" s="88">
        <v>0.17802323449047094</v>
      </c>
      <c r="R2" s="88">
        <v>0.17452687363199088</v>
      </c>
      <c r="S2" s="88">
        <v>0.17407529903901456</v>
      </c>
      <c r="T2" s="88">
        <v>0.17329220849034221</v>
      </c>
      <c r="U2" s="88">
        <v>0.163972714719786</v>
      </c>
      <c r="V2" s="88">
        <v>0.16385363504315584</v>
      </c>
      <c r="W2" s="88">
        <v>0.17596883213109588</v>
      </c>
      <c r="X2" s="88">
        <v>0.18947155954232997</v>
      </c>
      <c r="Y2" s="88">
        <v>0.20459994459245537</v>
      </c>
      <c r="Z2" s="88">
        <v>0.22165040436196101</v>
      </c>
      <c r="AA2" s="88">
        <v>0.24927407601412244</v>
      </c>
      <c r="AB2" s="88">
        <v>0.26251914286709888</v>
      </c>
      <c r="AC2" s="88">
        <v>0.27537906936994438</v>
      </c>
      <c r="AD2" s="88">
        <v>0.27956691597598438</v>
      </c>
      <c r="AE2" s="88">
        <v>0.29126178039139505</v>
      </c>
      <c r="AF2" s="88">
        <v>0.30891390935273499</v>
      </c>
      <c r="AG2" s="88">
        <v>0.30191359961330372</v>
      </c>
      <c r="AH2" s="88">
        <v>0.32387665272960647</v>
      </c>
      <c r="AI2" s="88">
        <v>0.33798310024822958</v>
      </c>
      <c r="AJ2" s="88">
        <v>0.34723386889266566</v>
      </c>
      <c r="AK2" s="88">
        <v>0.35423519774395001</v>
      </c>
      <c r="AL2" s="88">
        <v>0.38075922856652544</v>
      </c>
      <c r="AM2" s="88">
        <v>0.38862161704493592</v>
      </c>
      <c r="AN2" s="88">
        <v>0.45119196413253559</v>
      </c>
      <c r="AO2" s="88">
        <v>0.51317020042443195</v>
      </c>
      <c r="AP2" s="88">
        <v>0.5154515963423153</v>
      </c>
      <c r="AQ2" s="88">
        <v>0.50863523914570985</v>
      </c>
      <c r="AR2" s="88">
        <v>0.5228672982696021</v>
      </c>
      <c r="AS2" s="88">
        <v>0.5263295507061434</v>
      </c>
      <c r="AT2" s="88">
        <v>0.56312427603579318</v>
      </c>
      <c r="AU2" s="88">
        <v>0.54790217072264824</v>
      </c>
      <c r="AV2" s="88">
        <v>0.65096014210470676</v>
      </c>
      <c r="AW2" s="88">
        <v>0.65259899462391902</v>
      </c>
      <c r="AX2" s="88">
        <v>0.71398162243840657</v>
      </c>
      <c r="AY2" s="88">
        <v>0.73131722510773089</v>
      </c>
      <c r="AZ2" s="88">
        <v>0.72325902111693396</v>
      </c>
      <c r="BA2" s="88">
        <v>0.69414117075018633</v>
      </c>
      <c r="BB2" s="88">
        <v>0.73709838894257451</v>
      </c>
      <c r="BC2" s="88">
        <v>0.73641271881401826</v>
      </c>
      <c r="BD2" s="88">
        <v>0.73978132370484151</v>
      </c>
      <c r="BE2" s="88">
        <v>0.74775881307808467</v>
      </c>
      <c r="BF2" s="88">
        <v>0.80324905996946017</v>
      </c>
      <c r="BG2" s="88">
        <v>0.80968447423218881</v>
      </c>
      <c r="BH2" s="88">
        <v>0.82773619016350886</v>
      </c>
      <c r="BI2" s="88">
        <v>0.81153461320279308</v>
      </c>
      <c r="BJ2" s="88">
        <v>0.80326799603725951</v>
      </c>
      <c r="BK2" s="88">
        <v>0.76047248281132329</v>
      </c>
      <c r="BL2" s="88">
        <v>0.78544878494287185</v>
      </c>
      <c r="BM2" s="88">
        <v>0.78762549163447526</v>
      </c>
      <c r="BN2" s="88">
        <v>0.80249237021381514</v>
      </c>
      <c r="BO2" s="88">
        <v>0.79566038930217831</v>
      </c>
      <c r="BP2" s="88">
        <v>0.78404221009148678</v>
      </c>
    </row>
    <row r="3" spans="1:69" ht="15" x14ac:dyDescent="0.25">
      <c r="A3" s="4" t="s">
        <v>269</v>
      </c>
      <c r="B3" s="90" t="s">
        <v>153</v>
      </c>
      <c r="C3" s="90" t="s">
        <v>154</v>
      </c>
      <c r="D3" s="90" t="s">
        <v>155</v>
      </c>
      <c r="E3" s="4" t="s">
        <v>103</v>
      </c>
      <c r="F3" s="4" t="s">
        <v>156</v>
      </c>
      <c r="G3" s="4" t="s">
        <v>157</v>
      </c>
      <c r="H3" s="88">
        <f>H2</f>
        <v>0.24912937175243063</v>
      </c>
      <c r="I3" s="88">
        <f t="shared" ref="I3:BP3" si="0">I2</f>
        <v>0.23521071364860544</v>
      </c>
      <c r="J3" s="88">
        <f t="shared" si="0"/>
        <v>0.22506058883107885</v>
      </c>
      <c r="K3" s="88">
        <f t="shared" si="0"/>
        <v>0.21064155845683671</v>
      </c>
      <c r="L3" s="88">
        <f t="shared" si="0"/>
        <v>0.19373261782976908</v>
      </c>
      <c r="M3" s="88">
        <f t="shared" si="0"/>
        <v>0.18598539477078135</v>
      </c>
      <c r="N3" s="88">
        <f t="shared" si="0"/>
        <v>0.17746130840628696</v>
      </c>
      <c r="O3" s="88">
        <f t="shared" si="0"/>
        <v>0.17810219665391477</v>
      </c>
      <c r="P3" s="88">
        <f t="shared" si="0"/>
        <v>0.17562399952429206</v>
      </c>
      <c r="Q3" s="88">
        <f t="shared" si="0"/>
        <v>0.17802323449047094</v>
      </c>
      <c r="R3" s="88">
        <f t="shared" si="0"/>
        <v>0.17452687363199088</v>
      </c>
      <c r="S3" s="88">
        <f t="shared" si="0"/>
        <v>0.17407529903901456</v>
      </c>
      <c r="T3" s="88">
        <f t="shared" si="0"/>
        <v>0.17329220849034221</v>
      </c>
      <c r="U3" s="88">
        <f t="shared" si="0"/>
        <v>0.163972714719786</v>
      </c>
      <c r="V3" s="88">
        <f t="shared" si="0"/>
        <v>0.16385363504315584</v>
      </c>
      <c r="W3" s="88">
        <f t="shared" si="0"/>
        <v>0.17596883213109588</v>
      </c>
      <c r="X3" s="88">
        <f t="shared" si="0"/>
        <v>0.18947155954232997</v>
      </c>
      <c r="Y3" s="88">
        <f t="shared" si="0"/>
        <v>0.20459994459245537</v>
      </c>
      <c r="Z3" s="88">
        <f t="shared" si="0"/>
        <v>0.22165040436196101</v>
      </c>
      <c r="AA3" s="88">
        <f t="shared" si="0"/>
        <v>0.24927407601412244</v>
      </c>
      <c r="AB3" s="88">
        <f t="shared" si="0"/>
        <v>0.26251914286709888</v>
      </c>
      <c r="AC3" s="88">
        <f t="shared" si="0"/>
        <v>0.27537906936994438</v>
      </c>
      <c r="AD3" s="88">
        <f t="shared" si="0"/>
        <v>0.27956691597598438</v>
      </c>
      <c r="AE3" s="88">
        <f t="shared" si="0"/>
        <v>0.29126178039139505</v>
      </c>
      <c r="AF3" s="88">
        <f t="shared" si="0"/>
        <v>0.30891390935273499</v>
      </c>
      <c r="AG3" s="88">
        <f t="shared" si="0"/>
        <v>0.30191359961330372</v>
      </c>
      <c r="AH3" s="88">
        <f t="shared" si="0"/>
        <v>0.32387665272960647</v>
      </c>
      <c r="AI3" s="88">
        <f t="shared" si="0"/>
        <v>0.33798310024822958</v>
      </c>
      <c r="AJ3" s="88">
        <f t="shared" si="0"/>
        <v>0.34723386889266566</v>
      </c>
      <c r="AK3" s="88">
        <f t="shared" si="0"/>
        <v>0.35423519774395001</v>
      </c>
      <c r="AL3" s="88">
        <f t="shared" si="0"/>
        <v>0.38075922856652544</v>
      </c>
      <c r="AM3" s="88">
        <f t="shared" si="0"/>
        <v>0.38862161704493592</v>
      </c>
      <c r="AN3" s="88">
        <f t="shared" si="0"/>
        <v>0.45119196413253559</v>
      </c>
      <c r="AO3" s="88">
        <f t="shared" si="0"/>
        <v>0.51317020042443195</v>
      </c>
      <c r="AP3" s="88">
        <f t="shared" si="0"/>
        <v>0.5154515963423153</v>
      </c>
      <c r="AQ3" s="88">
        <f t="shared" si="0"/>
        <v>0.50863523914570985</v>
      </c>
      <c r="AR3" s="88">
        <f t="shared" si="0"/>
        <v>0.5228672982696021</v>
      </c>
      <c r="AS3" s="88">
        <f t="shared" si="0"/>
        <v>0.5263295507061434</v>
      </c>
      <c r="AT3" s="88">
        <f t="shared" si="0"/>
        <v>0.56312427603579318</v>
      </c>
      <c r="AU3" s="88">
        <f t="shared" si="0"/>
        <v>0.54790217072264824</v>
      </c>
      <c r="AV3" s="88">
        <f t="shared" si="0"/>
        <v>0.65096014210470676</v>
      </c>
      <c r="AW3" s="88">
        <f t="shared" si="0"/>
        <v>0.65259899462391902</v>
      </c>
      <c r="AX3" s="88">
        <f t="shared" si="0"/>
        <v>0.71398162243840657</v>
      </c>
      <c r="AY3" s="88">
        <f t="shared" si="0"/>
        <v>0.73131722510773089</v>
      </c>
      <c r="AZ3" s="88">
        <f t="shared" si="0"/>
        <v>0.72325902111693396</v>
      </c>
      <c r="BA3" s="88">
        <f t="shared" si="0"/>
        <v>0.69414117075018633</v>
      </c>
      <c r="BB3" s="88">
        <f t="shared" si="0"/>
        <v>0.73709838894257451</v>
      </c>
      <c r="BC3" s="88">
        <f t="shared" si="0"/>
        <v>0.73641271881401826</v>
      </c>
      <c r="BD3" s="88">
        <f t="shared" si="0"/>
        <v>0.73978132370484151</v>
      </c>
      <c r="BE3" s="88">
        <f t="shared" si="0"/>
        <v>0.74775881307808467</v>
      </c>
      <c r="BF3" s="88">
        <f t="shared" si="0"/>
        <v>0.80324905996946017</v>
      </c>
      <c r="BG3" s="88">
        <f t="shared" si="0"/>
        <v>0.80968447423218881</v>
      </c>
      <c r="BH3" s="88">
        <f t="shared" si="0"/>
        <v>0.82773619016350886</v>
      </c>
      <c r="BI3" s="88">
        <f t="shared" si="0"/>
        <v>0.81153461320279308</v>
      </c>
      <c r="BJ3" s="88">
        <f t="shared" si="0"/>
        <v>0.80326799603725951</v>
      </c>
      <c r="BK3" s="88">
        <f t="shared" si="0"/>
        <v>0.76047248281132329</v>
      </c>
      <c r="BL3" s="88">
        <f t="shared" si="0"/>
        <v>0.78544878494287185</v>
      </c>
      <c r="BM3" s="88">
        <f t="shared" si="0"/>
        <v>0.78762549163447526</v>
      </c>
      <c r="BN3" s="88">
        <f t="shared" si="0"/>
        <v>0.80249237021381514</v>
      </c>
      <c r="BO3" s="88">
        <f t="shared" si="0"/>
        <v>0.79566038930217831</v>
      </c>
      <c r="BP3" s="88">
        <f t="shared" si="0"/>
        <v>0.78404221009148678</v>
      </c>
      <c r="BQ3" s="88"/>
    </row>
    <row r="4" spans="1:69" ht="15" x14ac:dyDescent="0.25">
      <c r="A4" s="4" t="s">
        <v>239</v>
      </c>
      <c r="B4" s="90" t="s">
        <v>153</v>
      </c>
      <c r="C4" s="90" t="s">
        <v>154</v>
      </c>
      <c r="D4" s="90" t="s">
        <v>155</v>
      </c>
      <c r="E4" s="4" t="s">
        <v>103</v>
      </c>
      <c r="F4" s="4" t="s">
        <v>156</v>
      </c>
      <c r="G4" s="4" t="s">
        <v>157</v>
      </c>
      <c r="H4" s="88">
        <f t="array" ref="H4:BP4">TRANSPOSE(Calcs!L3:L63)</f>
        <v>0.28728910504680749</v>
      </c>
      <c r="I4" s="88">
        <v>0.27123849326236449</v>
      </c>
      <c r="J4" s="88">
        <v>0.25953364989352096</v>
      </c>
      <c r="K4" s="88">
        <v>0.24290602263817168</v>
      </c>
      <c r="L4" s="88">
        <v>0.22340709970560313</v>
      </c>
      <c r="M4" s="88">
        <v>0.21447321622346466</v>
      </c>
      <c r="N4" s="88">
        <v>0.20464347545154624</v>
      </c>
      <c r="O4" s="88">
        <v>0.20538253006321597</v>
      </c>
      <c r="P4" s="88">
        <v>0.20252474163589884</v>
      </c>
      <c r="Q4" s="88">
        <v>0.20529147307901224</v>
      </c>
      <c r="R4" s="88">
        <v>0.20125956638375672</v>
      </c>
      <c r="S4" s="88">
        <v>0.20073882304560486</v>
      </c>
      <c r="T4" s="88">
        <v>0.1998357846711403</v>
      </c>
      <c r="U4" s="88">
        <v>0.18908880206527953</v>
      </c>
      <c r="V4" s="88">
        <v>0.18895148267380152</v>
      </c>
      <c r="W4" s="88">
        <v>0.20292239306616885</v>
      </c>
      <c r="X4" s="88">
        <v>0.21849336507311207</v>
      </c>
      <c r="Y4" s="88">
        <v>0.23593900053263961</v>
      </c>
      <c r="Z4" s="88">
        <v>0.25560111942838187</v>
      </c>
      <c r="AA4" s="88">
        <v>0.28745597400146133</v>
      </c>
      <c r="AB4" s="88">
        <v>0.30272981897489976</v>
      </c>
      <c r="AC4" s="88">
        <v>0.31755953074265386</v>
      </c>
      <c r="AD4" s="88">
        <v>0.32238883968787985</v>
      </c>
      <c r="AE4" s="88">
        <v>0.33587503406116254</v>
      </c>
      <c r="AF4" s="88">
        <v>0.35623098123753039</v>
      </c>
      <c r="AG4" s="88">
        <v>0.34815841754925447</v>
      </c>
      <c r="AH4" s="88">
        <v>0.37348560329814462</v>
      </c>
      <c r="AI4" s="88">
        <v>0.38975276864483943</v>
      </c>
      <c r="AJ4" s="88">
        <v>0.40042049933496499</v>
      </c>
      <c r="AK4" s="88">
        <v>0.40849423823485947</v>
      </c>
      <c r="AL4" s="88">
        <v>0.43908101739963806</v>
      </c>
      <c r="AM4" s="88">
        <v>0.44814770646004132</v>
      </c>
      <c r="AN4" s="88">
        <v>0.52030210114589892</v>
      </c>
      <c r="AO4" s="88">
        <v>0.59177369002933511</v>
      </c>
      <c r="AP4" s="88">
        <v>0.59440453273927252</v>
      </c>
      <c r="AQ4" s="88">
        <v>0.58654409803854934</v>
      </c>
      <c r="AR4" s="88">
        <v>0.60295611521627246</v>
      </c>
      <c r="AS4" s="88">
        <v>0.60694868902217647</v>
      </c>
      <c r="AT4" s="88">
        <v>0.64937934918898621</v>
      </c>
      <c r="AU4" s="88">
        <v>0.63182563811276904</v>
      </c>
      <c r="AV4" s="88">
        <v>0.75066924197218521</v>
      </c>
      <c r="AW4" s="88">
        <v>0.75255912139602155</v>
      </c>
      <c r="AX4" s="88">
        <v>0.82334387104717688</v>
      </c>
      <c r="AY4" s="88">
        <v>0.84333480885304257</v>
      </c>
      <c r="AZ4" s="88">
        <v>0.83404231075650659</v>
      </c>
      <c r="BA4" s="88">
        <v>0.80046441059199824</v>
      </c>
      <c r="BB4" s="88">
        <v>0.85000148718389645</v>
      </c>
      <c r="BC4" s="88">
        <v>0.8492107913450051</v>
      </c>
      <c r="BD4" s="88">
        <v>0.85309537338980157</v>
      </c>
      <c r="BE4" s="88">
        <v>0.86229479362049588</v>
      </c>
      <c r="BF4" s="88">
        <v>0.9262846124688795</v>
      </c>
      <c r="BG4" s="88">
        <v>0.93370575430831704</v>
      </c>
      <c r="BH4" s="88">
        <v>0.95452249413304446</v>
      </c>
      <c r="BI4" s="88">
        <v>0.93583928342749823</v>
      </c>
      <c r="BJ4" s="88">
        <v>0.92630644901883308</v>
      </c>
      <c r="BK4" s="88">
        <v>0.87695584612438293</v>
      </c>
      <c r="BL4" s="88">
        <v>0.90575782734513499</v>
      </c>
      <c r="BM4" s="88">
        <v>0.90826794533315591</v>
      </c>
      <c r="BN4" s="88">
        <v>0.92541201875916068</v>
      </c>
      <c r="BO4" s="88">
        <v>0.91753356722213575</v>
      </c>
      <c r="BP4" s="88">
        <v>0.9041358041071953</v>
      </c>
    </row>
    <row r="5" spans="1:69" ht="15" x14ac:dyDescent="0.25">
      <c r="A5" s="4" t="s">
        <v>258</v>
      </c>
      <c r="B5" s="90" t="s">
        <v>153</v>
      </c>
      <c r="C5" s="90" t="s">
        <v>154</v>
      </c>
      <c r="D5" s="90" t="s">
        <v>155</v>
      </c>
      <c r="E5" s="4" t="s">
        <v>103</v>
      </c>
      <c r="F5" s="4" t="s">
        <v>156</v>
      </c>
      <c r="G5" s="4" t="s">
        <v>157</v>
      </c>
      <c r="H5" s="88">
        <f t="array" ref="H5:BP5">TRANSPOSE(Calcs!V3:V63)</f>
        <v>0.14009800944514317</v>
      </c>
      <c r="I5" s="88">
        <v>0.13227084606903516</v>
      </c>
      <c r="J5" s="88">
        <v>0.12656291900867903</v>
      </c>
      <c r="K5" s="88">
        <v>0.11845437107091193</v>
      </c>
      <c r="L5" s="88">
        <v>0.10894562103066233</v>
      </c>
      <c r="M5" s="88">
        <v>0.10458896680857298</v>
      </c>
      <c r="N5" s="88">
        <v>9.9795443172223594E-2</v>
      </c>
      <c r="O5" s="88">
        <v>0.10015584695415367</v>
      </c>
      <c r="P5" s="88">
        <v>9.8762231731546246E-2</v>
      </c>
      <c r="Q5" s="88">
        <v>0.100111442547551</v>
      </c>
      <c r="R5" s="88">
        <v>9.8145262513742157E-2</v>
      </c>
      <c r="S5" s="88">
        <v>9.7891319346997241E-2</v>
      </c>
      <c r="T5" s="88">
        <v>9.7450948039862401E-2</v>
      </c>
      <c r="U5" s="88">
        <v>9.2210126706323281E-2</v>
      </c>
      <c r="V5" s="88">
        <v>9.2143162198911305E-2</v>
      </c>
      <c r="W5" s="88">
        <v>9.8956148496418928E-2</v>
      </c>
      <c r="X5" s="88">
        <v>0.10654941306850692</v>
      </c>
      <c r="Y5" s="88">
        <v>0.11505686691360557</v>
      </c>
      <c r="Z5" s="88">
        <v>0.12464520030452349</v>
      </c>
      <c r="AA5" s="88">
        <v>0.1401793839489949</v>
      </c>
      <c r="AB5" s="88">
        <v>0.1476277529952342</v>
      </c>
      <c r="AC5" s="88">
        <v>0.16049813344540328</v>
      </c>
      <c r="AD5" s="88">
        <v>0.16798266001859105</v>
      </c>
      <c r="AE5" s="88">
        <v>0.17601702768786331</v>
      </c>
      <c r="AF5" s="88">
        <v>0.18466413695635714</v>
      </c>
      <c r="AG5" s="88">
        <v>0.19399686290549797</v>
      </c>
      <c r="AH5" s="88">
        <v>0.19664511123432887</v>
      </c>
      <c r="AI5" s="88">
        <v>0.1993106121443026</v>
      </c>
      <c r="AJ5" s="88">
        <v>0.20199353477983931</v>
      </c>
      <c r="AK5" s="88">
        <v>0.20469405050366232</v>
      </c>
      <c r="AL5" s="88">
        <v>0.20741233293329076</v>
      </c>
      <c r="AM5" s="88">
        <v>0.21836419485030903</v>
      </c>
      <c r="AN5" s="88">
        <v>0.23028885355529655</v>
      </c>
      <c r="AO5" s="88">
        <v>0.24332194569568058</v>
      </c>
      <c r="AP5" s="88">
        <v>0.25762555265959808</v>
      </c>
      <c r="AQ5" s="88">
        <v>0.27339497563699555</v>
      </c>
      <c r="AR5" s="88">
        <v>0.28131105206330931</v>
      </c>
      <c r="AS5" s="88">
        <v>0.2895399627078678</v>
      </c>
      <c r="AT5" s="88">
        <v>0.29810062565278861</v>
      </c>
      <c r="AU5" s="88">
        <v>0.30701351574327895</v>
      </c>
      <c r="AV5" s="88">
        <v>0.31630082808307963</v>
      </c>
      <c r="AW5" s="88">
        <v>0.31709714474734862</v>
      </c>
      <c r="AX5" s="88">
        <v>0.34692289712730762</v>
      </c>
      <c r="AY5" s="88">
        <v>0.35534624769052003</v>
      </c>
      <c r="AZ5" s="88">
        <v>0.3514307750981267</v>
      </c>
      <c r="BA5" s="88">
        <v>0.33728244313847183</v>
      </c>
      <c r="BB5" s="88">
        <v>0.35815530893708536</v>
      </c>
      <c r="BC5" s="88">
        <v>0.35782214256417505</v>
      </c>
      <c r="BD5" s="88">
        <v>0.35945894403255241</v>
      </c>
      <c r="BE5" s="88">
        <v>0.36333519747968729</v>
      </c>
      <c r="BF5" s="88">
        <v>0.39029784835033532</v>
      </c>
      <c r="BG5" s="88">
        <v>0.39342480917128114</v>
      </c>
      <c r="BH5" s="88">
        <v>0.40219611839297326</v>
      </c>
      <c r="BI5" s="88">
        <v>0.3943237896934661</v>
      </c>
      <c r="BJ5" s="88">
        <v>0.39030704936517191</v>
      </c>
      <c r="BK5" s="88">
        <v>0.369512755834637</v>
      </c>
      <c r="BL5" s="88">
        <v>0.38164871399195116</v>
      </c>
      <c r="BM5" s="88">
        <v>0.38270637341610891</v>
      </c>
      <c r="BN5" s="88">
        <v>0.38993017361753424</v>
      </c>
      <c r="BO5" s="88">
        <v>0.38661052149135083</v>
      </c>
      <c r="BP5" s="88">
        <v>0.38096526079493132</v>
      </c>
    </row>
    <row r="6" spans="1:69" ht="15" x14ac:dyDescent="0.25">
      <c r="B6" s="91"/>
      <c r="C6" s="91"/>
      <c r="D6" s="91"/>
    </row>
    <row r="7" spans="1:69" ht="15" x14ac:dyDescent="0.25">
      <c r="B7" s="91"/>
      <c r="C7" s="91"/>
      <c r="D7"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73"/>
  <sheetViews>
    <sheetView zoomScale="80" zoomScaleNormal="80" workbookViewId="0">
      <pane xSplit="1" topLeftCell="F1" activePane="topRight" state="frozen"/>
      <selection pane="topRight" activeCell="L3" sqref="L3"/>
    </sheetView>
  </sheetViews>
  <sheetFormatPr defaultColWidth="9" defaultRowHeight="15" x14ac:dyDescent="0.25"/>
  <cols>
    <col min="1" max="1" width="9" style="69"/>
    <col min="2" max="2" width="19.5" style="69" customWidth="1"/>
    <col min="3" max="3" width="31.125" style="69" customWidth="1"/>
    <col min="4" max="4" width="13.625" style="69" bestFit="1" customWidth="1"/>
    <col min="5" max="5" width="11.875" style="106" bestFit="1" customWidth="1"/>
    <col min="6" max="6" width="27" style="106" bestFit="1" customWidth="1"/>
    <col min="7" max="7" width="19.5" style="106" bestFit="1" customWidth="1"/>
    <col min="8" max="8" width="20.75" style="106" bestFit="1" customWidth="1"/>
    <col min="9" max="9" width="17.5" style="140" bestFit="1" customWidth="1"/>
    <col min="10" max="10" width="18.375" style="106" bestFit="1" customWidth="1"/>
    <col min="11" max="11" width="9" style="106"/>
    <col min="12" max="12" width="17.125" style="69" customWidth="1"/>
    <col min="13" max="13" width="20.5" style="69" customWidth="1"/>
    <col min="14" max="14" width="9" style="106"/>
    <col min="15" max="15" width="17.625" style="106" bestFit="1" customWidth="1"/>
    <col min="16" max="16" width="17.625" style="106" customWidth="1"/>
    <col min="17" max="17" width="17.75" style="106" bestFit="1" customWidth="1"/>
    <col min="18" max="18" width="27" style="106" bestFit="1" customWidth="1"/>
    <col min="19" max="19" width="19.5" style="106" bestFit="1" customWidth="1"/>
    <col min="20" max="20" width="19.5" style="69" bestFit="1" customWidth="1"/>
    <col min="21" max="21" width="19.5" style="69" customWidth="1"/>
    <col min="22" max="22" width="19.25" style="69" bestFit="1" customWidth="1"/>
    <col min="23" max="23" width="16.875" style="106" bestFit="1" customWidth="1"/>
    <col min="24" max="16384" width="9" style="106"/>
  </cols>
  <sheetData>
    <row r="1" spans="1:23" x14ac:dyDescent="0.25">
      <c r="B1" s="105" t="s">
        <v>229</v>
      </c>
      <c r="C1" s="107"/>
      <c r="D1" s="107"/>
      <c r="E1" s="105" t="s">
        <v>185</v>
      </c>
      <c r="F1" s="107"/>
      <c r="G1" s="141"/>
      <c r="H1" s="141"/>
      <c r="I1" s="142"/>
      <c r="J1" s="141"/>
      <c r="L1" s="130" t="s">
        <v>239</v>
      </c>
      <c r="M1" s="131"/>
      <c r="O1" s="129" t="s">
        <v>258</v>
      </c>
      <c r="P1" s="129"/>
      <c r="Q1" s="111"/>
      <c r="R1" s="112"/>
      <c r="S1" s="112"/>
      <c r="T1" s="111"/>
      <c r="U1" s="111"/>
      <c r="V1" s="111"/>
      <c r="W1" s="111"/>
    </row>
    <row r="2" spans="1:23" s="108" customFormat="1" x14ac:dyDescent="0.25">
      <c r="A2" s="72" t="s">
        <v>40</v>
      </c>
      <c r="B2" s="72" t="s">
        <v>96</v>
      </c>
      <c r="C2" s="72" t="s">
        <v>95</v>
      </c>
      <c r="D2" s="72" t="s">
        <v>93</v>
      </c>
      <c r="E2" s="72" t="s">
        <v>186</v>
      </c>
      <c r="F2" s="109" t="s">
        <v>206</v>
      </c>
      <c r="G2" s="72" t="s">
        <v>215</v>
      </c>
      <c r="H2" s="72" t="s">
        <v>216</v>
      </c>
      <c r="I2" s="139" t="s">
        <v>214</v>
      </c>
      <c r="J2" s="72" t="s">
        <v>152</v>
      </c>
      <c r="L2" s="72" t="s">
        <v>214</v>
      </c>
      <c r="M2" s="72" t="s">
        <v>238</v>
      </c>
      <c r="O2" s="72" t="s">
        <v>259</v>
      </c>
      <c r="P2" s="72" t="s">
        <v>267</v>
      </c>
      <c r="Q2" s="72" t="s">
        <v>260</v>
      </c>
      <c r="R2" s="109" t="s">
        <v>206</v>
      </c>
      <c r="S2" s="72" t="s">
        <v>215</v>
      </c>
      <c r="T2" s="72" t="s">
        <v>216</v>
      </c>
      <c r="U2" s="72" t="s">
        <v>265</v>
      </c>
      <c r="V2" s="72" t="s">
        <v>214</v>
      </c>
      <c r="W2" s="72" t="s">
        <v>265</v>
      </c>
    </row>
    <row r="3" spans="1:23" x14ac:dyDescent="0.25">
      <c r="A3" s="73">
        <v>1960</v>
      </c>
      <c r="B3" s="74">
        <f>Calcs_USA!B13</f>
        <v>13.598130841121495</v>
      </c>
      <c r="C3" s="74">
        <f>Calcs_USA!C13</f>
        <v>907.99999999999989</v>
      </c>
      <c r="D3" s="74" t="str">
        <f>Calcs_USA!D13</f>
        <v>Dahmus (2014)</v>
      </c>
      <c r="E3" s="74">
        <f>Calcs_USA!F13</f>
        <v>0.38505618659351437</v>
      </c>
      <c r="F3" s="74">
        <f>Calcs_USA!G13</f>
        <v>3.7974998245905014</v>
      </c>
      <c r="G3" s="74">
        <f>Calcs_USA!H13</f>
        <v>25.822998807215409</v>
      </c>
      <c r="H3" s="74">
        <f>Calcs_USA!I13</f>
        <v>103.65296803652967</v>
      </c>
      <c r="I3" s="113">
        <f>Calcs_USA!J13</f>
        <v>0.24912937175243063</v>
      </c>
      <c r="J3" s="74" t="str">
        <f>Calcs_USA!K13</f>
        <v>Calculation</v>
      </c>
      <c r="L3" s="118">
        <f t="shared" ref="L3:L28" si="0">I3*L$29/I$29</f>
        <v>0.28728910504680749</v>
      </c>
      <c r="M3" s="119" t="s">
        <v>244</v>
      </c>
      <c r="O3" s="74">
        <f>Daioglou_2010!N6</f>
        <v>148.20400000000018</v>
      </c>
      <c r="P3" s="74" t="s">
        <v>266</v>
      </c>
      <c r="Q3" s="74">
        <f>O3*0.001</f>
        <v>0.14820400000000017</v>
      </c>
      <c r="R3" s="74">
        <f t="shared" ref="R3:R34" si="1">Q3*internalvol_to_internalarea</f>
        <v>1.4616169888934614</v>
      </c>
      <c r="S3" s="74">
        <f t="shared" ref="S3:S34" si="2">heat_transfer_coefficient*R3*ABS(temp_diff)</f>
        <v>9.938995524475537</v>
      </c>
      <c r="T3" s="138" t="s">
        <v>190</v>
      </c>
      <c r="U3" s="138" t="s">
        <v>190</v>
      </c>
      <c r="V3" s="118">
        <f t="shared" ref="V3:V21" si="3">I3*V$23/I$23</f>
        <v>0.14009800944514317</v>
      </c>
      <c r="W3" s="119" t="s">
        <v>244</v>
      </c>
    </row>
    <row r="4" spans="1:23" x14ac:dyDescent="0.25">
      <c r="A4" s="73">
        <v>1961</v>
      </c>
      <c r="B4" s="74">
        <f>Calcs_USA!B14</f>
        <v>14.252336448598131</v>
      </c>
      <c r="C4" s="74">
        <f>Calcs_USA!C14</f>
        <v>1008</v>
      </c>
      <c r="D4" s="74" t="str">
        <f>Calcs_USA!D14</f>
        <v>Dahmus (2014)</v>
      </c>
      <c r="E4" s="74">
        <f>Calcs_USA!F14</f>
        <v>0.40358122649835698</v>
      </c>
      <c r="F4" s="74">
        <f>Calcs_USA!G14</f>
        <v>3.9801974106532745</v>
      </c>
      <c r="G4" s="74">
        <f>Calcs_USA!H14</f>
        <v>27.065342392442268</v>
      </c>
      <c r="H4" s="74">
        <f>Calcs_USA!I14</f>
        <v>115.06849315068493</v>
      </c>
      <c r="I4" s="113">
        <f>Calcs_USA!J14</f>
        <v>0.23521071364860544</v>
      </c>
      <c r="J4" s="74" t="str">
        <f>Calcs_USA!K14</f>
        <v>Calculation</v>
      </c>
      <c r="L4" s="118">
        <f t="shared" si="0"/>
        <v>0.27123849326236449</v>
      </c>
      <c r="M4" s="119" t="s">
        <v>244</v>
      </c>
      <c r="O4" s="74">
        <f>Daioglou_2010!N7</f>
        <v>150.27890000000025</v>
      </c>
      <c r="P4" s="74" t="s">
        <v>266</v>
      </c>
      <c r="Q4" s="74">
        <f t="shared" ref="Q4:Q63" si="4">O4*0.001</f>
        <v>0.15027890000000024</v>
      </c>
      <c r="R4" s="74">
        <f t="shared" si="1"/>
        <v>1.4820800606746223</v>
      </c>
      <c r="S4" s="74">
        <f t="shared" si="2"/>
        <v>10.078144412587433</v>
      </c>
      <c r="T4" s="138" t="s">
        <v>190</v>
      </c>
      <c r="U4" s="138" t="s">
        <v>190</v>
      </c>
      <c r="V4" s="118">
        <f t="shared" si="3"/>
        <v>0.13227084606903516</v>
      </c>
      <c r="W4" s="119" t="s">
        <v>244</v>
      </c>
    </row>
    <row r="5" spans="1:23" x14ac:dyDescent="0.25">
      <c r="A5" s="73">
        <v>1962</v>
      </c>
      <c r="B5" s="74">
        <f>Calcs_USA!B15</f>
        <v>14.719626168224298</v>
      </c>
      <c r="C5" s="74">
        <f>Calcs_USA!C15</f>
        <v>1088</v>
      </c>
      <c r="D5" s="74" t="str">
        <f>Calcs_USA!D15</f>
        <v>Dahmus (2014)</v>
      </c>
      <c r="E5" s="74">
        <f>Calcs_USA!F15</f>
        <v>0.41681339785895888</v>
      </c>
      <c r="F5" s="74">
        <f>Calcs_USA!G15</f>
        <v>4.1106956864123987</v>
      </c>
      <c r="G5" s="74">
        <f>Calcs_USA!H15</f>
        <v>27.952730667604314</v>
      </c>
      <c r="H5" s="74">
        <f>Calcs_USA!I15</f>
        <v>124.20091324200914</v>
      </c>
      <c r="I5" s="113">
        <f>Calcs_USA!J15</f>
        <v>0.22506058883107885</v>
      </c>
      <c r="J5" s="74" t="str">
        <f>Calcs_USA!K15</f>
        <v>Calculation</v>
      </c>
      <c r="L5" s="118">
        <f t="shared" si="0"/>
        <v>0.25953364989352096</v>
      </c>
      <c r="M5" s="119" t="s">
        <v>244</v>
      </c>
      <c r="O5" s="74">
        <f>Daioglou_2010!N8</f>
        <v>152.35379999999986</v>
      </c>
      <c r="P5" s="74" t="s">
        <v>266</v>
      </c>
      <c r="Q5" s="74">
        <f t="shared" si="4"/>
        <v>0.15235379999999987</v>
      </c>
      <c r="R5" s="74">
        <f t="shared" si="1"/>
        <v>1.5025431324557785</v>
      </c>
      <c r="S5" s="74">
        <f t="shared" si="2"/>
        <v>10.217293300699295</v>
      </c>
      <c r="T5" s="138" t="s">
        <v>190</v>
      </c>
      <c r="U5" s="138" t="s">
        <v>190</v>
      </c>
      <c r="V5" s="118">
        <f t="shared" si="3"/>
        <v>0.12656291900867903</v>
      </c>
      <c r="W5" s="119" t="s">
        <v>244</v>
      </c>
    </row>
    <row r="6" spans="1:23" x14ac:dyDescent="0.25">
      <c r="A6" s="73">
        <v>1963</v>
      </c>
      <c r="B6" s="74">
        <f>Calcs_USA!B16</f>
        <v>15.093457943925234</v>
      </c>
      <c r="C6" s="74">
        <f>Calcs_USA!C16</f>
        <v>1192</v>
      </c>
      <c r="D6" s="74" t="str">
        <f>Calcs_USA!D16</f>
        <v>Dahmus (2014)</v>
      </c>
      <c r="E6" s="74">
        <f>Calcs_USA!F16</f>
        <v>0.42739913494744036</v>
      </c>
      <c r="F6" s="74">
        <f>Calcs_USA!G16</f>
        <v>4.2150943070196973</v>
      </c>
      <c r="G6" s="74">
        <f>Calcs_USA!H16</f>
        <v>28.662641287733944</v>
      </c>
      <c r="H6" s="74">
        <f>Calcs_USA!I16</f>
        <v>136.07305936073058</v>
      </c>
      <c r="I6" s="113">
        <f>Calcs_USA!J16</f>
        <v>0.21064155845683671</v>
      </c>
      <c r="J6" s="74" t="str">
        <f>Calcs_USA!K16</f>
        <v>Calculation</v>
      </c>
      <c r="L6" s="118">
        <f t="shared" si="0"/>
        <v>0.24290602263817168</v>
      </c>
      <c r="M6" s="119" t="s">
        <v>244</v>
      </c>
      <c r="O6" s="74">
        <f>Daioglou_2010!N9</f>
        <v>154.42869999999994</v>
      </c>
      <c r="P6" s="74" t="s">
        <v>266</v>
      </c>
      <c r="Q6" s="74">
        <f t="shared" si="4"/>
        <v>0.15442869999999995</v>
      </c>
      <c r="R6" s="74">
        <f t="shared" si="1"/>
        <v>1.5230062042369392</v>
      </c>
      <c r="S6" s="74">
        <f t="shared" si="2"/>
        <v>10.356442188811188</v>
      </c>
      <c r="T6" s="138" t="s">
        <v>190</v>
      </c>
      <c r="U6" s="138" t="s">
        <v>190</v>
      </c>
      <c r="V6" s="118">
        <f t="shared" si="3"/>
        <v>0.11845437107091193</v>
      </c>
      <c r="W6" s="119" t="s">
        <v>244</v>
      </c>
    </row>
    <row r="7" spans="1:23" x14ac:dyDescent="0.25">
      <c r="A7" s="73">
        <v>1964</v>
      </c>
      <c r="B7" s="74">
        <f>Calcs_USA!B17</f>
        <v>14.953271028037383</v>
      </c>
      <c r="C7" s="74">
        <f>Calcs_USA!C17</f>
        <v>1284</v>
      </c>
      <c r="D7" s="74" t="str">
        <f>Calcs_USA!D17</f>
        <v>Dahmus (2014)</v>
      </c>
      <c r="E7" s="74">
        <f>Calcs_USA!F17</f>
        <v>0.4234294835392598</v>
      </c>
      <c r="F7" s="74">
        <f>Calcs_USA!G17</f>
        <v>4.1759448242919603</v>
      </c>
      <c r="G7" s="74">
        <f>Calcs_USA!H17</f>
        <v>28.396424805185333</v>
      </c>
      <c r="H7" s="74">
        <f>Calcs_USA!I17</f>
        <v>146.57534246575344</v>
      </c>
      <c r="I7" s="113">
        <f>Calcs_USA!J17</f>
        <v>0.19373261782976908</v>
      </c>
      <c r="J7" s="74" t="str">
        <f>Calcs_USA!K17</f>
        <v>Calculation</v>
      </c>
      <c r="L7" s="118">
        <f t="shared" si="0"/>
        <v>0.22340709970560313</v>
      </c>
      <c r="M7" s="119" t="s">
        <v>244</v>
      </c>
      <c r="O7" s="74">
        <f>Daioglou_2010!N10</f>
        <v>156.50360000000001</v>
      </c>
      <c r="P7" s="74" t="s">
        <v>266</v>
      </c>
      <c r="Q7" s="74">
        <f t="shared" si="4"/>
        <v>0.15650360000000002</v>
      </c>
      <c r="R7" s="74">
        <f t="shared" si="1"/>
        <v>1.5434692760181001</v>
      </c>
      <c r="S7" s="74">
        <f t="shared" si="2"/>
        <v>10.49559107692308</v>
      </c>
      <c r="T7" s="138" t="s">
        <v>190</v>
      </c>
      <c r="U7" s="138" t="s">
        <v>190</v>
      </c>
      <c r="V7" s="118">
        <f t="shared" si="3"/>
        <v>0.10894562103066233</v>
      </c>
      <c r="W7" s="119" t="s">
        <v>244</v>
      </c>
    </row>
    <row r="8" spans="1:23" x14ac:dyDescent="0.25">
      <c r="A8" s="73">
        <v>1965</v>
      </c>
      <c r="B8" s="74">
        <f>Calcs_USA!B18</f>
        <v>15.607476635514018</v>
      </c>
      <c r="C8" s="74">
        <f>Calcs_USA!C18</f>
        <v>1396</v>
      </c>
      <c r="D8" s="74" t="str">
        <f>Calcs_USA!D18</f>
        <v>Dahmus (2014)</v>
      </c>
      <c r="E8" s="74">
        <f>Calcs_USA!F18</f>
        <v>0.44195452344410241</v>
      </c>
      <c r="F8" s="74">
        <f>Calcs_USA!G18</f>
        <v>4.3586424103547339</v>
      </c>
      <c r="G8" s="74">
        <f>Calcs_USA!H18</f>
        <v>29.638768390412192</v>
      </c>
      <c r="H8" s="74">
        <f>Calcs_USA!I18</f>
        <v>159.36073059360731</v>
      </c>
      <c r="I8" s="113">
        <f>Calcs_USA!J18</f>
        <v>0.18598539477078135</v>
      </c>
      <c r="J8" s="74" t="str">
        <f>Calcs_USA!K18</f>
        <v>Calculation</v>
      </c>
      <c r="L8" s="118">
        <f t="shared" si="0"/>
        <v>0.21447321622346466</v>
      </c>
      <c r="M8" s="119" t="s">
        <v>244</v>
      </c>
      <c r="O8" s="74">
        <f>Daioglou_2010!N11</f>
        <v>158.57850000000008</v>
      </c>
      <c r="P8" s="74" t="s">
        <v>266</v>
      </c>
      <c r="Q8" s="74">
        <f t="shared" si="4"/>
        <v>0.15857850000000007</v>
      </c>
      <c r="R8" s="74">
        <f t="shared" si="1"/>
        <v>1.5639323477992606</v>
      </c>
      <c r="S8" s="74">
        <f t="shared" si="2"/>
        <v>10.634739965034974</v>
      </c>
      <c r="T8" s="138" t="s">
        <v>190</v>
      </c>
      <c r="U8" s="138" t="s">
        <v>190</v>
      </c>
      <c r="V8" s="118">
        <f t="shared" si="3"/>
        <v>0.10458896680857298</v>
      </c>
      <c r="W8" s="119" t="s">
        <v>244</v>
      </c>
    </row>
    <row r="9" spans="1:23" x14ac:dyDescent="0.25">
      <c r="A9" s="73">
        <v>1966</v>
      </c>
      <c r="B9" s="74">
        <f>Calcs_USA!B19</f>
        <v>16.214953271028037</v>
      </c>
      <c r="C9" s="74">
        <f>Calcs_USA!C19</f>
        <v>1520</v>
      </c>
      <c r="D9" s="74" t="str">
        <f>Calcs_USA!D19</f>
        <v>Dahmus (2014)</v>
      </c>
      <c r="E9" s="74">
        <f>Calcs_USA!F19</f>
        <v>0.45915634621288487</v>
      </c>
      <c r="F9" s="74">
        <f>Calcs_USA!G19</f>
        <v>4.5282901688415951</v>
      </c>
      <c r="G9" s="74">
        <f>Calcs_USA!H19</f>
        <v>30.792373148122849</v>
      </c>
      <c r="H9" s="74">
        <f>Calcs_USA!I19</f>
        <v>173.51598173515981</v>
      </c>
      <c r="I9" s="113">
        <f>Calcs_USA!J19</f>
        <v>0.17746130840628696</v>
      </c>
      <c r="J9" s="74" t="str">
        <f>Calcs_USA!K19</f>
        <v>Calculation</v>
      </c>
      <c r="L9" s="118">
        <f t="shared" si="0"/>
        <v>0.20464347545154624</v>
      </c>
      <c r="M9" s="119" t="s">
        <v>244</v>
      </c>
      <c r="O9" s="74">
        <f>Daioglou_2010!N12</f>
        <v>160.65340000000015</v>
      </c>
      <c r="P9" s="74" t="s">
        <v>266</v>
      </c>
      <c r="Q9" s="74">
        <f t="shared" si="4"/>
        <v>0.16065340000000014</v>
      </c>
      <c r="R9" s="74">
        <f t="shared" si="1"/>
        <v>1.5843954195804213</v>
      </c>
      <c r="S9" s="74">
        <f t="shared" si="2"/>
        <v>10.773888853146865</v>
      </c>
      <c r="T9" s="138" t="s">
        <v>190</v>
      </c>
      <c r="U9" s="138" t="s">
        <v>190</v>
      </c>
      <c r="V9" s="118">
        <f t="shared" si="3"/>
        <v>9.9795443172223594E-2</v>
      </c>
      <c r="W9" s="119" t="s">
        <v>244</v>
      </c>
    </row>
    <row r="10" spans="1:23" x14ac:dyDescent="0.25">
      <c r="A10" s="73">
        <v>1967</v>
      </c>
      <c r="B10" s="74">
        <f>Calcs_USA!B20</f>
        <v>16.915887850467289</v>
      </c>
      <c r="C10" s="74">
        <f>Calcs_USA!C20</f>
        <v>1580</v>
      </c>
      <c r="D10" s="74" t="str">
        <f>Calcs_USA!D20</f>
        <v>Dahmus (2014)</v>
      </c>
      <c r="E10" s="74">
        <f>Calcs_USA!F20</f>
        <v>0.47900460325378763</v>
      </c>
      <c r="F10" s="74">
        <f>Calcs_USA!G20</f>
        <v>4.7240375824802801</v>
      </c>
      <c r="G10" s="74">
        <f>Calcs_USA!H20</f>
        <v>32.123455560865906</v>
      </c>
      <c r="H10" s="74">
        <f>Calcs_USA!I20</f>
        <v>180.36529680365297</v>
      </c>
      <c r="I10" s="113">
        <f>Calcs_USA!J20</f>
        <v>0.17810219665391477</v>
      </c>
      <c r="J10" s="74" t="str">
        <f>Calcs_USA!K20</f>
        <v>Calculation</v>
      </c>
      <c r="L10" s="118">
        <f t="shared" si="0"/>
        <v>0.20538253006321597</v>
      </c>
      <c r="M10" s="119" t="s">
        <v>244</v>
      </c>
      <c r="O10" s="74">
        <f>Daioglou_2010!N13</f>
        <v>162.72830000000022</v>
      </c>
      <c r="P10" s="74" t="s">
        <v>266</v>
      </c>
      <c r="Q10" s="74">
        <f t="shared" si="4"/>
        <v>0.16272830000000021</v>
      </c>
      <c r="R10" s="74">
        <f t="shared" si="1"/>
        <v>1.604858491361582</v>
      </c>
      <c r="S10" s="74">
        <f t="shared" si="2"/>
        <v>10.913037741258758</v>
      </c>
      <c r="T10" s="138" t="s">
        <v>190</v>
      </c>
      <c r="U10" s="138" t="s">
        <v>190</v>
      </c>
      <c r="V10" s="118">
        <f t="shared" si="3"/>
        <v>0.10015584695415367</v>
      </c>
      <c r="W10" s="119" t="s">
        <v>244</v>
      </c>
    </row>
    <row r="11" spans="1:23" x14ac:dyDescent="0.25">
      <c r="A11" s="73">
        <v>1968</v>
      </c>
      <c r="B11" s="74">
        <f>Calcs_USA!B21</f>
        <v>17.102803738317757</v>
      </c>
      <c r="C11" s="74">
        <f>Calcs_USA!C21</f>
        <v>1620</v>
      </c>
      <c r="D11" s="74" t="str">
        <f>Calcs_USA!D21</f>
        <v>Dahmus (2014)</v>
      </c>
      <c r="E11" s="74">
        <f>Calcs_USA!F21</f>
        <v>0.4842974717980284</v>
      </c>
      <c r="F11" s="74">
        <f>Calcs_USA!G21</f>
        <v>4.7762368927839294</v>
      </c>
      <c r="G11" s="74">
        <f>Calcs_USA!H21</f>
        <v>32.478410870930723</v>
      </c>
      <c r="H11" s="74">
        <f>Calcs_USA!I21</f>
        <v>184.93150684931507</v>
      </c>
      <c r="I11" s="113">
        <f>Calcs_USA!J21</f>
        <v>0.17562399952429206</v>
      </c>
      <c r="J11" s="74" t="str">
        <f>Calcs_USA!K21</f>
        <v>Calculation</v>
      </c>
      <c r="L11" s="118">
        <f t="shared" si="0"/>
        <v>0.20252474163589884</v>
      </c>
      <c r="M11" s="119" t="s">
        <v>244</v>
      </c>
      <c r="O11" s="74">
        <f>Daioglou_2010!N14</f>
        <v>164.80319999999983</v>
      </c>
      <c r="P11" s="74" t="s">
        <v>266</v>
      </c>
      <c r="Q11" s="74">
        <f t="shared" si="4"/>
        <v>0.16480319999999984</v>
      </c>
      <c r="R11" s="74">
        <f t="shared" si="1"/>
        <v>1.6253215631427385</v>
      </c>
      <c r="S11" s="74">
        <f t="shared" si="2"/>
        <v>11.052186629370622</v>
      </c>
      <c r="T11" s="138" t="s">
        <v>190</v>
      </c>
      <c r="U11" s="138" t="s">
        <v>190</v>
      </c>
      <c r="V11" s="118">
        <f t="shared" si="3"/>
        <v>9.8762231731546246E-2</v>
      </c>
      <c r="W11" s="119" t="s">
        <v>244</v>
      </c>
    </row>
    <row r="12" spans="1:23" x14ac:dyDescent="0.25">
      <c r="A12" s="73">
        <v>1969</v>
      </c>
      <c r="B12" s="74">
        <f>Calcs_USA!B22</f>
        <v>17.33644859813084</v>
      </c>
      <c r="C12" s="74">
        <f>Calcs_USA!C22</f>
        <v>1620</v>
      </c>
      <c r="D12" s="74" t="str">
        <f>Calcs_USA!D22</f>
        <v>Dahmus (2014)</v>
      </c>
      <c r="E12" s="74">
        <f>Calcs_USA!F22</f>
        <v>0.49091355747832932</v>
      </c>
      <c r="F12" s="74">
        <f>Calcs_USA!G22</f>
        <v>4.8414860306634919</v>
      </c>
      <c r="G12" s="74">
        <f>Calcs_USA!H22</f>
        <v>32.92210500851175</v>
      </c>
      <c r="H12" s="74">
        <f>Calcs_USA!I22</f>
        <v>184.93150684931507</v>
      </c>
      <c r="I12" s="113">
        <f>Calcs_USA!J22</f>
        <v>0.17802323449047094</v>
      </c>
      <c r="J12" s="74" t="str">
        <f>Calcs_USA!K22</f>
        <v>Calculation</v>
      </c>
      <c r="L12" s="118">
        <f t="shared" si="0"/>
        <v>0.20529147307901224</v>
      </c>
      <c r="M12" s="119" t="s">
        <v>244</v>
      </c>
      <c r="O12" s="74">
        <f>Daioglou_2010!N15</f>
        <v>166.8780999999999</v>
      </c>
      <c r="P12" s="74" t="s">
        <v>266</v>
      </c>
      <c r="Q12" s="74">
        <f t="shared" si="4"/>
        <v>0.16687809999999992</v>
      </c>
      <c r="R12" s="74">
        <f t="shared" si="1"/>
        <v>1.6457846349238991</v>
      </c>
      <c r="S12" s="74">
        <f t="shared" si="2"/>
        <v>11.191335517482514</v>
      </c>
      <c r="T12" s="138" t="s">
        <v>190</v>
      </c>
      <c r="U12" s="138" t="s">
        <v>190</v>
      </c>
      <c r="V12" s="118">
        <f t="shared" si="3"/>
        <v>0.100111442547551</v>
      </c>
      <c r="W12" s="119" t="s">
        <v>244</v>
      </c>
    </row>
    <row r="13" spans="1:23" x14ac:dyDescent="0.25">
      <c r="A13" s="73">
        <v>1970</v>
      </c>
      <c r="B13" s="74">
        <f>Calcs_USA!B23</f>
        <v>17.289719626168225</v>
      </c>
      <c r="C13" s="74">
        <f>Calcs_USA!C23</f>
        <v>1648.0000000000002</v>
      </c>
      <c r="D13" s="74" t="str">
        <f>Calcs_USA!D23</f>
        <v>Dahmus (2014)</v>
      </c>
      <c r="E13" s="74">
        <f>Calcs_USA!F23</f>
        <v>0.48959034034226917</v>
      </c>
      <c r="F13" s="74">
        <f>Calcs_USA!G23</f>
        <v>4.8284362030875796</v>
      </c>
      <c r="G13" s="74">
        <f>Calcs_USA!H23</f>
        <v>32.833366180995547</v>
      </c>
      <c r="H13" s="74">
        <f>Calcs_USA!I23</f>
        <v>188.12785388127855</v>
      </c>
      <c r="I13" s="113">
        <f>Calcs_USA!J23</f>
        <v>0.17452687363199088</v>
      </c>
      <c r="J13" s="74" t="str">
        <f>Calcs_USA!K23</f>
        <v>Calculation</v>
      </c>
      <c r="L13" s="118">
        <f t="shared" si="0"/>
        <v>0.20125956638375672</v>
      </c>
      <c r="M13" s="119" t="s">
        <v>244</v>
      </c>
      <c r="O13" s="74">
        <f>Daioglou_2010!N16</f>
        <v>168.95299999999997</v>
      </c>
      <c r="P13" s="74" t="s">
        <v>266</v>
      </c>
      <c r="Q13" s="74">
        <f t="shared" si="4"/>
        <v>0.16895299999999996</v>
      </c>
      <c r="R13" s="74">
        <f t="shared" si="1"/>
        <v>1.6662477067050596</v>
      </c>
      <c r="S13" s="74">
        <f t="shared" si="2"/>
        <v>11.330484405594405</v>
      </c>
      <c r="T13" s="138" t="s">
        <v>190</v>
      </c>
      <c r="U13" s="138" t="s">
        <v>190</v>
      </c>
      <c r="V13" s="118">
        <f t="shared" si="3"/>
        <v>9.8145262513742157E-2</v>
      </c>
      <c r="W13" s="119" t="s">
        <v>244</v>
      </c>
    </row>
    <row r="14" spans="1:23" x14ac:dyDescent="0.25">
      <c r="A14" s="73">
        <v>1971</v>
      </c>
      <c r="B14" s="74">
        <f>Calcs_USA!B24</f>
        <v>17.663551401869157</v>
      </c>
      <c r="C14" s="74">
        <f>Calcs_USA!C24</f>
        <v>1687.9999999999998</v>
      </c>
      <c r="D14" s="74" t="str">
        <f>Calcs_USA!D24</f>
        <v>Dahmus (2014)</v>
      </c>
      <c r="E14" s="74">
        <f>Calcs_USA!F24</f>
        <v>0.50017607743075054</v>
      </c>
      <c r="F14" s="74">
        <f>Calcs_USA!G24</f>
        <v>4.9328348236948774</v>
      </c>
      <c r="G14" s="74">
        <f>Calcs_USA!H24</f>
        <v>33.543276801125174</v>
      </c>
      <c r="H14" s="74">
        <f>Calcs_USA!I24</f>
        <v>192.6940639269406</v>
      </c>
      <c r="I14" s="113">
        <f>Calcs_USA!J24</f>
        <v>0.17407529903901456</v>
      </c>
      <c r="J14" s="74" t="str">
        <f>Calcs_USA!K24</f>
        <v>Calculation</v>
      </c>
      <c r="L14" s="118">
        <f t="shared" si="0"/>
        <v>0.20073882304560486</v>
      </c>
      <c r="M14" s="119" t="s">
        <v>244</v>
      </c>
      <c r="O14" s="74">
        <f>Daioglou_2010!N17</f>
        <v>171.02790000000005</v>
      </c>
      <c r="P14" s="74" t="s">
        <v>266</v>
      </c>
      <c r="Q14" s="74">
        <f t="shared" si="4"/>
        <v>0.17102790000000004</v>
      </c>
      <c r="R14" s="74">
        <f t="shared" si="1"/>
        <v>1.6867107784862203</v>
      </c>
      <c r="S14" s="74">
        <f t="shared" si="2"/>
        <v>11.469633293706298</v>
      </c>
      <c r="T14" s="138" t="s">
        <v>190</v>
      </c>
      <c r="U14" s="138" t="s">
        <v>190</v>
      </c>
      <c r="V14" s="118">
        <f t="shared" si="3"/>
        <v>9.7891319346997241E-2</v>
      </c>
      <c r="W14" s="119" t="s">
        <v>244</v>
      </c>
    </row>
    <row r="15" spans="1:23" x14ac:dyDescent="0.25">
      <c r="A15" s="73">
        <v>1972</v>
      </c>
      <c r="B15" s="74">
        <f>Calcs_USA!B25</f>
        <v>18.084112149532711</v>
      </c>
      <c r="C15" s="74">
        <f>Calcs_USA!C25</f>
        <v>1736</v>
      </c>
      <c r="D15" s="74" t="str">
        <f>Calcs_USA!D25</f>
        <v>Dahmus (2014)</v>
      </c>
      <c r="E15" s="74">
        <f>Calcs_USA!F25</f>
        <v>0.5120850316552924</v>
      </c>
      <c r="F15" s="74">
        <f>Calcs_USA!G25</f>
        <v>5.0502832718780901</v>
      </c>
      <c r="G15" s="74">
        <f>Calcs_USA!H25</f>
        <v>34.341926248771017</v>
      </c>
      <c r="H15" s="74">
        <f>Calcs_USA!I25</f>
        <v>198.17351598173516</v>
      </c>
      <c r="I15" s="113">
        <f>Calcs_USA!J25</f>
        <v>0.17329220849034221</v>
      </c>
      <c r="J15" s="74" t="str">
        <f>Calcs_USA!K25</f>
        <v>Calculation</v>
      </c>
      <c r="L15" s="118">
        <f t="shared" si="0"/>
        <v>0.1998357846711403</v>
      </c>
      <c r="M15" s="119" t="s">
        <v>244</v>
      </c>
      <c r="O15" s="74">
        <f>Daioglou_2010!N18</f>
        <v>173.10280000000012</v>
      </c>
      <c r="P15" s="74" t="s">
        <v>266</v>
      </c>
      <c r="Q15" s="74">
        <f t="shared" si="4"/>
        <v>0.17310280000000011</v>
      </c>
      <c r="R15" s="74">
        <f t="shared" si="1"/>
        <v>1.7071738502673812</v>
      </c>
      <c r="S15" s="74">
        <f t="shared" si="2"/>
        <v>11.608782181818194</v>
      </c>
      <c r="T15" s="138" t="s">
        <v>190</v>
      </c>
      <c r="U15" s="138" t="s">
        <v>190</v>
      </c>
      <c r="V15" s="118">
        <f t="shared" si="3"/>
        <v>9.7450948039862401E-2</v>
      </c>
      <c r="W15" s="119" t="s">
        <v>244</v>
      </c>
    </row>
    <row r="16" spans="1:23" x14ac:dyDescent="0.25">
      <c r="A16" s="73">
        <v>1973</v>
      </c>
      <c r="B16" s="74">
        <f>Calcs_USA!B26</f>
        <v>17.663551401869157</v>
      </c>
      <c r="C16" s="74">
        <f>Calcs_USA!C26</f>
        <v>1792</v>
      </c>
      <c r="D16" s="74" t="str">
        <f>Calcs_USA!D26</f>
        <v>Dahmus (2014)</v>
      </c>
      <c r="E16" s="74">
        <f>Calcs_USA!F26</f>
        <v>0.50017607743075054</v>
      </c>
      <c r="F16" s="74">
        <f>Calcs_USA!G26</f>
        <v>4.9328348236948774</v>
      </c>
      <c r="G16" s="74">
        <f>Calcs_USA!H26</f>
        <v>33.543276801125174</v>
      </c>
      <c r="H16" s="74">
        <f>Calcs_USA!I26</f>
        <v>204.5662100456621</v>
      </c>
      <c r="I16" s="113">
        <f>Calcs_USA!J26</f>
        <v>0.163972714719786</v>
      </c>
      <c r="J16" s="74" t="str">
        <f>Calcs_USA!K26</f>
        <v>Calculation</v>
      </c>
      <c r="L16" s="118">
        <f t="shared" si="0"/>
        <v>0.18908880206527953</v>
      </c>
      <c r="M16" s="119" t="s">
        <v>244</v>
      </c>
      <c r="O16" s="74">
        <f>Daioglou_2010!N19</f>
        <v>175.17770000000019</v>
      </c>
      <c r="P16" s="74" t="s">
        <v>266</v>
      </c>
      <c r="Q16" s="74">
        <f t="shared" si="4"/>
        <v>0.17517770000000019</v>
      </c>
      <c r="R16" s="74">
        <f t="shared" si="1"/>
        <v>1.7276369220485419</v>
      </c>
      <c r="S16" s="74">
        <f t="shared" si="2"/>
        <v>11.747931069930086</v>
      </c>
      <c r="T16" s="138" t="s">
        <v>190</v>
      </c>
      <c r="U16" s="138" t="s">
        <v>190</v>
      </c>
      <c r="V16" s="118">
        <f t="shared" si="3"/>
        <v>9.2210126706323281E-2</v>
      </c>
      <c r="W16" s="119" t="s">
        <v>244</v>
      </c>
    </row>
    <row r="17" spans="1:23" x14ac:dyDescent="0.25">
      <c r="A17" s="73">
        <v>1974</v>
      </c>
      <c r="B17" s="74">
        <f>Calcs_USA!B27</f>
        <v>18.084112149532711</v>
      </c>
      <c r="C17" s="74">
        <f>Calcs_USA!C27</f>
        <v>1835.9999999999998</v>
      </c>
      <c r="D17" s="74" t="str">
        <f>Calcs_USA!D27</f>
        <v>Dahmus (2014)</v>
      </c>
      <c r="E17" s="74">
        <f>Calcs_USA!F27</f>
        <v>0.5120850316552924</v>
      </c>
      <c r="F17" s="74">
        <f>Calcs_USA!G27</f>
        <v>5.0502832718780901</v>
      </c>
      <c r="G17" s="74">
        <f>Calcs_USA!H27</f>
        <v>34.341926248771017</v>
      </c>
      <c r="H17" s="74">
        <f>Calcs_USA!I27</f>
        <v>209.58904109589039</v>
      </c>
      <c r="I17" s="113">
        <f>Calcs_USA!J27</f>
        <v>0.16385363504315584</v>
      </c>
      <c r="J17" s="74" t="str">
        <f>Calcs_USA!K27</f>
        <v>Calculation</v>
      </c>
      <c r="L17" s="118">
        <f t="shared" si="0"/>
        <v>0.18895148267380152</v>
      </c>
      <c r="M17" s="119" t="s">
        <v>244</v>
      </c>
      <c r="O17" s="74">
        <f>Daioglou_2010!N20</f>
        <v>177.2525999999998</v>
      </c>
      <c r="P17" s="74" t="s">
        <v>266</v>
      </c>
      <c r="Q17" s="74">
        <f t="shared" si="4"/>
        <v>0.17725259999999982</v>
      </c>
      <c r="R17" s="74">
        <f t="shared" si="1"/>
        <v>1.7480999938296982</v>
      </c>
      <c r="S17" s="74">
        <f t="shared" si="2"/>
        <v>11.887079958041948</v>
      </c>
      <c r="T17" s="138" t="s">
        <v>190</v>
      </c>
      <c r="U17" s="138" t="s">
        <v>190</v>
      </c>
      <c r="V17" s="118">
        <f t="shared" si="3"/>
        <v>9.2143162198911305E-2</v>
      </c>
      <c r="W17" s="119" t="s">
        <v>244</v>
      </c>
    </row>
    <row r="18" spans="1:23" x14ac:dyDescent="0.25">
      <c r="A18" s="73">
        <v>1975</v>
      </c>
      <c r="B18" s="74">
        <f>Calcs_USA!B28</f>
        <v>18.479792523364484</v>
      </c>
      <c r="C18" s="74">
        <f>Calcs_USA!C28</f>
        <v>1747.0000000000002</v>
      </c>
      <c r="D18" s="74" t="str">
        <f>Calcs_USA!D28</f>
        <v>Dahmus (2014)</v>
      </c>
      <c r="E18" s="74">
        <f>Calcs_USA!F28</f>
        <v>0.52328945214791012</v>
      </c>
      <c r="F18" s="74">
        <f>Calcs_USA!G28</f>
        <v>5.1607834698667823</v>
      </c>
      <c r="G18" s="74">
        <f>Calcs_USA!H28</f>
        <v>35.093327595094124</v>
      </c>
      <c r="H18" s="74">
        <f>Calcs_USA!I28</f>
        <v>199.42922374429224</v>
      </c>
      <c r="I18" s="113">
        <f>Calcs_USA!J28</f>
        <v>0.17596883213109588</v>
      </c>
      <c r="J18" s="74" t="str">
        <f>Calcs_USA!K28</f>
        <v>Calculation</v>
      </c>
      <c r="L18" s="118">
        <f t="shared" si="0"/>
        <v>0.20292239306616885</v>
      </c>
      <c r="M18" s="119" t="s">
        <v>244</v>
      </c>
      <c r="O18" s="74">
        <f>Daioglou_2010!N21</f>
        <v>179.32749999999987</v>
      </c>
      <c r="P18" s="74" t="s">
        <v>266</v>
      </c>
      <c r="Q18" s="74">
        <f t="shared" si="4"/>
        <v>0.17932749999999989</v>
      </c>
      <c r="R18" s="74">
        <f t="shared" si="1"/>
        <v>1.7685630656108591</v>
      </c>
      <c r="S18" s="74">
        <f t="shared" si="2"/>
        <v>12.026228846153844</v>
      </c>
      <c r="T18" s="138" t="s">
        <v>190</v>
      </c>
      <c r="U18" s="138" t="s">
        <v>190</v>
      </c>
      <c r="V18" s="118">
        <f t="shared" si="3"/>
        <v>9.8956148496418928E-2</v>
      </c>
      <c r="W18" s="119" t="s">
        <v>244</v>
      </c>
    </row>
    <row r="19" spans="1:23" x14ac:dyDescent="0.25">
      <c r="A19" s="73">
        <v>1976</v>
      </c>
      <c r="B19" s="74">
        <f>Calcs_USA!B29</f>
        <v>18.884130383775698</v>
      </c>
      <c r="C19" s="74">
        <f>Calcs_USA!C29</f>
        <v>1658</v>
      </c>
      <c r="D19" s="74" t="str">
        <f>Calcs_USA!D29</f>
        <v>Dahmus (2014)</v>
      </c>
      <c r="E19" s="74">
        <f>Calcs_USA!F29</f>
        <v>0.53473902536090634</v>
      </c>
      <c r="F19" s="74">
        <f>Calcs_USA!G29</f>
        <v>5.2737014121874672</v>
      </c>
      <c r="G19" s="74">
        <f>Calcs_USA!H29</f>
        <v>35.861169602874782</v>
      </c>
      <c r="H19" s="74">
        <f>Calcs_USA!I29</f>
        <v>189.26940639269407</v>
      </c>
      <c r="I19" s="113">
        <f>Calcs_USA!J29</f>
        <v>0.18947155954232997</v>
      </c>
      <c r="J19" s="74" t="str">
        <f>Calcs_USA!K29</f>
        <v>Calculation</v>
      </c>
      <c r="L19" s="118">
        <f t="shared" si="0"/>
        <v>0.21849336507311207</v>
      </c>
      <c r="M19" s="119" t="s">
        <v>244</v>
      </c>
      <c r="O19" s="74">
        <f>Daioglou_2010!N22</f>
        <v>181.4024000000004</v>
      </c>
      <c r="P19" s="74" t="s">
        <v>266</v>
      </c>
      <c r="Q19" s="74">
        <f t="shared" si="4"/>
        <v>0.18140240000000041</v>
      </c>
      <c r="R19" s="74">
        <f t="shared" si="1"/>
        <v>1.7890261373920242</v>
      </c>
      <c r="S19" s="74">
        <f t="shared" si="2"/>
        <v>12.165377734265766</v>
      </c>
      <c r="T19" s="138" t="s">
        <v>190</v>
      </c>
      <c r="U19" s="138" t="s">
        <v>190</v>
      </c>
      <c r="V19" s="118">
        <f t="shared" si="3"/>
        <v>0.10654941306850692</v>
      </c>
      <c r="W19" s="119" t="s">
        <v>244</v>
      </c>
    </row>
    <row r="20" spans="1:23" x14ac:dyDescent="0.25">
      <c r="A20" s="73">
        <v>1977</v>
      </c>
      <c r="B20" s="74">
        <f>Calcs_USA!B30</f>
        <v>19.297315156572708</v>
      </c>
      <c r="C20" s="74">
        <f>Calcs_USA!C30</f>
        <v>1569</v>
      </c>
      <c r="D20" s="74" t="str">
        <f>Calcs_USA!D30</f>
        <v>Dahmus (2014)</v>
      </c>
      <c r="E20" s="74">
        <f>Calcs_USA!F30</f>
        <v>0.54643911523580291</v>
      </c>
      <c r="F20" s="74">
        <f>Calcs_USA!G30</f>
        <v>5.3890899990861278</v>
      </c>
      <c r="G20" s="74">
        <f>Calcs_USA!H30</f>
        <v>36.645811993785671</v>
      </c>
      <c r="H20" s="74">
        <f>Calcs_USA!I30</f>
        <v>179.10958904109589</v>
      </c>
      <c r="I20" s="113">
        <f>Calcs_USA!J30</f>
        <v>0.20459994459245537</v>
      </c>
      <c r="J20" s="74" t="str">
        <f>Calcs_USA!K30</f>
        <v>Calculation</v>
      </c>
      <c r="L20" s="118">
        <f t="shared" si="0"/>
        <v>0.23593900053263961</v>
      </c>
      <c r="M20" s="119" t="s">
        <v>244</v>
      </c>
      <c r="O20" s="74">
        <f>Daioglou_2010!N23</f>
        <v>183.47730000000001</v>
      </c>
      <c r="P20" s="74" t="s">
        <v>266</v>
      </c>
      <c r="Q20" s="74">
        <f t="shared" si="4"/>
        <v>0.18347730000000001</v>
      </c>
      <c r="R20" s="74">
        <f t="shared" si="1"/>
        <v>1.8094892091731802</v>
      </c>
      <c r="S20" s="74">
        <f t="shared" si="2"/>
        <v>12.304526622377628</v>
      </c>
      <c r="T20" s="138" t="s">
        <v>190</v>
      </c>
      <c r="U20" s="138" t="s">
        <v>190</v>
      </c>
      <c r="V20" s="118">
        <f t="shared" si="3"/>
        <v>0.11505686691360557</v>
      </c>
      <c r="W20" s="119" t="s">
        <v>244</v>
      </c>
    </row>
    <row r="21" spans="1:23" x14ac:dyDescent="0.25">
      <c r="A21" s="73">
        <v>1978</v>
      </c>
      <c r="B21" s="74">
        <f>Calcs_USA!B31</f>
        <v>19.719626168224298</v>
      </c>
      <c r="C21" s="74">
        <f>Calcs_USA!C31</f>
        <v>1480</v>
      </c>
      <c r="D21" s="74" t="str">
        <f>Calcs_USA!D31</f>
        <v>Dahmus (2014)</v>
      </c>
      <c r="E21" s="74">
        <f>Calcs_USA!F31</f>
        <v>0.55839763141739884</v>
      </c>
      <c r="F21" s="74">
        <f>Calcs_USA!G31</f>
        <v>5.5070272370350226</v>
      </c>
      <c r="G21" s="74">
        <f>Calcs_USA!H31</f>
        <v>37.447785211838159</v>
      </c>
      <c r="H21" s="74">
        <f>Calcs_USA!I31</f>
        <v>168.94977168949771</v>
      </c>
      <c r="I21" s="113">
        <f>Calcs_USA!J31</f>
        <v>0.22165040436196101</v>
      </c>
      <c r="J21" s="74" t="str">
        <f>Calcs_USA!K31</f>
        <v>Calculation</v>
      </c>
      <c r="L21" s="118">
        <f t="shared" si="0"/>
        <v>0.25560111942838187</v>
      </c>
      <c r="M21" s="119" t="s">
        <v>244</v>
      </c>
      <c r="O21" s="74">
        <f>Daioglou_2010!N24</f>
        <v>185.55219999999963</v>
      </c>
      <c r="P21" s="74" t="s">
        <v>266</v>
      </c>
      <c r="Q21" s="74">
        <f t="shared" si="4"/>
        <v>0.18555219999999964</v>
      </c>
      <c r="R21" s="74">
        <f t="shared" si="1"/>
        <v>1.8299522809543365</v>
      </c>
      <c r="S21" s="74">
        <f t="shared" si="2"/>
        <v>12.44367551048949</v>
      </c>
      <c r="T21" s="138" t="s">
        <v>190</v>
      </c>
      <c r="U21" s="138" t="s">
        <v>190</v>
      </c>
      <c r="V21" s="118">
        <f t="shared" si="3"/>
        <v>0.12464520030452349</v>
      </c>
      <c r="W21" s="119" t="s">
        <v>244</v>
      </c>
    </row>
    <row r="22" spans="1:23" x14ac:dyDescent="0.25">
      <c r="A22" s="73">
        <v>1979</v>
      </c>
      <c r="B22" s="74">
        <f>Calcs_USA!B32</f>
        <v>19.659813084112152</v>
      </c>
      <c r="C22" s="74">
        <f>Calcs_USA!C32</f>
        <v>1312</v>
      </c>
      <c r="D22" s="74" t="str">
        <f>Calcs_USA!D32</f>
        <v>Dahmus (2014)</v>
      </c>
      <c r="E22" s="74">
        <f>Calcs_USA!F32</f>
        <v>0.55670391348324189</v>
      </c>
      <c r="F22" s="74">
        <f>Calcs_USA!G32</f>
        <v>5.4903234577378557</v>
      </c>
      <c r="G22" s="74">
        <f>Calcs_USA!H32</f>
        <v>37.334199512617424</v>
      </c>
      <c r="H22" s="74">
        <f>Calcs_USA!I32</f>
        <v>149.77168949771689</v>
      </c>
      <c r="I22" s="113">
        <f>Calcs_USA!J32</f>
        <v>0.24927407601412244</v>
      </c>
      <c r="J22" s="74" t="str">
        <f>Calcs_USA!K32</f>
        <v>Calculation</v>
      </c>
      <c r="L22" s="118">
        <f t="shared" si="0"/>
        <v>0.28745597400146133</v>
      </c>
      <c r="M22" s="119" t="s">
        <v>244</v>
      </c>
      <c r="O22" s="74">
        <f>Daioglou_2010!N25</f>
        <v>187.62710000000015</v>
      </c>
      <c r="P22" s="74" t="s">
        <v>266</v>
      </c>
      <c r="Q22" s="74">
        <f t="shared" si="4"/>
        <v>0.18762710000000016</v>
      </c>
      <c r="R22" s="74">
        <f t="shared" si="1"/>
        <v>1.8504153527355016</v>
      </c>
      <c r="S22" s="74">
        <f t="shared" si="2"/>
        <v>12.58282439860141</v>
      </c>
      <c r="T22" s="138" t="s">
        <v>190</v>
      </c>
      <c r="U22" s="138" t="s">
        <v>190</v>
      </c>
      <c r="V22" s="118">
        <f>I22*V$23/I$23</f>
        <v>0.1401793839489949</v>
      </c>
      <c r="W22" s="119" t="s">
        <v>244</v>
      </c>
    </row>
    <row r="23" spans="1:23" x14ac:dyDescent="0.25">
      <c r="A23" s="73">
        <v>1980</v>
      </c>
      <c r="B23" s="74">
        <f>Calcs_USA!B33</f>
        <v>19.600000000000001</v>
      </c>
      <c r="C23" s="74">
        <f>Calcs_USA!C33</f>
        <v>1242.0144810941272</v>
      </c>
      <c r="D23" s="74" t="str">
        <f>Calcs_USA!D33</f>
        <v>Dahmus (2014)</v>
      </c>
      <c r="E23" s="74">
        <f>Calcs_USA!F33</f>
        <v>0.55501019554908482</v>
      </c>
      <c r="F23" s="74">
        <f>Calcs_USA!G33</f>
        <v>5.473619678440687</v>
      </c>
      <c r="G23" s="74">
        <f>Calcs_USA!H33</f>
        <v>37.220613813396675</v>
      </c>
      <c r="H23" s="74">
        <f>Calcs_USA!I33</f>
        <v>141.78247501074512</v>
      </c>
      <c r="I23" s="113">
        <f>Calcs_USA!J33</f>
        <v>0.26251914286709888</v>
      </c>
      <c r="J23" s="74" t="str">
        <f>Calcs_USA!K33</f>
        <v>Calculation</v>
      </c>
      <c r="L23" s="118">
        <f t="shared" si="0"/>
        <v>0.30272981897489976</v>
      </c>
      <c r="M23" s="119" t="s">
        <v>244</v>
      </c>
      <c r="O23" s="74">
        <f>Daioglou_2010!N26</f>
        <v>189.70199999999977</v>
      </c>
      <c r="P23" s="74" t="s">
        <v>266</v>
      </c>
      <c r="Q23" s="74">
        <f t="shared" si="4"/>
        <v>0.18970199999999979</v>
      </c>
      <c r="R23" s="74">
        <f t="shared" si="1"/>
        <v>1.8708784245166581</v>
      </c>
      <c r="S23" s="74">
        <f t="shared" si="2"/>
        <v>12.721973286713276</v>
      </c>
      <c r="T23" s="74">
        <f>Daioglou_2010!I6</f>
        <v>86.17602739726027</v>
      </c>
      <c r="U23" s="74" t="s">
        <v>266</v>
      </c>
      <c r="V23" s="113">
        <f t="shared" ref="V23:V43" si="5">S23/T23</f>
        <v>0.1476277529952342</v>
      </c>
      <c r="W23" s="69" t="s">
        <v>230</v>
      </c>
    </row>
    <row r="24" spans="1:23" x14ac:dyDescent="0.25">
      <c r="A24" s="73">
        <v>1981</v>
      </c>
      <c r="B24" s="74">
        <f>Calcs_USA!B34</f>
        <v>19.86</v>
      </c>
      <c r="C24" s="74">
        <f>Calcs_USA!C34</f>
        <v>1199.7199533255543</v>
      </c>
      <c r="D24" s="74" t="str">
        <f>Calcs_USA!D34</f>
        <v>Dahmus (2014)</v>
      </c>
      <c r="E24" s="74">
        <f>Calcs_USA!F34</f>
        <v>0.56237257569412369</v>
      </c>
      <c r="F24" s="74">
        <f>Calcs_USA!G34</f>
        <v>5.546228919073064</v>
      </c>
      <c r="G24" s="74">
        <f>Calcs_USA!H34</f>
        <v>37.714356649696839</v>
      </c>
      <c r="H24" s="74">
        <f>Calcs_USA!I34</f>
        <v>136.95433257141033</v>
      </c>
      <c r="I24" s="113">
        <f>Calcs_USA!J34</f>
        <v>0.27537906936994438</v>
      </c>
      <c r="J24" s="74" t="str">
        <f>Calcs_USA!K34</f>
        <v>Calculation</v>
      </c>
      <c r="L24" s="118">
        <f t="shared" si="0"/>
        <v>0.31755953074265386</v>
      </c>
      <c r="M24" s="119" t="s">
        <v>244</v>
      </c>
      <c r="O24" s="74">
        <f>Daioglou_2010!N27</f>
        <v>191.7769000000003</v>
      </c>
      <c r="P24" s="74" t="s">
        <v>266</v>
      </c>
      <c r="Q24" s="74">
        <f t="shared" si="4"/>
        <v>0.19177690000000031</v>
      </c>
      <c r="R24" s="74">
        <f t="shared" si="1"/>
        <v>1.8913414962978232</v>
      </c>
      <c r="S24" s="74">
        <f t="shared" si="2"/>
        <v>12.8611221748252</v>
      </c>
      <c r="T24" s="74">
        <f>Daioglou_2010!I7</f>
        <v>80.132534246575347</v>
      </c>
      <c r="U24" s="74" t="s">
        <v>266</v>
      </c>
      <c r="V24" s="113">
        <f t="shared" si="5"/>
        <v>0.16049813344540328</v>
      </c>
      <c r="W24" s="69" t="s">
        <v>230</v>
      </c>
    </row>
    <row r="25" spans="1:23" x14ac:dyDescent="0.25">
      <c r="A25" s="73">
        <v>1982</v>
      </c>
      <c r="B25" s="74">
        <f>Calcs_USA!B35</f>
        <v>19.97</v>
      </c>
      <c r="C25" s="74">
        <f>Calcs_USA!C35</f>
        <v>1188.2938651855595</v>
      </c>
      <c r="D25" s="74" t="str">
        <f>Calcs_USA!D35</f>
        <v>Dahmus (2014)</v>
      </c>
      <c r="E25" s="74">
        <f>Calcs_USA!F35</f>
        <v>0.56548742883240932</v>
      </c>
      <c r="F25" s="74">
        <f>Calcs_USA!G35</f>
        <v>5.5769482131867614</v>
      </c>
      <c r="G25" s="74">
        <f>Calcs_USA!H35</f>
        <v>37.923247849669977</v>
      </c>
      <c r="H25" s="74">
        <f>Calcs_USA!I35</f>
        <v>135.64998461022367</v>
      </c>
      <c r="I25" s="113">
        <f>Calcs_USA!J35</f>
        <v>0.27956691597598438</v>
      </c>
      <c r="J25" s="74" t="str">
        <f>Calcs_USA!K35</f>
        <v>Calculation</v>
      </c>
      <c r="L25" s="118">
        <f t="shared" si="0"/>
        <v>0.32238883968787985</v>
      </c>
      <c r="M25" s="119" t="s">
        <v>244</v>
      </c>
      <c r="O25" s="74">
        <f>Daioglou_2010!N28</f>
        <v>193.85179999999991</v>
      </c>
      <c r="P25" s="74" t="s">
        <v>266</v>
      </c>
      <c r="Q25" s="74">
        <f t="shared" si="4"/>
        <v>0.19385179999999991</v>
      </c>
      <c r="R25" s="74">
        <f t="shared" si="1"/>
        <v>1.9118045680789792</v>
      </c>
      <c r="S25" s="74">
        <f t="shared" si="2"/>
        <v>13.00027106293706</v>
      </c>
      <c r="T25" s="138">
        <f>T24+((T$28-T$24)/(A$28-A$24))</f>
        <v>77.390553652968038</v>
      </c>
      <c r="U25" s="119" t="s">
        <v>268</v>
      </c>
      <c r="V25" s="113">
        <f t="shared" si="5"/>
        <v>0.16798266001859105</v>
      </c>
      <c r="W25" s="69" t="s">
        <v>230</v>
      </c>
    </row>
    <row r="26" spans="1:23" x14ac:dyDescent="0.25">
      <c r="A26" s="73">
        <v>1983</v>
      </c>
      <c r="B26" s="74">
        <f>Calcs_USA!B36</f>
        <v>20.309999999999999</v>
      </c>
      <c r="C26" s="74">
        <f>Calcs_USA!C36</f>
        <v>1160</v>
      </c>
      <c r="D26" s="74" t="str">
        <f>Calcs_USA!D36</f>
        <v>Dahmus (2014)</v>
      </c>
      <c r="E26" s="74">
        <f>Calcs_USA!F36</f>
        <v>0.57511515671438329</v>
      </c>
      <c r="F26" s="74">
        <f>Calcs_USA!G36</f>
        <v>5.6718987586290996</v>
      </c>
      <c r="G26" s="74">
        <f>Calcs_USA!H36</f>
        <v>38.568911558677883</v>
      </c>
      <c r="H26" s="74">
        <f>Calcs_USA!I36</f>
        <v>132.42009132420091</v>
      </c>
      <c r="I26" s="113">
        <f>Calcs_USA!J36</f>
        <v>0.29126178039139505</v>
      </c>
      <c r="J26" s="74" t="str">
        <f>Calcs_USA!K36</f>
        <v>Calculation</v>
      </c>
      <c r="L26" s="118">
        <f t="shared" si="0"/>
        <v>0.33587503406116254</v>
      </c>
      <c r="M26" s="119" t="s">
        <v>244</v>
      </c>
      <c r="O26" s="74">
        <f>Daioglou_2010!N29</f>
        <v>195.92670000000044</v>
      </c>
      <c r="P26" s="74" t="s">
        <v>266</v>
      </c>
      <c r="Q26" s="74">
        <f t="shared" si="4"/>
        <v>0.19592670000000045</v>
      </c>
      <c r="R26" s="74">
        <f t="shared" si="1"/>
        <v>1.9322676398601446</v>
      </c>
      <c r="S26" s="74">
        <f t="shared" si="2"/>
        <v>13.139419951048986</v>
      </c>
      <c r="T26" s="138">
        <f>T25+((T$28-T$24)/(A$28-A$24))</f>
        <v>74.648573059360729</v>
      </c>
      <c r="U26" s="119" t="s">
        <v>268</v>
      </c>
      <c r="V26" s="113">
        <f t="shared" si="5"/>
        <v>0.17601702768786331</v>
      </c>
      <c r="W26" s="69" t="s">
        <v>230</v>
      </c>
    </row>
    <row r="27" spans="1:23" x14ac:dyDescent="0.25">
      <c r="A27" s="73">
        <v>1984</v>
      </c>
      <c r="B27" s="74">
        <f>Calcs_USA!B37</f>
        <v>20.51</v>
      </c>
      <c r="C27" s="74">
        <f>Calcs_USA!C37</f>
        <v>1104.4848484848487</v>
      </c>
      <c r="D27" s="74" t="str">
        <f>Calcs_USA!D37</f>
        <v>Dahmus (2014)</v>
      </c>
      <c r="E27" s="74">
        <f>Calcs_USA!F37</f>
        <v>0.58077852605672087</v>
      </c>
      <c r="F27" s="74">
        <f>Calcs_USA!G37</f>
        <v>5.7277520206540045</v>
      </c>
      <c r="G27" s="74">
        <f>Calcs_USA!H37</f>
        <v>38.948713740447232</v>
      </c>
      <c r="H27" s="74">
        <f>Calcs_USA!I37</f>
        <v>126.08274526082747</v>
      </c>
      <c r="I27" s="113">
        <f>Calcs_USA!J37</f>
        <v>0.30891390935273499</v>
      </c>
      <c r="J27" s="74" t="str">
        <f>Calcs_USA!K37</f>
        <v>Calculation</v>
      </c>
      <c r="L27" s="118">
        <f t="shared" si="0"/>
        <v>0.35623098123753039</v>
      </c>
      <c r="M27" s="119" t="s">
        <v>244</v>
      </c>
      <c r="O27" s="74">
        <f>Daioglou_2010!N30</f>
        <v>198.00160000000005</v>
      </c>
      <c r="P27" s="74" t="s">
        <v>266</v>
      </c>
      <c r="Q27" s="74">
        <f t="shared" si="4"/>
        <v>0.19800160000000006</v>
      </c>
      <c r="R27" s="74">
        <f t="shared" si="1"/>
        <v>1.9527307116413009</v>
      </c>
      <c r="S27" s="74">
        <f t="shared" si="2"/>
        <v>13.278568839160847</v>
      </c>
      <c r="T27" s="138">
        <f>T26+((T$28-T$24)/(A$28-A$24))</f>
        <v>71.90659246575342</v>
      </c>
      <c r="U27" s="119" t="s">
        <v>268</v>
      </c>
      <c r="V27" s="113">
        <f t="shared" si="5"/>
        <v>0.18466413695635714</v>
      </c>
      <c r="W27" s="69" t="s">
        <v>230</v>
      </c>
    </row>
    <row r="28" spans="1:23" x14ac:dyDescent="0.25">
      <c r="A28" s="73">
        <v>1985</v>
      </c>
      <c r="B28" s="74">
        <f>Calcs_USA!B38</f>
        <v>19.47</v>
      </c>
      <c r="C28" s="74">
        <f>Calcs_USA!C38</f>
        <v>1072.7903075489285</v>
      </c>
      <c r="D28" s="74" t="str">
        <f>Calcs_USA!D38</f>
        <v>Dahmus (2014)</v>
      </c>
      <c r="E28" s="74">
        <f>Calcs_USA!F38</f>
        <v>0.55132900547656527</v>
      </c>
      <c r="F28" s="74">
        <f>Calcs_USA!G38</f>
        <v>5.437315058124498</v>
      </c>
      <c r="G28" s="74">
        <f>Calcs_USA!H38</f>
        <v>36.973742395246589</v>
      </c>
      <c r="H28" s="74">
        <f>Calcs_USA!I38</f>
        <v>122.46464698047129</v>
      </c>
      <c r="I28" s="113">
        <f>Calcs_USA!J38</f>
        <v>0.30191359961330372</v>
      </c>
      <c r="J28" s="74" t="str">
        <f>Calcs_USA!K38</f>
        <v>Calculation</v>
      </c>
      <c r="L28" s="118">
        <f t="shared" si="0"/>
        <v>0.34815841754925447</v>
      </c>
      <c r="M28" s="119" t="s">
        <v>244</v>
      </c>
      <c r="O28" s="74">
        <f>Daioglou_2010!N31</f>
        <v>200.07649999999967</v>
      </c>
      <c r="P28" s="74" t="s">
        <v>266</v>
      </c>
      <c r="Q28" s="74">
        <f t="shared" si="4"/>
        <v>0.20007649999999969</v>
      </c>
      <c r="R28" s="74">
        <f t="shared" si="1"/>
        <v>1.9731937834224571</v>
      </c>
      <c r="S28" s="74">
        <f t="shared" si="2"/>
        <v>13.417717727272709</v>
      </c>
      <c r="T28" s="74">
        <f>Daioglou_2010!I8</f>
        <v>69.164611872146125</v>
      </c>
      <c r="U28" s="74" t="s">
        <v>266</v>
      </c>
      <c r="V28" s="113">
        <f t="shared" si="5"/>
        <v>0.19399686290549797</v>
      </c>
      <c r="W28" s="69" t="s">
        <v>230</v>
      </c>
    </row>
    <row r="29" spans="1:23" x14ac:dyDescent="0.25">
      <c r="A29" s="73">
        <v>1986</v>
      </c>
      <c r="B29" s="74">
        <f>Calcs_USA!B39</f>
        <v>20.079999999999998</v>
      </c>
      <c r="C29" s="74">
        <f>Calcs_USA!C39</f>
        <v>1031.372700871249</v>
      </c>
      <c r="D29" s="74" t="str">
        <f>Calcs_USA!D39</f>
        <v>Dahmus (2014)</v>
      </c>
      <c r="E29" s="74">
        <f>Calcs_USA!F39</f>
        <v>0.56860228197069496</v>
      </c>
      <c r="F29" s="74">
        <f>Calcs_USA!G39</f>
        <v>5.6076675073004587</v>
      </c>
      <c r="G29" s="74">
        <f>Calcs_USA!H39</f>
        <v>38.132139049643122</v>
      </c>
      <c r="H29" s="74">
        <f>Calcs_USA!I39</f>
        <v>117.73660968849873</v>
      </c>
      <c r="I29" s="113">
        <f>Calcs_USA!J39</f>
        <v>0.32387665272960647</v>
      </c>
      <c r="J29" s="74" t="str">
        <f>Calcs_USA!K39</f>
        <v>Calculation</v>
      </c>
      <c r="L29" s="113">
        <f>Geller_1988!A16</f>
        <v>0.37348560329814462</v>
      </c>
      <c r="M29" s="69" t="s">
        <v>240</v>
      </c>
      <c r="O29" s="74">
        <f>Daioglou_2010!N32</f>
        <v>202.15140000000019</v>
      </c>
      <c r="P29" s="74" t="s">
        <v>266</v>
      </c>
      <c r="Q29" s="74">
        <f t="shared" si="4"/>
        <v>0.2021514000000002</v>
      </c>
      <c r="R29" s="74">
        <f t="shared" si="1"/>
        <v>1.9936568552036222</v>
      </c>
      <c r="S29" s="74">
        <f t="shared" si="2"/>
        <v>13.556866615384633</v>
      </c>
      <c r="T29" s="138">
        <f>T28+((T$33-T$28)/(A$33-A$28))</f>
        <v>68.940776255707775</v>
      </c>
      <c r="U29" s="119" t="s">
        <v>268</v>
      </c>
      <c r="V29" s="113">
        <f t="shared" si="5"/>
        <v>0.19664511123432887</v>
      </c>
      <c r="W29" s="69" t="s">
        <v>230</v>
      </c>
    </row>
    <row r="30" spans="1:23" x14ac:dyDescent="0.25">
      <c r="A30" s="73">
        <v>1987</v>
      </c>
      <c r="B30" s="74">
        <f>Calcs_USA!B40</f>
        <v>19.89</v>
      </c>
      <c r="C30" s="74">
        <f>Calcs_USA!C40</f>
        <v>978.97446373850869</v>
      </c>
      <c r="D30" s="74" t="str">
        <f>Calcs_USA!D40</f>
        <v>Dahmus (2014)</v>
      </c>
      <c r="E30" s="74">
        <f>Calcs_USA!F40</f>
        <v>0.56322208109547434</v>
      </c>
      <c r="F30" s="74">
        <f>Calcs_USA!G40</f>
        <v>5.5546069083767993</v>
      </c>
      <c r="G30" s="74">
        <f>Calcs_USA!H40</f>
        <v>37.771326976962236</v>
      </c>
      <c r="H30" s="74">
        <f>Calcs_USA!I40</f>
        <v>111.75507576923616</v>
      </c>
      <c r="I30" s="113">
        <f>Calcs_USA!J40</f>
        <v>0.33798310024822958</v>
      </c>
      <c r="J30" s="74" t="str">
        <f>Calcs_USA!K40</f>
        <v>Calculation</v>
      </c>
      <c r="L30" s="118">
        <f t="shared" ref="L30:L63" si="6">I30*L$29/I$29</f>
        <v>0.38975276864483943</v>
      </c>
      <c r="M30" s="119" t="s">
        <v>244</v>
      </c>
      <c r="O30" s="74">
        <f>Daioglou_2010!N33</f>
        <v>204.22629999999981</v>
      </c>
      <c r="P30" s="74" t="s">
        <v>266</v>
      </c>
      <c r="Q30" s="74">
        <f t="shared" si="4"/>
        <v>0.20422629999999981</v>
      </c>
      <c r="R30" s="74">
        <f t="shared" si="1"/>
        <v>2.0141199269847783</v>
      </c>
      <c r="S30" s="74">
        <f t="shared" si="2"/>
        <v>13.696015503496493</v>
      </c>
      <c r="T30" s="138">
        <f>T29+((T$33-T$28)/(A$33-A$28))</f>
        <v>68.716940639269424</v>
      </c>
      <c r="U30" s="119" t="s">
        <v>268</v>
      </c>
      <c r="V30" s="113">
        <f t="shared" si="5"/>
        <v>0.1993106121443026</v>
      </c>
      <c r="W30" s="69" t="s">
        <v>230</v>
      </c>
    </row>
    <row r="31" spans="1:23" x14ac:dyDescent="0.25">
      <c r="A31" s="73">
        <v>1988</v>
      </c>
      <c r="B31" s="74">
        <f>Calcs_USA!B41</f>
        <v>20.079999999999998</v>
      </c>
      <c r="C31" s="74">
        <f>Calcs_USA!C41</f>
        <v>961.99584199584206</v>
      </c>
      <c r="D31" s="74" t="str">
        <f>Calcs_USA!D41</f>
        <v>Dahmus (2014)</v>
      </c>
      <c r="E31" s="74">
        <f>Calcs_USA!F41</f>
        <v>0.56860228197069496</v>
      </c>
      <c r="F31" s="74">
        <f>Calcs_USA!G41</f>
        <v>5.6076675073004587</v>
      </c>
      <c r="G31" s="74">
        <f>Calcs_USA!H41</f>
        <v>38.132139049643122</v>
      </c>
      <c r="H31" s="74">
        <f>Calcs_USA!I41</f>
        <v>109.81687694016462</v>
      </c>
      <c r="I31" s="113">
        <f>Calcs_USA!J41</f>
        <v>0.34723386889266566</v>
      </c>
      <c r="J31" s="74" t="str">
        <f>Calcs_USA!K41</f>
        <v>Calculation</v>
      </c>
      <c r="L31" s="118">
        <f t="shared" si="6"/>
        <v>0.40042049933496499</v>
      </c>
      <c r="M31" s="119" t="s">
        <v>244</v>
      </c>
      <c r="O31" s="74">
        <f>Daioglou_2010!N34</f>
        <v>206.30120000000034</v>
      </c>
      <c r="P31" s="74" t="s">
        <v>266</v>
      </c>
      <c r="Q31" s="74">
        <f t="shared" si="4"/>
        <v>0.20630120000000035</v>
      </c>
      <c r="R31" s="74">
        <f t="shared" si="1"/>
        <v>2.0345829987659436</v>
      </c>
      <c r="S31" s="74">
        <f t="shared" si="2"/>
        <v>13.835164391608416</v>
      </c>
      <c r="T31" s="138">
        <f>T30+((T$33-T$28)/(A$33-A$28))</f>
        <v>68.493105022831074</v>
      </c>
      <c r="U31" s="119" t="s">
        <v>268</v>
      </c>
      <c r="V31" s="113">
        <f t="shared" si="5"/>
        <v>0.20199353477983931</v>
      </c>
      <c r="W31" s="69" t="s">
        <v>230</v>
      </c>
    </row>
    <row r="32" spans="1:23" x14ac:dyDescent="0.25">
      <c r="A32" s="73">
        <v>1989</v>
      </c>
      <c r="B32" s="74">
        <f>Calcs_USA!B42</f>
        <v>19.91</v>
      </c>
      <c r="C32" s="74">
        <f>Calcs_USA!C42</f>
        <v>934.99893048128331</v>
      </c>
      <c r="D32" s="74" t="str">
        <f>Calcs_USA!D42</f>
        <v>Dahmus (2014)</v>
      </c>
      <c r="E32" s="74">
        <f>Calcs_USA!F42</f>
        <v>0.56378841802970803</v>
      </c>
      <c r="F32" s="74">
        <f>Calcs_USA!G42</f>
        <v>5.5601922345792891</v>
      </c>
      <c r="G32" s="74">
        <f>Calcs_USA!H42</f>
        <v>37.809307195139169</v>
      </c>
      <c r="H32" s="74">
        <f>Calcs_USA!I42</f>
        <v>106.73503772617389</v>
      </c>
      <c r="I32" s="113">
        <f>Calcs_USA!J42</f>
        <v>0.35423519774395001</v>
      </c>
      <c r="J32" s="74" t="str">
        <f>Calcs_USA!K42</f>
        <v>Calculation</v>
      </c>
      <c r="L32" s="118">
        <f t="shared" si="6"/>
        <v>0.40849423823485947</v>
      </c>
      <c r="M32" s="119" t="s">
        <v>244</v>
      </c>
      <c r="O32" s="74">
        <f>Daioglou_2010!N35</f>
        <v>208.37609999999995</v>
      </c>
      <c r="P32" s="74" t="s">
        <v>266</v>
      </c>
      <c r="Q32" s="74">
        <f t="shared" si="4"/>
        <v>0.20837609999999995</v>
      </c>
      <c r="R32" s="74">
        <f t="shared" si="1"/>
        <v>2.0550460705471001</v>
      </c>
      <c r="S32" s="74">
        <f t="shared" si="2"/>
        <v>13.974313279720281</v>
      </c>
      <c r="T32" s="138">
        <f>T31+((T$33-T$28)/(A$33-A$28))</f>
        <v>68.269269406392723</v>
      </c>
      <c r="U32" s="119" t="s">
        <v>268</v>
      </c>
      <c r="V32" s="113">
        <f t="shared" si="5"/>
        <v>0.20469405050366232</v>
      </c>
      <c r="W32" s="69" t="s">
        <v>230</v>
      </c>
    </row>
    <row r="33" spans="1:23" x14ac:dyDescent="0.25">
      <c r="A33" s="73">
        <v>1990</v>
      </c>
      <c r="B33" s="74">
        <f>Calcs_USA!B43</f>
        <v>20.45</v>
      </c>
      <c r="C33" s="74">
        <f>Calcs_USA!C43</f>
        <v>893.4586129753917</v>
      </c>
      <c r="D33" s="74" t="str">
        <f>Calcs_USA!D43</f>
        <v>Dahmus (2014)</v>
      </c>
      <c r="E33" s="74">
        <f>Calcs_USA!F43</f>
        <v>0.57907951525401957</v>
      </c>
      <c r="F33" s="74">
        <f>Calcs_USA!G43</f>
        <v>5.7109960420465331</v>
      </c>
      <c r="G33" s="74">
        <f>Calcs_USA!H43</f>
        <v>38.834773085916432</v>
      </c>
      <c r="H33" s="74">
        <f>Calcs_USA!I43</f>
        <v>101.992992348789</v>
      </c>
      <c r="I33" s="113">
        <f>Calcs_USA!J43</f>
        <v>0.38075922856652544</v>
      </c>
      <c r="J33" s="74" t="str">
        <f>Calcs_USA!K43</f>
        <v>Calculation</v>
      </c>
      <c r="L33" s="118">
        <f t="shared" si="6"/>
        <v>0.43908101739963806</v>
      </c>
      <c r="M33" s="119" t="s">
        <v>244</v>
      </c>
      <c r="O33" s="74">
        <f>Daioglou_2010!N36</f>
        <v>210.45100000000048</v>
      </c>
      <c r="P33" s="74" t="s">
        <v>266</v>
      </c>
      <c r="Q33" s="74">
        <f t="shared" si="4"/>
        <v>0.21045100000000047</v>
      </c>
      <c r="R33" s="74">
        <f t="shared" si="1"/>
        <v>2.075509142328265</v>
      </c>
      <c r="S33" s="74">
        <f t="shared" si="2"/>
        <v>14.113462167832203</v>
      </c>
      <c r="T33" s="74">
        <f>Daioglou_2010!I9</f>
        <v>68.045433789954345</v>
      </c>
      <c r="U33" s="74" t="s">
        <v>266</v>
      </c>
      <c r="V33" s="113">
        <f t="shared" si="5"/>
        <v>0.20741233293329076</v>
      </c>
      <c r="W33" s="69" t="s">
        <v>230</v>
      </c>
    </row>
    <row r="34" spans="1:23" x14ac:dyDescent="0.25">
      <c r="A34" s="73">
        <v>1991</v>
      </c>
      <c r="B34" s="74">
        <f>Calcs_USA!B44</f>
        <v>19.82</v>
      </c>
      <c r="C34" s="74">
        <f>Calcs_USA!C44</f>
        <v>848.41484973482613</v>
      </c>
      <c r="D34" s="74" t="str">
        <f>Calcs_USA!D44</f>
        <v>Dahmus (2014)</v>
      </c>
      <c r="E34" s="74">
        <f>Calcs_USA!F44</f>
        <v>0.5612399018256562</v>
      </c>
      <c r="F34" s="74">
        <f>Calcs_USA!G44</f>
        <v>5.5350582666680834</v>
      </c>
      <c r="G34" s="74">
        <f>Calcs_USA!H44</f>
        <v>37.638396213342972</v>
      </c>
      <c r="H34" s="74">
        <f>Calcs_USA!I44</f>
        <v>96.851010243701609</v>
      </c>
      <c r="I34" s="113">
        <f>Calcs_USA!J44</f>
        <v>0.38862161704493592</v>
      </c>
      <c r="J34" s="74" t="str">
        <f>Calcs_USA!K44</f>
        <v>Calculation</v>
      </c>
      <c r="L34" s="118">
        <f t="shared" si="6"/>
        <v>0.44814770646004132</v>
      </c>
      <c r="M34" s="119" t="s">
        <v>244</v>
      </c>
      <c r="O34" s="74">
        <f>Daioglou_2010!N37</f>
        <v>212.52590000000009</v>
      </c>
      <c r="P34" s="74" t="s">
        <v>266</v>
      </c>
      <c r="Q34" s="74">
        <f t="shared" si="4"/>
        <v>0.2125259000000001</v>
      </c>
      <c r="R34" s="74">
        <f t="shared" si="1"/>
        <v>2.0959722141094215</v>
      </c>
      <c r="S34" s="74">
        <f t="shared" si="2"/>
        <v>14.252611055944067</v>
      </c>
      <c r="T34" s="138">
        <f>T33+((T$38-T$33)/(A$38-A$33))</f>
        <v>65.269908675799087</v>
      </c>
      <c r="U34" s="119" t="s">
        <v>268</v>
      </c>
      <c r="V34" s="113">
        <f t="shared" si="5"/>
        <v>0.21836419485030903</v>
      </c>
      <c r="W34" s="69" t="s">
        <v>230</v>
      </c>
    </row>
    <row r="35" spans="1:23" x14ac:dyDescent="0.25">
      <c r="A35" s="73">
        <v>1992</v>
      </c>
      <c r="B35" s="74">
        <f>Calcs_USA!B45</f>
        <v>19.78</v>
      </c>
      <c r="C35" s="74">
        <f>Calcs_USA!C45</f>
        <v>729.28368314150305</v>
      </c>
      <c r="D35" s="74" t="str">
        <f>Calcs_USA!D45</f>
        <v>Dahmus (2014)</v>
      </c>
      <c r="E35" s="74">
        <f>Calcs_USA!F45</f>
        <v>0.5601072279571887</v>
      </c>
      <c r="F35" s="74">
        <f>Calcs_USA!G45</f>
        <v>5.5238876142631019</v>
      </c>
      <c r="G35" s="74">
        <f>Calcs_USA!H45</f>
        <v>37.562435776989098</v>
      </c>
      <c r="H35" s="74">
        <f>Calcs_USA!I45</f>
        <v>83.251562002454691</v>
      </c>
      <c r="I35" s="113">
        <f>Calcs_USA!J45</f>
        <v>0.45119196413253559</v>
      </c>
      <c r="J35" s="74" t="str">
        <f>Calcs_USA!K45</f>
        <v>Calculation</v>
      </c>
      <c r="L35" s="118">
        <f t="shared" si="6"/>
        <v>0.52030210114589892</v>
      </c>
      <c r="M35" s="119" t="s">
        <v>244</v>
      </c>
      <c r="O35" s="74">
        <f>Daioglou_2010!N38</f>
        <v>214.60079999999971</v>
      </c>
      <c r="P35" s="74" t="s">
        <v>266</v>
      </c>
      <c r="Q35" s="74">
        <f t="shared" si="4"/>
        <v>0.2146007999999997</v>
      </c>
      <c r="R35" s="74">
        <f t="shared" ref="R35:R63" si="7">Q35*internalvol_to_internalarea</f>
        <v>2.1164352858905775</v>
      </c>
      <c r="S35" s="74">
        <f t="shared" ref="S35:S63" si="8">heat_transfer_coefficient*R35*ABS(temp_diff)</f>
        <v>14.391759944055929</v>
      </c>
      <c r="T35" s="138">
        <f>T34+((T$38-T$33)/(A$38-A$33))</f>
        <v>62.494383561643836</v>
      </c>
      <c r="U35" s="119" t="s">
        <v>268</v>
      </c>
      <c r="V35" s="113">
        <f t="shared" si="5"/>
        <v>0.23028885355529655</v>
      </c>
      <c r="W35" s="69" t="s">
        <v>230</v>
      </c>
    </row>
    <row r="36" spans="1:23" x14ac:dyDescent="0.25">
      <c r="A36" s="73">
        <v>1993</v>
      </c>
      <c r="B36" s="74">
        <f>Calcs_USA!B46</f>
        <v>20.11</v>
      </c>
      <c r="C36" s="74">
        <f>Calcs_USA!C46</f>
        <v>651.90184049079767</v>
      </c>
      <c r="D36" s="74" t="str">
        <f>Calcs_USA!D46</f>
        <v>Dahmus (2014)</v>
      </c>
      <c r="E36" s="74">
        <f>Calcs_USA!F46</f>
        <v>0.56945178737204571</v>
      </c>
      <c r="F36" s="74">
        <f>Calcs_USA!G46</f>
        <v>5.6160454966041948</v>
      </c>
      <c r="G36" s="74">
        <f>Calcs_USA!H46</f>
        <v>38.189109376908526</v>
      </c>
      <c r="H36" s="74">
        <f>Calcs_USA!I46</f>
        <v>74.418018320867304</v>
      </c>
      <c r="I36" s="113">
        <f>Calcs_USA!J46</f>
        <v>0.51317020042443195</v>
      </c>
      <c r="J36" s="74" t="str">
        <f>Calcs_USA!K46</f>
        <v>Calculation</v>
      </c>
      <c r="L36" s="118">
        <f t="shared" si="6"/>
        <v>0.59177369002933511</v>
      </c>
      <c r="M36" s="119" t="s">
        <v>244</v>
      </c>
      <c r="O36" s="74">
        <f>Daioglou_2010!N39</f>
        <v>216.67570000000023</v>
      </c>
      <c r="P36" s="74" t="s">
        <v>266</v>
      </c>
      <c r="Q36" s="74">
        <f t="shared" si="4"/>
        <v>0.21667570000000025</v>
      </c>
      <c r="R36" s="74">
        <f t="shared" si="7"/>
        <v>2.1368983576717429</v>
      </c>
      <c r="S36" s="74">
        <f t="shared" si="8"/>
        <v>14.530908832167853</v>
      </c>
      <c r="T36" s="138">
        <f>T35+((T$38-T$33)/(A$38-A$33))</f>
        <v>59.718858447488586</v>
      </c>
      <c r="U36" s="119" t="s">
        <v>268</v>
      </c>
      <c r="V36" s="113">
        <f t="shared" si="5"/>
        <v>0.24332194569568058</v>
      </c>
      <c r="W36" s="69" t="s">
        <v>230</v>
      </c>
    </row>
    <row r="37" spans="1:23" x14ac:dyDescent="0.25">
      <c r="A37" s="73">
        <v>1994</v>
      </c>
      <c r="B37" s="74">
        <f>Calcs_USA!B47</f>
        <v>20.03</v>
      </c>
      <c r="C37" s="74">
        <f>Calcs_USA!C47</f>
        <v>646.43464810518196</v>
      </c>
      <c r="D37" s="74" t="str">
        <f>Calcs_USA!D47</f>
        <v>Dahmus (2014)</v>
      </c>
      <c r="E37" s="74">
        <f>Calcs_USA!F47</f>
        <v>0.56718643963511062</v>
      </c>
      <c r="F37" s="74">
        <f>Calcs_USA!G47</f>
        <v>5.5937041917942327</v>
      </c>
      <c r="G37" s="74">
        <f>Calcs_USA!H47</f>
        <v>38.037188504200785</v>
      </c>
      <c r="H37" s="74">
        <f>Calcs_USA!I47</f>
        <v>73.793909601048171</v>
      </c>
      <c r="I37" s="113">
        <f>Calcs_USA!J47</f>
        <v>0.5154515963423153</v>
      </c>
      <c r="J37" s="74" t="str">
        <f>Calcs_USA!K47</f>
        <v>Calculation</v>
      </c>
      <c r="L37" s="118">
        <f t="shared" si="6"/>
        <v>0.59440453273927252</v>
      </c>
      <c r="M37" s="119" t="s">
        <v>244</v>
      </c>
      <c r="O37" s="74">
        <f>Daioglou_2010!N40</f>
        <v>218.75059999999985</v>
      </c>
      <c r="P37" s="74" t="s">
        <v>266</v>
      </c>
      <c r="Q37" s="74">
        <f t="shared" si="4"/>
        <v>0.21875059999999985</v>
      </c>
      <c r="R37" s="74">
        <f t="shared" si="7"/>
        <v>2.1573614294528989</v>
      </c>
      <c r="S37" s="74">
        <f t="shared" si="8"/>
        <v>14.670057720279715</v>
      </c>
      <c r="T37" s="138">
        <f>T36+((T$38-T$33)/(A$38-A$33))</f>
        <v>56.943333333333335</v>
      </c>
      <c r="U37" s="119" t="s">
        <v>268</v>
      </c>
      <c r="V37" s="113">
        <f t="shared" si="5"/>
        <v>0.25762555265959808</v>
      </c>
      <c r="W37" s="69" t="s">
        <v>230</v>
      </c>
    </row>
    <row r="38" spans="1:23" x14ac:dyDescent="0.25">
      <c r="A38" s="73">
        <v>1995</v>
      </c>
      <c r="B38" s="74">
        <f>Calcs_USA!B48</f>
        <v>19.95</v>
      </c>
      <c r="C38" s="74">
        <f>Calcs_USA!C48</f>
        <v>652.48122605363983</v>
      </c>
      <c r="D38" s="74" t="str">
        <f>Calcs_USA!D48</f>
        <v>Dahmus (2014)</v>
      </c>
      <c r="E38" s="74">
        <f>Calcs_USA!F48</f>
        <v>0.56492109189817563</v>
      </c>
      <c r="F38" s="74">
        <f>Calcs_USA!G48</f>
        <v>5.5713628869842715</v>
      </c>
      <c r="G38" s="74">
        <f>Calcs_USA!H48</f>
        <v>37.885267631493051</v>
      </c>
      <c r="H38" s="74">
        <f>Calcs_USA!I48</f>
        <v>74.484158225301357</v>
      </c>
      <c r="I38" s="113">
        <f>Calcs_USA!J48</f>
        <v>0.50863523914570985</v>
      </c>
      <c r="J38" s="74" t="str">
        <f>Calcs_USA!K48</f>
        <v>Calculation</v>
      </c>
      <c r="L38" s="118">
        <f t="shared" si="6"/>
        <v>0.58654409803854934</v>
      </c>
      <c r="M38" s="119" t="s">
        <v>244</v>
      </c>
      <c r="O38" s="74">
        <f>Daioglou_2010!N41</f>
        <v>220.82550000000037</v>
      </c>
      <c r="P38" s="74" t="s">
        <v>266</v>
      </c>
      <c r="Q38" s="74">
        <f t="shared" si="4"/>
        <v>0.22082550000000037</v>
      </c>
      <c r="R38" s="74">
        <f t="shared" si="7"/>
        <v>2.1778245012340642</v>
      </c>
      <c r="S38" s="74">
        <f t="shared" si="8"/>
        <v>14.809206608391639</v>
      </c>
      <c r="T38" s="74">
        <f>Daioglou_2010!I10</f>
        <v>54.167808219178085</v>
      </c>
      <c r="U38" s="74" t="s">
        <v>266</v>
      </c>
      <c r="V38" s="113">
        <f t="shared" si="5"/>
        <v>0.27339497563699555</v>
      </c>
      <c r="W38" s="69" t="s">
        <v>230</v>
      </c>
    </row>
    <row r="39" spans="1:23" x14ac:dyDescent="0.25">
      <c r="A39" s="73">
        <v>1996</v>
      </c>
      <c r="B39" s="74">
        <f>Calcs_USA!B49</f>
        <v>20.309999999999999</v>
      </c>
      <c r="C39" s="74">
        <f>Calcs_USA!C49</f>
        <v>646.17478731631854</v>
      </c>
      <c r="D39" s="74" t="str">
        <f>Calcs_USA!D49</f>
        <v>Dahmus (2014)</v>
      </c>
      <c r="E39" s="74">
        <f>Calcs_USA!F49</f>
        <v>0.57511515671438329</v>
      </c>
      <c r="F39" s="74">
        <f>Calcs_USA!G49</f>
        <v>5.6718987586290996</v>
      </c>
      <c r="G39" s="74">
        <f>Calcs_USA!H49</f>
        <v>38.568911558677883</v>
      </c>
      <c r="H39" s="74">
        <f>Calcs_USA!I49</f>
        <v>73.764245127433625</v>
      </c>
      <c r="I39" s="113">
        <f>Calcs_USA!J49</f>
        <v>0.5228672982696021</v>
      </c>
      <c r="J39" s="74" t="str">
        <f>Calcs_USA!K49</f>
        <v>Calculation</v>
      </c>
      <c r="L39" s="118">
        <f t="shared" si="6"/>
        <v>0.60295611521627246</v>
      </c>
      <c r="M39" s="119" t="s">
        <v>244</v>
      </c>
      <c r="O39" s="74">
        <f>Daioglou_2010!N42</f>
        <v>222.90039999999999</v>
      </c>
      <c r="P39" s="74" t="s">
        <v>266</v>
      </c>
      <c r="Q39" s="74">
        <f t="shared" si="4"/>
        <v>0.2229004</v>
      </c>
      <c r="R39" s="74">
        <f t="shared" si="7"/>
        <v>2.1982875730152207</v>
      </c>
      <c r="S39" s="74">
        <f t="shared" si="8"/>
        <v>14.948355496503503</v>
      </c>
      <c r="T39" s="138">
        <f>T38+((T$43-T$38)/(A$43-A$38))</f>
        <v>53.138173515981734</v>
      </c>
      <c r="U39" s="119" t="s">
        <v>268</v>
      </c>
      <c r="V39" s="113">
        <f t="shared" si="5"/>
        <v>0.28131105206330931</v>
      </c>
      <c r="W39" s="69" t="s">
        <v>230</v>
      </c>
    </row>
    <row r="40" spans="1:23" x14ac:dyDescent="0.25">
      <c r="A40" s="73">
        <v>1997</v>
      </c>
      <c r="B40" s="74">
        <f>Calcs_USA!B50</f>
        <v>20.43</v>
      </c>
      <c r="C40" s="74">
        <f>Calcs_USA!C50</f>
        <v>645.71693735498843</v>
      </c>
      <c r="D40" s="74" t="str">
        <f>Calcs_USA!D50</f>
        <v>Dahmus (2014)</v>
      </c>
      <c r="E40" s="74">
        <f>Calcs_USA!F50</f>
        <v>0.57851317831978588</v>
      </c>
      <c r="F40" s="74">
        <f>Calcs_USA!G50</f>
        <v>5.7054107158440432</v>
      </c>
      <c r="G40" s="74">
        <f>Calcs_USA!H50</f>
        <v>38.796792867739498</v>
      </c>
      <c r="H40" s="74">
        <f>Calcs_USA!I50</f>
        <v>73.711979150112839</v>
      </c>
      <c r="I40" s="113">
        <f>Calcs_USA!J50</f>
        <v>0.5263295507061434</v>
      </c>
      <c r="J40" s="74" t="str">
        <f>Calcs_USA!K50</f>
        <v>Calculation</v>
      </c>
      <c r="L40" s="118">
        <f t="shared" si="6"/>
        <v>0.60694868902217647</v>
      </c>
      <c r="M40" s="119" t="s">
        <v>244</v>
      </c>
      <c r="O40" s="74">
        <f>Daioglou_2010!N43</f>
        <v>224.97529999999961</v>
      </c>
      <c r="P40" s="74" t="s">
        <v>266</v>
      </c>
      <c r="Q40" s="74">
        <f t="shared" si="4"/>
        <v>0.2249752999999996</v>
      </c>
      <c r="R40" s="74">
        <f t="shared" si="7"/>
        <v>2.2187506447963767</v>
      </c>
      <c r="S40" s="74">
        <f t="shared" si="8"/>
        <v>15.087504384615363</v>
      </c>
      <c r="T40" s="138">
        <f>T39+((T$43-T$38)/(A$43-A$38))</f>
        <v>52.108538812785383</v>
      </c>
      <c r="U40" s="119" t="s">
        <v>268</v>
      </c>
      <c r="V40" s="113">
        <f t="shared" si="5"/>
        <v>0.2895399627078678</v>
      </c>
      <c r="W40" s="69" t="s">
        <v>230</v>
      </c>
    </row>
    <row r="41" spans="1:23" x14ac:dyDescent="0.25">
      <c r="A41" s="73">
        <v>1998</v>
      </c>
      <c r="B41" s="74">
        <f>Calcs_USA!B51</f>
        <v>20.852272727272727</v>
      </c>
      <c r="C41" s="74">
        <f>Calcs_USA!C51</f>
        <v>616</v>
      </c>
      <c r="D41" s="74" t="str">
        <f>Calcs_USA!D51</f>
        <v>Dahmus (2014)</v>
      </c>
      <c r="E41" s="74">
        <f>Calcs_USA!F51</f>
        <v>0.59047061040849402</v>
      </c>
      <c r="F41" s="74">
        <f>Calcs_USA!G51</f>
        <v>5.8233372622557162</v>
      </c>
      <c r="G41" s="74">
        <f>Calcs_USA!H51</f>
        <v>39.598693383338876</v>
      </c>
      <c r="H41" s="74">
        <f>Calcs_USA!I51</f>
        <v>70.319634703196343</v>
      </c>
      <c r="I41" s="113">
        <f>Calcs_USA!J51</f>
        <v>0.56312427603579318</v>
      </c>
      <c r="J41" s="74" t="str">
        <f>Calcs_USA!K51</f>
        <v>Calculation</v>
      </c>
      <c r="L41" s="118">
        <f t="shared" si="6"/>
        <v>0.64937934918898621</v>
      </c>
      <c r="M41" s="119" t="s">
        <v>244</v>
      </c>
      <c r="O41" s="74">
        <f>Daioglou_2010!N44</f>
        <v>227.05020000000013</v>
      </c>
      <c r="P41" s="74" t="s">
        <v>266</v>
      </c>
      <c r="Q41" s="74">
        <f t="shared" si="4"/>
        <v>0.22705020000000015</v>
      </c>
      <c r="R41" s="74">
        <f t="shared" si="7"/>
        <v>2.2392137165775421</v>
      </c>
      <c r="S41" s="74">
        <f t="shared" si="8"/>
        <v>15.226653272727287</v>
      </c>
      <c r="T41" s="138">
        <f>T40+((T$43-T$38)/(A$43-A$38))</f>
        <v>51.078904109589033</v>
      </c>
      <c r="U41" s="119" t="s">
        <v>268</v>
      </c>
      <c r="V41" s="113">
        <f t="shared" si="5"/>
        <v>0.29810062565278861</v>
      </c>
      <c r="W41" s="69" t="s">
        <v>230</v>
      </c>
    </row>
    <row r="42" spans="1:23" x14ac:dyDescent="0.25">
      <c r="A42" s="73">
        <v>1999</v>
      </c>
      <c r="B42" s="74">
        <f>Calcs_USA!B52</f>
        <v>20.988636363636363</v>
      </c>
      <c r="C42" s="74">
        <f>Calcs_USA!C52</f>
        <v>637.25429017160684</v>
      </c>
      <c r="D42" s="74" t="str">
        <f>Calcs_USA!D52</f>
        <v>Dahmus (2014)</v>
      </c>
      <c r="E42" s="74">
        <f>Calcs_USA!F52</f>
        <v>0.59433199859645158</v>
      </c>
      <c r="F42" s="74">
        <f>Calcs_USA!G52</f>
        <v>5.8614190318181532</v>
      </c>
      <c r="G42" s="74">
        <f>Calcs_USA!H52</f>
        <v>39.857649416363444</v>
      </c>
      <c r="H42" s="74">
        <f>Calcs_USA!I52</f>
        <v>72.745923535571563</v>
      </c>
      <c r="I42" s="113">
        <f>Calcs_USA!J52</f>
        <v>0.54790217072264824</v>
      </c>
      <c r="J42" s="74" t="str">
        <f>Calcs_USA!K52</f>
        <v>Calculation</v>
      </c>
      <c r="L42" s="118">
        <f t="shared" si="6"/>
        <v>0.63182563811276904</v>
      </c>
      <c r="M42" s="119" t="s">
        <v>244</v>
      </c>
      <c r="O42" s="74">
        <f>Daioglou_2010!N45</f>
        <v>229.12509999999975</v>
      </c>
      <c r="P42" s="74" t="s">
        <v>266</v>
      </c>
      <c r="Q42" s="74">
        <f t="shared" si="4"/>
        <v>0.22912509999999975</v>
      </c>
      <c r="R42" s="74">
        <f t="shared" si="7"/>
        <v>2.2596767883586981</v>
      </c>
      <c r="S42" s="74">
        <f t="shared" si="8"/>
        <v>15.365802160839149</v>
      </c>
      <c r="T42" s="138">
        <f>T41+((T$43-T$38)/(A$43-A$38))</f>
        <v>50.049269406392682</v>
      </c>
      <c r="U42" s="119" t="s">
        <v>268</v>
      </c>
      <c r="V42" s="113">
        <f t="shared" si="5"/>
        <v>0.30701351574327895</v>
      </c>
      <c r="W42" s="69" t="s">
        <v>230</v>
      </c>
    </row>
    <row r="43" spans="1:23" x14ac:dyDescent="0.25">
      <c r="A43" s="73">
        <v>2000</v>
      </c>
      <c r="B43" s="74">
        <f>Calcs_USA!B53</f>
        <v>22.113636363636363</v>
      </c>
      <c r="C43" s="74">
        <f>Calcs_USA!C53</f>
        <v>565.11564625850349</v>
      </c>
      <c r="D43" s="74" t="str">
        <f>Calcs_USA!D53</f>
        <v>Dahmus (2014)</v>
      </c>
      <c r="E43" s="74">
        <f>Calcs_USA!F53</f>
        <v>0.62618845114710053</v>
      </c>
      <c r="F43" s="74">
        <f>Calcs_USA!G53</f>
        <v>6.1755936307082431</v>
      </c>
      <c r="G43" s="74">
        <f>Calcs_USA!H53</f>
        <v>41.994036688816053</v>
      </c>
      <c r="H43" s="74">
        <f>Calcs_USA!I53</f>
        <v>64.510918522660219</v>
      </c>
      <c r="I43" s="113">
        <f>Calcs_USA!J53</f>
        <v>0.65096014210470676</v>
      </c>
      <c r="J43" s="74" t="str">
        <f>Calcs_USA!K53</f>
        <v>Calculation</v>
      </c>
      <c r="L43" s="118">
        <f t="shared" si="6"/>
        <v>0.75066924197218521</v>
      </c>
      <c r="M43" s="119" t="s">
        <v>244</v>
      </c>
      <c r="O43" s="74">
        <f>Daioglou_2010!N46</f>
        <v>231.20000000000027</v>
      </c>
      <c r="P43" s="74" t="s">
        <v>266</v>
      </c>
      <c r="Q43" s="74">
        <f t="shared" si="4"/>
        <v>0.23120000000000027</v>
      </c>
      <c r="R43" s="74">
        <f t="shared" si="7"/>
        <v>2.280139860139863</v>
      </c>
      <c r="S43" s="74">
        <f t="shared" si="8"/>
        <v>15.504951048951071</v>
      </c>
      <c r="T43" s="74">
        <f>Daioglou_2010!I11</f>
        <v>49.019634703196346</v>
      </c>
      <c r="U43" s="74" t="s">
        <v>266</v>
      </c>
      <c r="V43" s="113">
        <f t="shared" si="5"/>
        <v>0.31630082808307963</v>
      </c>
      <c r="W43" s="69" t="s">
        <v>230</v>
      </c>
    </row>
    <row r="44" spans="1:23" x14ac:dyDescent="0.25">
      <c r="A44" s="73">
        <v>2001</v>
      </c>
      <c r="B44" s="74">
        <f>Calcs_USA!B54</f>
        <v>22.164772727272727</v>
      </c>
      <c r="C44" s="74">
        <f>Calcs_USA!C54</f>
        <v>565</v>
      </c>
      <c r="D44" s="74" t="str">
        <f>Calcs_USA!D54</f>
        <v>Dahmus (2014)</v>
      </c>
      <c r="E44" s="74">
        <f>Calcs_USA!F54</f>
        <v>0.62763647171758452</v>
      </c>
      <c r="F44" s="74">
        <f>Calcs_USA!G54</f>
        <v>6.1898742942941558</v>
      </c>
      <c r="G44" s="74">
        <f>Calcs_USA!H54</f>
        <v>42.091145201200263</v>
      </c>
      <c r="H44" s="74">
        <f>Calcs_USA!I54</f>
        <v>64.497716894977174</v>
      </c>
      <c r="I44" s="113">
        <f>Calcs_USA!J54</f>
        <v>0.65259899462391902</v>
      </c>
      <c r="J44" s="74" t="str">
        <f>Calcs_USA!K54</f>
        <v>Calculation</v>
      </c>
      <c r="L44" s="118">
        <f t="shared" si="6"/>
        <v>0.75255912139602155</v>
      </c>
      <c r="M44" s="119" t="s">
        <v>244</v>
      </c>
      <c r="O44" s="74">
        <f>Daioglou_2010!N47</f>
        <v>233.27489999999989</v>
      </c>
      <c r="P44" s="74" t="s">
        <v>266</v>
      </c>
      <c r="Q44" s="74">
        <f t="shared" si="4"/>
        <v>0.2332748999999999</v>
      </c>
      <c r="R44" s="74">
        <f t="shared" si="7"/>
        <v>2.3006029319210195</v>
      </c>
      <c r="S44" s="74">
        <f t="shared" si="8"/>
        <v>15.644099937062935</v>
      </c>
      <c r="T44" s="138" t="s">
        <v>190</v>
      </c>
      <c r="U44" s="138" t="s">
        <v>190</v>
      </c>
      <c r="V44" s="118">
        <f>I44*V$43/I$43</f>
        <v>0.31709714474734862</v>
      </c>
      <c r="W44" s="119" t="s">
        <v>244</v>
      </c>
    </row>
    <row r="45" spans="1:23" x14ac:dyDescent="0.25">
      <c r="A45" s="73">
        <v>2002</v>
      </c>
      <c r="B45" s="74">
        <f>Calcs_USA!B55</f>
        <v>22.31818181818182</v>
      </c>
      <c r="C45" s="74">
        <f>Calcs_USA!C55</f>
        <v>520</v>
      </c>
      <c r="D45" s="74" t="str">
        <f>Calcs_USA!D55</f>
        <v>Dahmus (2014)</v>
      </c>
      <c r="E45" s="74">
        <f>Calcs_USA!F55</f>
        <v>0.63198053342903682</v>
      </c>
      <c r="F45" s="74">
        <f>Calcs_USA!G55</f>
        <v>6.2327162850518967</v>
      </c>
      <c r="G45" s="74">
        <f>Calcs_USA!H55</f>
        <v>42.3824707383529</v>
      </c>
      <c r="H45" s="74">
        <f>Calcs_USA!I55</f>
        <v>59.3607305936073</v>
      </c>
      <c r="I45" s="113">
        <f>Calcs_USA!J55</f>
        <v>0.71398162243840657</v>
      </c>
      <c r="J45" s="74" t="str">
        <f>Calcs_USA!K55</f>
        <v>Calculation</v>
      </c>
      <c r="L45" s="118">
        <f t="shared" si="6"/>
        <v>0.82334387104717688</v>
      </c>
      <c r="M45" s="119" t="s">
        <v>244</v>
      </c>
      <c r="O45" s="74">
        <f>Daioglou_2010!N48</f>
        <v>235.34980000000041</v>
      </c>
      <c r="P45" s="74" t="s">
        <v>266</v>
      </c>
      <c r="Q45" s="74">
        <f t="shared" si="4"/>
        <v>0.23534980000000041</v>
      </c>
      <c r="R45" s="74">
        <f t="shared" si="7"/>
        <v>2.3210660037021849</v>
      </c>
      <c r="S45" s="74">
        <f t="shared" si="8"/>
        <v>15.783248825174859</v>
      </c>
      <c r="T45" s="138" t="s">
        <v>190</v>
      </c>
      <c r="U45" s="138" t="s">
        <v>190</v>
      </c>
      <c r="V45" s="118">
        <f t="shared" ref="V45:V63" si="9">I45*V$43/I$43</f>
        <v>0.34692289712730762</v>
      </c>
      <c r="W45" s="119" t="s">
        <v>244</v>
      </c>
    </row>
    <row r="46" spans="1:23" x14ac:dyDescent="0.25">
      <c r="A46" s="73">
        <v>2003</v>
      </c>
      <c r="B46" s="74">
        <f>Calcs_USA!B56</f>
        <v>22.420454545454547</v>
      </c>
      <c r="C46" s="74">
        <f>Calcs_USA!C56</f>
        <v>510</v>
      </c>
      <c r="D46" s="74" t="str">
        <f>Calcs_USA!D56</f>
        <v>Dahmus (2014)</v>
      </c>
      <c r="E46" s="74">
        <f>Calcs_USA!F56</f>
        <v>0.6348765745700049</v>
      </c>
      <c r="F46" s="74">
        <f>Calcs_USA!G56</f>
        <v>6.261277612223723</v>
      </c>
      <c r="G46" s="74">
        <f>Calcs_USA!H56</f>
        <v>42.576687763121313</v>
      </c>
      <c r="H46" s="74">
        <f>Calcs_USA!I56</f>
        <v>58.219178082191775</v>
      </c>
      <c r="I46" s="113">
        <f>Calcs_USA!J56</f>
        <v>0.73131722510773089</v>
      </c>
      <c r="J46" s="74" t="str">
        <f>Calcs_USA!K56</f>
        <v>Calculation</v>
      </c>
      <c r="L46" s="118">
        <f t="shared" si="6"/>
        <v>0.84333480885304257</v>
      </c>
      <c r="M46" s="119" t="s">
        <v>244</v>
      </c>
      <c r="O46" s="74">
        <f>Daioglou_2010!N49</f>
        <v>237.42470000000003</v>
      </c>
      <c r="P46" s="74" t="s">
        <v>266</v>
      </c>
      <c r="Q46" s="74">
        <f t="shared" si="4"/>
        <v>0.23742470000000004</v>
      </c>
      <c r="R46" s="74">
        <f t="shared" si="7"/>
        <v>2.3415290754833409</v>
      </c>
      <c r="S46" s="74">
        <f t="shared" si="8"/>
        <v>15.92239771328672</v>
      </c>
      <c r="T46" s="138" t="s">
        <v>190</v>
      </c>
      <c r="U46" s="138" t="s">
        <v>190</v>
      </c>
      <c r="V46" s="118">
        <f t="shared" si="9"/>
        <v>0.35534624769052003</v>
      </c>
      <c r="W46" s="119" t="s">
        <v>244</v>
      </c>
    </row>
    <row r="47" spans="1:23" x14ac:dyDescent="0.25">
      <c r="A47" s="73">
        <v>2004</v>
      </c>
      <c r="B47" s="74">
        <f>Calcs_USA!B57</f>
        <v>21.738636363636363</v>
      </c>
      <c r="C47" s="74">
        <f>Calcs_USA!C57</f>
        <v>500</v>
      </c>
      <c r="D47" s="74" t="str">
        <f>Calcs_USA!D57</f>
        <v>Dahmus (2014)</v>
      </c>
      <c r="E47" s="74">
        <f>Calcs_USA!F57</f>
        <v>0.61556963363021755</v>
      </c>
      <c r="F47" s="74">
        <f>Calcs_USA!G57</f>
        <v>6.0708687644115464</v>
      </c>
      <c r="G47" s="74">
        <f>Calcs_USA!H57</f>
        <v>41.281907597998512</v>
      </c>
      <c r="H47" s="74">
        <f>Calcs_USA!I57</f>
        <v>57.077625570776256</v>
      </c>
      <c r="I47" s="113">
        <f>Calcs_USA!J57</f>
        <v>0.72325902111693396</v>
      </c>
      <c r="J47" s="74" t="str">
        <f>Calcs_USA!K57</f>
        <v>Calculation</v>
      </c>
      <c r="L47" s="118">
        <f t="shared" si="6"/>
        <v>0.83404231075650659</v>
      </c>
      <c r="M47" s="119" t="s">
        <v>244</v>
      </c>
      <c r="O47" s="74">
        <f>Daioglou_2010!N50</f>
        <v>239.49959999999965</v>
      </c>
      <c r="P47" s="74" t="s">
        <v>266</v>
      </c>
      <c r="Q47" s="74">
        <f t="shared" si="4"/>
        <v>0.23949959999999965</v>
      </c>
      <c r="R47" s="74">
        <f t="shared" si="7"/>
        <v>2.3619921472644974</v>
      </c>
      <c r="S47" s="74">
        <f t="shared" si="8"/>
        <v>16.061546601398582</v>
      </c>
      <c r="T47" s="138" t="s">
        <v>190</v>
      </c>
      <c r="U47" s="138" t="s">
        <v>190</v>
      </c>
      <c r="V47" s="118">
        <f t="shared" si="9"/>
        <v>0.3514307750981267</v>
      </c>
      <c r="W47" s="119" t="s">
        <v>244</v>
      </c>
    </row>
    <row r="48" spans="1:23" x14ac:dyDescent="0.25">
      <c r="A48" s="73">
        <v>2005</v>
      </c>
      <c r="B48" s="74">
        <f>Calcs_USA!B58</f>
        <v>20.988636363636363</v>
      </c>
      <c r="C48" s="74">
        <f>Calcs_USA!C58</f>
        <v>503</v>
      </c>
      <c r="D48" s="74" t="str">
        <f>Calcs_USA!D58</f>
        <v>Dahmus (2014)</v>
      </c>
      <c r="E48" s="74">
        <f>Calcs_USA!F58</f>
        <v>0.59433199859645158</v>
      </c>
      <c r="F48" s="74">
        <f>Calcs_USA!G58</f>
        <v>5.8614190318181532</v>
      </c>
      <c r="G48" s="74">
        <f>Calcs_USA!H58</f>
        <v>39.857649416363444</v>
      </c>
      <c r="H48" s="74">
        <f>Calcs_USA!I58</f>
        <v>57.420091324200918</v>
      </c>
      <c r="I48" s="113">
        <f>Calcs_USA!J58</f>
        <v>0.69414117075018633</v>
      </c>
      <c r="J48" s="74" t="str">
        <f>Calcs_USA!K58</f>
        <v>Calculation</v>
      </c>
      <c r="L48" s="118">
        <f t="shared" si="6"/>
        <v>0.80046441059199824</v>
      </c>
      <c r="M48" s="119" t="s">
        <v>244</v>
      </c>
      <c r="O48" s="74">
        <f>Daioglou_2010!N51</f>
        <v>241.57450000000017</v>
      </c>
      <c r="P48" s="74" t="s">
        <v>266</v>
      </c>
      <c r="Q48" s="74">
        <f t="shared" si="4"/>
        <v>0.24157450000000016</v>
      </c>
      <c r="R48" s="74">
        <f t="shared" si="7"/>
        <v>2.3824552190456623</v>
      </c>
      <c r="S48" s="74">
        <f t="shared" si="8"/>
        <v>16.200695489510505</v>
      </c>
      <c r="T48" s="138" t="s">
        <v>190</v>
      </c>
      <c r="U48" s="138" t="s">
        <v>190</v>
      </c>
      <c r="V48" s="118">
        <f t="shared" si="9"/>
        <v>0.33728244313847183</v>
      </c>
      <c r="W48" s="119" t="s">
        <v>244</v>
      </c>
    </row>
    <row r="49" spans="1:23" x14ac:dyDescent="0.25">
      <c r="A49" s="73">
        <v>2006</v>
      </c>
      <c r="B49" s="74">
        <f>Calcs_USA!B59</f>
        <v>22.420454545454547</v>
      </c>
      <c r="C49" s="74">
        <f>Calcs_USA!C59</f>
        <v>506</v>
      </c>
      <c r="D49" s="74" t="str">
        <f>Calcs_USA!D59</f>
        <v>Dahmus (2014)</v>
      </c>
      <c r="E49" s="74">
        <f>Calcs_USA!F59</f>
        <v>0.6348765745700049</v>
      </c>
      <c r="F49" s="74">
        <f>Calcs_USA!G59</f>
        <v>6.261277612223723</v>
      </c>
      <c r="G49" s="74">
        <f>Calcs_USA!H59</f>
        <v>42.576687763121313</v>
      </c>
      <c r="H49" s="74">
        <f>Calcs_USA!I59</f>
        <v>57.762557077625573</v>
      </c>
      <c r="I49" s="113">
        <f>Calcs_USA!J59</f>
        <v>0.73709838894257451</v>
      </c>
      <c r="J49" s="74" t="str">
        <f>Calcs_USA!K59</f>
        <v>Calculation</v>
      </c>
      <c r="L49" s="118">
        <f t="shared" si="6"/>
        <v>0.85000148718389645</v>
      </c>
      <c r="M49" s="119" t="s">
        <v>244</v>
      </c>
      <c r="O49" s="74">
        <f>Daioglou_2010!N52</f>
        <v>243.64939999999979</v>
      </c>
      <c r="P49" s="74" t="s">
        <v>266</v>
      </c>
      <c r="Q49" s="74">
        <f t="shared" si="4"/>
        <v>0.24364939999999979</v>
      </c>
      <c r="R49" s="74">
        <f t="shared" si="7"/>
        <v>2.4029182908268187</v>
      </c>
      <c r="S49" s="74">
        <f t="shared" si="8"/>
        <v>16.339844377622367</v>
      </c>
      <c r="T49" s="138" t="s">
        <v>190</v>
      </c>
      <c r="U49" s="138" t="s">
        <v>190</v>
      </c>
      <c r="V49" s="118">
        <f t="shared" si="9"/>
        <v>0.35815530893708536</v>
      </c>
      <c r="W49" s="119" t="s">
        <v>244</v>
      </c>
    </row>
    <row r="50" spans="1:23" x14ac:dyDescent="0.25">
      <c r="A50" s="73">
        <v>2007</v>
      </c>
      <c r="B50" s="74">
        <f>Calcs_USA!B60</f>
        <v>22.045454545454547</v>
      </c>
      <c r="C50" s="74">
        <f>Calcs_USA!C60</f>
        <v>498</v>
      </c>
      <c r="D50" s="74" t="str">
        <f>Calcs_USA!D60</f>
        <v>Dahmus (2014)</v>
      </c>
      <c r="E50" s="74">
        <f>Calcs_USA!F60</f>
        <v>0.62425775705312181</v>
      </c>
      <c r="F50" s="74">
        <f>Calcs_USA!G60</f>
        <v>6.1565527459270255</v>
      </c>
      <c r="G50" s="74">
        <f>Calcs_USA!H60</f>
        <v>41.864558672303779</v>
      </c>
      <c r="H50" s="74">
        <f>Calcs_USA!I60</f>
        <v>56.849315068493155</v>
      </c>
      <c r="I50" s="113">
        <f>Calcs_USA!J60</f>
        <v>0.73641271881401826</v>
      </c>
      <c r="J50" s="74" t="str">
        <f>Calcs_USA!K60</f>
        <v>Calculation</v>
      </c>
      <c r="L50" s="118">
        <f t="shared" si="6"/>
        <v>0.8492107913450051</v>
      </c>
      <c r="M50" s="119" t="s">
        <v>244</v>
      </c>
      <c r="O50" s="74">
        <f>Daioglou_2010!N53</f>
        <v>245.72430000000031</v>
      </c>
      <c r="P50" s="74" t="s">
        <v>266</v>
      </c>
      <c r="Q50" s="74">
        <f t="shared" si="4"/>
        <v>0.24572430000000031</v>
      </c>
      <c r="R50" s="74">
        <f t="shared" si="7"/>
        <v>2.4233813626079836</v>
      </c>
      <c r="S50" s="74">
        <f t="shared" si="8"/>
        <v>16.478993265734289</v>
      </c>
      <c r="T50" s="138" t="s">
        <v>190</v>
      </c>
      <c r="U50" s="138" t="s">
        <v>190</v>
      </c>
      <c r="V50" s="118">
        <f t="shared" si="9"/>
        <v>0.35782214256417505</v>
      </c>
      <c r="W50" s="119" t="s">
        <v>244</v>
      </c>
    </row>
    <row r="51" spans="1:23" x14ac:dyDescent="0.25">
      <c r="A51" s="73">
        <v>2008</v>
      </c>
      <c r="B51" s="74">
        <f>Calcs_USA!B61</f>
        <v>21.56818181818182</v>
      </c>
      <c r="C51" s="74">
        <f>Calcs_USA!C61</f>
        <v>485</v>
      </c>
      <c r="D51" s="74" t="str">
        <f>Calcs_USA!D61</f>
        <v>Dahmus (2014)</v>
      </c>
      <c r="E51" s="74">
        <f>Calcs_USA!F61</f>
        <v>0.61074289839527074</v>
      </c>
      <c r="F51" s="74">
        <f>Calcs_USA!G61</f>
        <v>6.0232665524585025</v>
      </c>
      <c r="G51" s="74">
        <f>Calcs_USA!H61</f>
        <v>40.958212556717825</v>
      </c>
      <c r="H51" s="74">
        <f>Calcs_USA!I61</f>
        <v>55.365296803652967</v>
      </c>
      <c r="I51" s="113">
        <f>Calcs_USA!J61</f>
        <v>0.73978132370484151</v>
      </c>
      <c r="J51" s="74" t="str">
        <f>Calcs_USA!K61</f>
        <v>Calculation</v>
      </c>
      <c r="L51" s="118">
        <f t="shared" si="6"/>
        <v>0.85309537338980157</v>
      </c>
      <c r="M51" s="119" t="s">
        <v>244</v>
      </c>
      <c r="O51" s="74">
        <f>Daioglou_2010!N54</f>
        <v>247.79919999999993</v>
      </c>
      <c r="P51" s="74" t="s">
        <v>266</v>
      </c>
      <c r="Q51" s="74">
        <f t="shared" si="4"/>
        <v>0.24779919999999994</v>
      </c>
      <c r="R51" s="74">
        <f t="shared" si="7"/>
        <v>2.4438444343891401</v>
      </c>
      <c r="S51" s="74">
        <f t="shared" si="8"/>
        <v>16.618142153846154</v>
      </c>
      <c r="T51" s="138" t="s">
        <v>190</v>
      </c>
      <c r="U51" s="138" t="s">
        <v>190</v>
      </c>
      <c r="V51" s="118">
        <f t="shared" si="9"/>
        <v>0.35945894403255241</v>
      </c>
      <c r="W51" s="119" t="s">
        <v>244</v>
      </c>
    </row>
    <row r="52" spans="1:23" x14ac:dyDescent="0.25">
      <c r="A52" s="73">
        <v>2009</v>
      </c>
      <c r="B52" s="74">
        <f>Calcs_USA!B62</f>
        <v>21.261363636363637</v>
      </c>
      <c r="C52" s="74">
        <f>Calcs_USA!C62</f>
        <v>473</v>
      </c>
      <c r="D52" s="74" t="str">
        <f>Calcs_USA!D62</f>
        <v>Dahmus (2014)</v>
      </c>
      <c r="E52" s="74">
        <f>Calcs_USA!F62</f>
        <v>0.60205477497236648</v>
      </c>
      <c r="F52" s="74">
        <f>Calcs_USA!G62</f>
        <v>5.9375825709430234</v>
      </c>
      <c r="G52" s="74">
        <f>Calcs_USA!H62</f>
        <v>40.375561482412564</v>
      </c>
      <c r="H52" s="74">
        <f>Calcs_USA!I62</f>
        <v>53.99543378995434</v>
      </c>
      <c r="I52" s="113">
        <f>Calcs_USA!J62</f>
        <v>0.74775881307808467</v>
      </c>
      <c r="J52" s="74" t="str">
        <f>Calcs_USA!K62</f>
        <v>Calculation</v>
      </c>
      <c r="L52" s="118">
        <f t="shared" si="6"/>
        <v>0.86229479362049588</v>
      </c>
      <c r="M52" s="119" t="s">
        <v>244</v>
      </c>
      <c r="O52" s="74">
        <f>Daioglou_2010!N55</f>
        <v>249.87410000000045</v>
      </c>
      <c r="P52" s="74" t="s">
        <v>266</v>
      </c>
      <c r="Q52" s="74">
        <f t="shared" si="4"/>
        <v>0.24987410000000046</v>
      </c>
      <c r="R52" s="74">
        <f t="shared" si="7"/>
        <v>2.4643075061703055</v>
      </c>
      <c r="S52" s="74">
        <f t="shared" si="8"/>
        <v>16.757291041958077</v>
      </c>
      <c r="T52" s="138" t="s">
        <v>190</v>
      </c>
      <c r="U52" s="138" t="s">
        <v>190</v>
      </c>
      <c r="V52" s="118">
        <f t="shared" si="9"/>
        <v>0.36333519747968729</v>
      </c>
      <c r="W52" s="119" t="s">
        <v>244</v>
      </c>
    </row>
    <row r="53" spans="1:23" x14ac:dyDescent="0.25">
      <c r="A53" s="73">
        <v>2010</v>
      </c>
      <c r="B53" s="74">
        <f>Calcs_USA!B63</f>
        <v>21.97</v>
      </c>
      <c r="C53" s="74">
        <f>Calcs_USA!C63</f>
        <v>455</v>
      </c>
      <c r="D53" s="74" t="str">
        <f>Calcs_USA!D63</f>
        <v>AHAM (2017)</v>
      </c>
      <c r="E53" s="74">
        <f>Calcs_USA!F63</f>
        <v>0.62212112225578531</v>
      </c>
      <c r="F53" s="74">
        <f>Calcs_USA!G63</f>
        <v>6.1354808334358104</v>
      </c>
      <c r="G53" s="74">
        <f>Calcs_USA!H63</f>
        <v>41.721269667363508</v>
      </c>
      <c r="H53" s="74">
        <f>Calcs_USA!I63</f>
        <v>51.94063926940639</v>
      </c>
      <c r="I53" s="113">
        <f>Calcs_USA!J63</f>
        <v>0.80324905996946017</v>
      </c>
      <c r="J53" s="74" t="str">
        <f>Calcs_USA!K63</f>
        <v>Calculation</v>
      </c>
      <c r="L53" s="118">
        <f t="shared" si="6"/>
        <v>0.9262846124688795</v>
      </c>
      <c r="M53" s="119" t="s">
        <v>244</v>
      </c>
      <c r="O53" s="74">
        <f>Daioglou_2010!N56</f>
        <v>251.94900000000007</v>
      </c>
      <c r="P53" s="74" t="s">
        <v>266</v>
      </c>
      <c r="Q53" s="74">
        <f t="shared" si="4"/>
        <v>0.25194900000000009</v>
      </c>
      <c r="R53" s="74">
        <f t="shared" si="7"/>
        <v>2.4847705779514615</v>
      </c>
      <c r="S53" s="74">
        <f t="shared" si="8"/>
        <v>16.896439930069938</v>
      </c>
      <c r="T53" s="138" t="s">
        <v>190</v>
      </c>
      <c r="U53" s="138" t="s">
        <v>190</v>
      </c>
      <c r="V53" s="118">
        <f t="shared" si="9"/>
        <v>0.39029784835033532</v>
      </c>
      <c r="W53" s="119" t="s">
        <v>244</v>
      </c>
    </row>
    <row r="54" spans="1:23" x14ac:dyDescent="0.25">
      <c r="A54" s="73">
        <v>2011</v>
      </c>
      <c r="B54" s="74">
        <f>Calcs_USA!B64</f>
        <v>22</v>
      </c>
      <c r="C54" s="74">
        <f>Calcs_USA!C64</f>
        <v>452</v>
      </c>
      <c r="D54" s="74" t="str">
        <f>Calcs_USA!D64</f>
        <v>AHAM (2017)</v>
      </c>
      <c r="E54" s="74">
        <f>Calcs_USA!F64</f>
        <v>0.62297062765713596</v>
      </c>
      <c r="F54" s="74">
        <f>Calcs_USA!G64</f>
        <v>6.1438588227395465</v>
      </c>
      <c r="G54" s="74">
        <f>Calcs_USA!H64</f>
        <v>41.778239994628919</v>
      </c>
      <c r="H54" s="74">
        <f>Calcs_USA!I64</f>
        <v>51.598173515981735</v>
      </c>
      <c r="I54" s="113">
        <f>Calcs_USA!J64</f>
        <v>0.80968447423218881</v>
      </c>
      <c r="J54" s="74" t="str">
        <f>Calcs_USA!K64</f>
        <v>Calculation</v>
      </c>
      <c r="L54" s="118">
        <f t="shared" si="6"/>
        <v>0.93370575430831704</v>
      </c>
      <c r="M54" s="119" t="s">
        <v>244</v>
      </c>
      <c r="O54" s="74">
        <f>Daioglou_2010!N57</f>
        <v>254.02389999999968</v>
      </c>
      <c r="P54" s="74" t="s">
        <v>266</v>
      </c>
      <c r="Q54" s="74">
        <f t="shared" si="4"/>
        <v>0.25402389999999969</v>
      </c>
      <c r="R54" s="74">
        <f t="shared" si="7"/>
        <v>2.505233649732618</v>
      </c>
      <c r="S54" s="74">
        <f t="shared" si="8"/>
        <v>17.035588818181804</v>
      </c>
      <c r="T54" s="138" t="s">
        <v>190</v>
      </c>
      <c r="U54" s="138" t="s">
        <v>190</v>
      </c>
      <c r="V54" s="118">
        <f t="shared" si="9"/>
        <v>0.39342480917128114</v>
      </c>
      <c r="W54" s="119" t="s">
        <v>244</v>
      </c>
    </row>
    <row r="55" spans="1:23" x14ac:dyDescent="0.25">
      <c r="A55" s="73">
        <v>2012</v>
      </c>
      <c r="B55" s="74">
        <f>Calcs_USA!B65</f>
        <v>22.59</v>
      </c>
      <c r="C55" s="74">
        <f>Calcs_USA!C65</f>
        <v>454</v>
      </c>
      <c r="D55" s="74" t="str">
        <f>Calcs_USA!D65</f>
        <v>AHAM (2017)</v>
      </c>
      <c r="E55" s="74">
        <f>Calcs_USA!F65</f>
        <v>0.63967756721703195</v>
      </c>
      <c r="F55" s="74">
        <f>Calcs_USA!G65</f>
        <v>6.3086259457130165</v>
      </c>
      <c r="G55" s="74">
        <f>Calcs_USA!H65</f>
        <v>42.898656430848519</v>
      </c>
      <c r="H55" s="74">
        <f>Calcs_USA!I65</f>
        <v>51.826484018264843</v>
      </c>
      <c r="I55" s="113">
        <f>Calcs_USA!J65</f>
        <v>0.82773619016350886</v>
      </c>
      <c r="J55" s="74" t="str">
        <f>Calcs_USA!K65</f>
        <v>Calculation</v>
      </c>
      <c r="L55" s="118">
        <f t="shared" si="6"/>
        <v>0.95452249413304446</v>
      </c>
      <c r="M55" s="119" t="s">
        <v>244</v>
      </c>
      <c r="O55" s="74">
        <f>Daioglou_2010!N58</f>
        <v>256.09880000000021</v>
      </c>
      <c r="P55" s="74" t="s">
        <v>266</v>
      </c>
      <c r="Q55" s="74">
        <f t="shared" si="4"/>
        <v>0.25609880000000024</v>
      </c>
      <c r="R55" s="74">
        <f t="shared" si="7"/>
        <v>2.5256967215137833</v>
      </c>
      <c r="S55" s="74">
        <f t="shared" si="8"/>
        <v>17.174737706293726</v>
      </c>
      <c r="T55" s="138" t="s">
        <v>190</v>
      </c>
      <c r="U55" s="138" t="s">
        <v>190</v>
      </c>
      <c r="V55" s="118">
        <f t="shared" si="9"/>
        <v>0.40219611839297326</v>
      </c>
      <c r="W55" s="119" t="s">
        <v>244</v>
      </c>
    </row>
    <row r="56" spans="1:23" x14ac:dyDescent="0.25">
      <c r="A56" s="73">
        <v>2013</v>
      </c>
      <c r="B56" s="74">
        <f>Calcs_USA!B66</f>
        <v>21.66</v>
      </c>
      <c r="C56" s="74">
        <f>Calcs_USA!C66</f>
        <v>444</v>
      </c>
      <c r="D56" s="74" t="str">
        <f>Calcs_USA!D66</f>
        <v>AHAM (2017)</v>
      </c>
      <c r="E56" s="74">
        <f>Calcs_USA!F66</f>
        <v>0.6133428997751621</v>
      </c>
      <c r="F56" s="74">
        <f>Calcs_USA!G66</f>
        <v>6.0489082772972083</v>
      </c>
      <c r="G56" s="74">
        <f>Calcs_USA!H66</f>
        <v>41.13257628562102</v>
      </c>
      <c r="H56" s="74">
        <f>Calcs_USA!I66</f>
        <v>50.684931506849317</v>
      </c>
      <c r="I56" s="113">
        <f>Calcs_USA!J66</f>
        <v>0.81153461320279308</v>
      </c>
      <c r="J56" s="74" t="str">
        <f>Calcs_USA!K66</f>
        <v>Calculation</v>
      </c>
      <c r="L56" s="118">
        <f t="shared" si="6"/>
        <v>0.93583928342749823</v>
      </c>
      <c r="M56" s="119" t="s">
        <v>244</v>
      </c>
      <c r="O56" s="74">
        <f>Daioglou_2010!N59</f>
        <v>258.17369999999983</v>
      </c>
      <c r="P56" s="74" t="s">
        <v>266</v>
      </c>
      <c r="Q56" s="74">
        <f t="shared" si="4"/>
        <v>0.25817369999999984</v>
      </c>
      <c r="R56" s="74">
        <f t="shared" si="7"/>
        <v>2.5461597932949394</v>
      </c>
      <c r="S56" s="74">
        <f t="shared" si="8"/>
        <v>17.313886594405588</v>
      </c>
      <c r="T56" s="138" t="s">
        <v>190</v>
      </c>
      <c r="U56" s="138" t="s">
        <v>190</v>
      </c>
      <c r="V56" s="118">
        <f t="shared" si="9"/>
        <v>0.3943237896934661</v>
      </c>
      <c r="W56" s="119" t="s">
        <v>244</v>
      </c>
    </row>
    <row r="57" spans="1:23" x14ac:dyDescent="0.25">
      <c r="A57" s="73">
        <v>2014</v>
      </c>
      <c r="B57" s="74">
        <f>Calcs_USA!B67</f>
        <v>24.24</v>
      </c>
      <c r="C57" s="74">
        <f>Calcs_USA!C67</f>
        <v>502</v>
      </c>
      <c r="D57" s="74" t="str">
        <f>Calcs_USA!D67</f>
        <v>AHAM (2017)</v>
      </c>
      <c r="E57" s="74">
        <f>Calcs_USA!F67</f>
        <v>0.68640036429131712</v>
      </c>
      <c r="F57" s="74">
        <f>Calcs_USA!G67</f>
        <v>6.7694153574184828</v>
      </c>
      <c r="G57" s="74">
        <f>Calcs_USA!H67</f>
        <v>46.032024430445688</v>
      </c>
      <c r="H57" s="74">
        <f>Calcs_USA!I67</f>
        <v>57.305936073059357</v>
      </c>
      <c r="I57" s="113">
        <f>Calcs_USA!J67</f>
        <v>0.80326799603725951</v>
      </c>
      <c r="J57" s="74" t="str">
        <f>Calcs_USA!K67</f>
        <v>Calculation</v>
      </c>
      <c r="L57" s="118">
        <f t="shared" si="6"/>
        <v>0.92630644901883308</v>
      </c>
      <c r="M57" s="119" t="s">
        <v>244</v>
      </c>
      <c r="O57" s="74">
        <f>Daioglou_2010!N60</f>
        <v>260.24860000000035</v>
      </c>
      <c r="P57" s="74" t="s">
        <v>266</v>
      </c>
      <c r="Q57" s="74">
        <f t="shared" si="4"/>
        <v>0.26024860000000033</v>
      </c>
      <c r="R57" s="74">
        <f t="shared" si="7"/>
        <v>2.5666228650761043</v>
      </c>
      <c r="S57" s="74">
        <f t="shared" si="8"/>
        <v>17.45303548251751</v>
      </c>
      <c r="T57" s="138" t="s">
        <v>190</v>
      </c>
      <c r="U57" s="138" t="s">
        <v>190</v>
      </c>
      <c r="V57" s="118">
        <f t="shared" si="9"/>
        <v>0.39030704936517191</v>
      </c>
      <c r="W57" s="119" t="s">
        <v>244</v>
      </c>
    </row>
    <row r="58" spans="1:23" x14ac:dyDescent="0.25">
      <c r="A58" s="73">
        <v>2015</v>
      </c>
      <c r="B58" s="74">
        <f>Calcs_USA!B68</f>
        <v>22.4</v>
      </c>
      <c r="C58" s="74">
        <f>Calcs_USA!C68</f>
        <v>490</v>
      </c>
      <c r="D58" s="74" t="str">
        <f>Calcs_USA!D68</f>
        <v>AHAM (2017)</v>
      </c>
      <c r="E58" s="74">
        <f>Calcs_USA!F68</f>
        <v>0.63429736634181111</v>
      </c>
      <c r="F58" s="74">
        <f>Calcs_USA!G68</f>
        <v>6.2555653467893562</v>
      </c>
      <c r="G58" s="74">
        <f>Calcs_USA!H68</f>
        <v>42.537844358167625</v>
      </c>
      <c r="H58" s="74">
        <f>Calcs_USA!I68</f>
        <v>55.93607305936073</v>
      </c>
      <c r="I58" s="113">
        <f>Calcs_USA!J68</f>
        <v>0.76047248281132329</v>
      </c>
      <c r="J58" s="74" t="str">
        <f>Calcs_USA!K68</f>
        <v>Calculation</v>
      </c>
      <c r="L58" s="118">
        <f t="shared" si="6"/>
        <v>0.87695584612438293</v>
      </c>
      <c r="M58" s="119" t="s">
        <v>244</v>
      </c>
      <c r="O58" s="74">
        <f>Daioglou_2010!N61</f>
        <v>262.32349999999997</v>
      </c>
      <c r="P58" s="74" t="s">
        <v>266</v>
      </c>
      <c r="Q58" s="74">
        <f t="shared" si="4"/>
        <v>0.26232349999999999</v>
      </c>
      <c r="R58" s="74">
        <f t="shared" si="7"/>
        <v>2.5870859368572607</v>
      </c>
      <c r="S58" s="74">
        <f t="shared" si="8"/>
        <v>17.592184370629372</v>
      </c>
      <c r="T58" s="138" t="s">
        <v>190</v>
      </c>
      <c r="U58" s="138" t="s">
        <v>190</v>
      </c>
      <c r="V58" s="118">
        <f t="shared" si="9"/>
        <v>0.369512755834637</v>
      </c>
      <c r="W58" s="119" t="s">
        <v>244</v>
      </c>
    </row>
    <row r="59" spans="1:23" x14ac:dyDescent="0.25">
      <c r="A59" s="73">
        <v>2016</v>
      </c>
      <c r="B59" s="74">
        <f>Calcs_USA!B69</f>
        <v>24.08</v>
      </c>
      <c r="C59" s="74">
        <f>Calcs_USA!C69</f>
        <v>510</v>
      </c>
      <c r="D59" s="74" t="str">
        <f>Calcs_USA!D69</f>
        <v>AHAM (2017)</v>
      </c>
      <c r="E59" s="74">
        <f>Calcs_USA!F69</f>
        <v>0.68186966881744704</v>
      </c>
      <c r="F59" s="74">
        <f>Calcs_USA!G69</f>
        <v>6.7247327477985586</v>
      </c>
      <c r="G59" s="74">
        <f>Calcs_USA!H69</f>
        <v>45.728182685030205</v>
      </c>
      <c r="H59" s="74">
        <f>Calcs_USA!I69</f>
        <v>58.219178082191775</v>
      </c>
      <c r="I59" s="113">
        <f>Calcs_USA!J69</f>
        <v>0.78544878494287185</v>
      </c>
      <c r="J59" s="74" t="str">
        <f>Calcs_USA!K69</f>
        <v>Calculation</v>
      </c>
      <c r="L59" s="118">
        <f t="shared" si="6"/>
        <v>0.90575782734513499</v>
      </c>
      <c r="M59" s="119" t="s">
        <v>244</v>
      </c>
      <c r="O59" s="74">
        <f>Daioglou_2010!N62</f>
        <v>264.39839999999958</v>
      </c>
      <c r="P59" s="74" t="s">
        <v>266</v>
      </c>
      <c r="Q59" s="74">
        <f t="shared" si="4"/>
        <v>0.26439839999999959</v>
      </c>
      <c r="R59" s="74">
        <f t="shared" si="7"/>
        <v>2.6075490086384168</v>
      </c>
      <c r="S59" s="74">
        <f t="shared" si="8"/>
        <v>17.731333258741234</v>
      </c>
      <c r="T59" s="138" t="s">
        <v>190</v>
      </c>
      <c r="U59" s="138" t="s">
        <v>190</v>
      </c>
      <c r="V59" s="118">
        <f t="shared" si="9"/>
        <v>0.38164871399195116</v>
      </c>
      <c r="W59" s="119" t="s">
        <v>244</v>
      </c>
    </row>
    <row r="60" spans="1:23" x14ac:dyDescent="0.25">
      <c r="A60" s="73">
        <v>2017</v>
      </c>
      <c r="B60" s="74">
        <f>Calcs_USA!B70</f>
        <v>23.91</v>
      </c>
      <c r="C60" s="74">
        <f>Calcs_USA!C70</f>
        <v>505</v>
      </c>
      <c r="D60" s="74" t="str">
        <f>Calcs_USA!D70</f>
        <v>AHAM (2017)</v>
      </c>
      <c r="E60" s="74">
        <f>Calcs_USA!F70</f>
        <v>0.67705580487646011</v>
      </c>
      <c r="F60" s="74">
        <f>Calcs_USA!G70</f>
        <v>6.6772574750773899</v>
      </c>
      <c r="G60" s="74">
        <f>Calcs_USA!H70</f>
        <v>45.405350830526253</v>
      </c>
      <c r="H60" s="74">
        <f>Calcs_USA!I70</f>
        <v>57.648401826484012</v>
      </c>
      <c r="I60" s="113">
        <f>Calcs_USA!J70</f>
        <v>0.78762549163447526</v>
      </c>
      <c r="J60" s="74" t="str">
        <f>Calcs_USA!K70</f>
        <v>Calculation</v>
      </c>
      <c r="L60" s="118">
        <f t="shared" si="6"/>
        <v>0.90826794533315591</v>
      </c>
      <c r="M60" s="119" t="s">
        <v>244</v>
      </c>
      <c r="O60" s="74">
        <f>Daioglou_2010!N63</f>
        <v>266.47330000000011</v>
      </c>
      <c r="P60" s="74" t="s">
        <v>266</v>
      </c>
      <c r="Q60" s="74">
        <f t="shared" si="4"/>
        <v>0.26647330000000014</v>
      </c>
      <c r="R60" s="74">
        <f t="shared" si="7"/>
        <v>2.6280120804195821</v>
      </c>
      <c r="S60" s="74">
        <f t="shared" si="8"/>
        <v>17.87048214685316</v>
      </c>
      <c r="T60" s="138" t="s">
        <v>190</v>
      </c>
      <c r="U60" s="138" t="s">
        <v>190</v>
      </c>
      <c r="V60" s="118">
        <f t="shared" si="9"/>
        <v>0.38270637341610891</v>
      </c>
      <c r="W60" s="119" t="s">
        <v>244</v>
      </c>
    </row>
    <row r="61" spans="1:23" x14ac:dyDescent="0.25">
      <c r="A61" s="73">
        <v>2018</v>
      </c>
      <c r="B61" s="74"/>
      <c r="C61" s="74"/>
      <c r="D61" s="74"/>
      <c r="E61" s="74"/>
      <c r="F61" s="74"/>
      <c r="G61" s="74"/>
      <c r="H61" s="74"/>
      <c r="I61" s="118">
        <f>Calcs_USA!J71</f>
        <v>0.80249237021381514</v>
      </c>
      <c r="J61" s="138" t="str">
        <f>Calcs_USA!K71</f>
        <v>Linear Extrapolation</v>
      </c>
      <c r="L61" s="118">
        <f t="shared" si="6"/>
        <v>0.92541201875916068</v>
      </c>
      <c r="M61" s="119" t="s">
        <v>244</v>
      </c>
      <c r="O61" s="74">
        <f>Daioglou_2010!N64</f>
        <v>268.54819999999972</v>
      </c>
      <c r="P61" s="74" t="s">
        <v>266</v>
      </c>
      <c r="Q61" s="74">
        <f t="shared" si="4"/>
        <v>0.26854819999999974</v>
      </c>
      <c r="R61" s="74">
        <f t="shared" si="7"/>
        <v>2.6484751522007381</v>
      </c>
      <c r="S61" s="74">
        <f t="shared" si="8"/>
        <v>18.009631034965022</v>
      </c>
      <c r="T61" s="138" t="s">
        <v>190</v>
      </c>
      <c r="U61" s="138" t="s">
        <v>190</v>
      </c>
      <c r="V61" s="118">
        <f t="shared" si="9"/>
        <v>0.38993017361753424</v>
      </c>
      <c r="W61" s="119" t="s">
        <v>244</v>
      </c>
    </row>
    <row r="62" spans="1:23" x14ac:dyDescent="0.25">
      <c r="A62" s="73">
        <v>2019</v>
      </c>
      <c r="B62" s="74"/>
      <c r="C62" s="74"/>
      <c r="D62" s="74"/>
      <c r="E62" s="74"/>
      <c r="F62" s="74"/>
      <c r="G62" s="74"/>
      <c r="H62" s="74"/>
      <c r="I62" s="118">
        <f>Calcs_USA!J72</f>
        <v>0.79566038930217831</v>
      </c>
      <c r="J62" s="138" t="str">
        <f>Calcs_USA!K72</f>
        <v>Linear Extrapolation</v>
      </c>
      <c r="L62" s="118">
        <f t="shared" si="6"/>
        <v>0.91753356722213575</v>
      </c>
      <c r="M62" s="119" t="s">
        <v>244</v>
      </c>
      <c r="O62" s="74">
        <f>Daioglou_2010!N65</f>
        <v>270.62310000000025</v>
      </c>
      <c r="P62" s="74" t="s">
        <v>266</v>
      </c>
      <c r="Q62" s="74">
        <f t="shared" si="4"/>
        <v>0.27062310000000028</v>
      </c>
      <c r="R62" s="74">
        <f t="shared" si="7"/>
        <v>2.6689382239819039</v>
      </c>
      <c r="S62" s="74">
        <f t="shared" si="8"/>
        <v>18.148779923076948</v>
      </c>
      <c r="T62" s="138" t="s">
        <v>190</v>
      </c>
      <c r="U62" s="138" t="s">
        <v>190</v>
      </c>
      <c r="V62" s="118">
        <f t="shared" si="9"/>
        <v>0.38661052149135083</v>
      </c>
      <c r="W62" s="119" t="s">
        <v>244</v>
      </c>
    </row>
    <row r="63" spans="1:23" x14ac:dyDescent="0.25">
      <c r="A63" s="73">
        <v>2020</v>
      </c>
      <c r="B63" s="74"/>
      <c r="C63" s="74"/>
      <c r="D63" s="74"/>
      <c r="E63" s="74"/>
      <c r="F63" s="74"/>
      <c r="G63" s="74"/>
      <c r="H63" s="74"/>
      <c r="I63" s="118">
        <f>Calcs_USA!J73</f>
        <v>0.78404221009148678</v>
      </c>
      <c r="J63" s="138" t="str">
        <f>Calcs_USA!K73</f>
        <v>Linear Extrapolation</v>
      </c>
      <c r="L63" s="118">
        <f t="shared" si="6"/>
        <v>0.9041358041071953</v>
      </c>
      <c r="M63" s="119" t="s">
        <v>244</v>
      </c>
      <c r="O63" s="74">
        <f>Daioglou_2010!N66</f>
        <v>272.69799999999987</v>
      </c>
      <c r="P63" s="74" t="s">
        <v>266</v>
      </c>
      <c r="Q63" s="74">
        <f t="shared" si="4"/>
        <v>0.27269799999999988</v>
      </c>
      <c r="R63" s="74">
        <f t="shared" si="7"/>
        <v>2.68940129576306</v>
      </c>
      <c r="S63" s="74">
        <f t="shared" si="8"/>
        <v>18.287928811188809</v>
      </c>
      <c r="T63" s="138" t="s">
        <v>190</v>
      </c>
      <c r="U63" s="138" t="s">
        <v>190</v>
      </c>
      <c r="V63" s="118">
        <f t="shared" si="9"/>
        <v>0.38096526079493132</v>
      </c>
      <c r="W63" s="119" t="s">
        <v>244</v>
      </c>
    </row>
    <row r="64" spans="1:23" x14ac:dyDescent="0.25">
      <c r="B64" s="74"/>
      <c r="C64" s="74"/>
      <c r="E64" s="74"/>
      <c r="F64" s="74"/>
      <c r="G64" s="74"/>
      <c r="H64" s="74"/>
      <c r="I64" s="113"/>
      <c r="J64" s="69"/>
    </row>
    <row r="65" spans="2:10" x14ac:dyDescent="0.25">
      <c r="B65" s="74"/>
      <c r="C65" s="74"/>
      <c r="E65" s="74"/>
      <c r="F65" s="74"/>
      <c r="G65" s="74"/>
      <c r="H65" s="74"/>
      <c r="I65" s="113"/>
      <c r="J65" s="69"/>
    </row>
    <row r="66" spans="2:10" x14ac:dyDescent="0.25">
      <c r="B66" s="74"/>
      <c r="C66" s="74"/>
      <c r="E66" s="74"/>
      <c r="F66" s="74"/>
      <c r="G66" s="74"/>
      <c r="H66" s="74"/>
      <c r="I66" s="113"/>
      <c r="J66" s="69"/>
    </row>
    <row r="67" spans="2:10" x14ac:dyDescent="0.25">
      <c r="B67" s="74"/>
      <c r="C67" s="74"/>
      <c r="E67" s="74"/>
      <c r="F67" s="74"/>
      <c r="G67" s="74"/>
      <c r="H67" s="74"/>
      <c r="I67" s="113"/>
      <c r="J67" s="69"/>
    </row>
    <row r="68" spans="2:10" x14ac:dyDescent="0.25">
      <c r="B68" s="74"/>
      <c r="C68" s="74"/>
      <c r="E68" s="74"/>
      <c r="F68" s="74"/>
      <c r="G68" s="74"/>
      <c r="H68" s="74"/>
      <c r="I68" s="113"/>
      <c r="J68" s="69"/>
    </row>
    <row r="69" spans="2:10" x14ac:dyDescent="0.25">
      <c r="B69" s="74"/>
      <c r="C69" s="74"/>
      <c r="E69" s="74"/>
      <c r="F69" s="74"/>
      <c r="G69" s="74"/>
      <c r="H69" s="74"/>
      <c r="I69" s="113"/>
      <c r="J69" s="69"/>
    </row>
    <row r="70" spans="2:10" x14ac:dyDescent="0.25">
      <c r="B70" s="74"/>
      <c r="C70" s="74"/>
      <c r="E70" s="74"/>
      <c r="F70" s="74"/>
      <c r="G70" s="74"/>
      <c r="H70" s="74"/>
      <c r="I70" s="113"/>
      <c r="J70" s="69"/>
    </row>
    <row r="71" spans="2:10" x14ac:dyDescent="0.25">
      <c r="I71" s="118"/>
      <c r="J71" s="119"/>
    </row>
    <row r="72" spans="2:10" x14ac:dyDescent="0.25">
      <c r="I72" s="118"/>
      <c r="J72" s="119"/>
    </row>
    <row r="73" spans="2:10" x14ac:dyDescent="0.25">
      <c r="I73" s="118"/>
      <c r="J73" s="119"/>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3"/>
  <sheetViews>
    <sheetView tabSelected="1" zoomScale="80" zoomScaleNormal="80" workbookViewId="0">
      <selection activeCell="H3" sqref="H3"/>
    </sheetView>
  </sheetViews>
  <sheetFormatPr defaultColWidth="9" defaultRowHeight="15" x14ac:dyDescent="0.25"/>
  <cols>
    <col min="1" max="1" width="9" style="69"/>
    <col min="2" max="2" width="19.5" style="69" customWidth="1"/>
    <col min="3" max="3" width="31.125" style="69" customWidth="1"/>
    <col min="4" max="4" width="13.625" style="69" bestFit="1" customWidth="1"/>
    <col min="5" max="5" width="9" style="106"/>
    <col min="6" max="6" width="11.875" style="106" bestFit="1" customWidth="1"/>
    <col min="7" max="7" width="27" style="106" bestFit="1" customWidth="1"/>
    <col min="8" max="8" width="19.5" style="106" bestFit="1" customWidth="1"/>
    <col min="9" max="9" width="20.75" style="106" bestFit="1" customWidth="1"/>
    <col min="10" max="10" width="17.5" style="106" bestFit="1" customWidth="1"/>
    <col min="11" max="11" width="18.375" style="106" bestFit="1" customWidth="1"/>
    <col min="12" max="16384" width="9" style="106"/>
  </cols>
  <sheetData>
    <row r="1" spans="1:11" x14ac:dyDescent="0.25">
      <c r="B1" s="105" t="s">
        <v>184</v>
      </c>
      <c r="C1" s="107"/>
      <c r="D1" s="107"/>
      <c r="F1" s="110" t="s">
        <v>185</v>
      </c>
      <c r="G1" s="111"/>
      <c r="H1" s="112"/>
      <c r="I1" s="112"/>
      <c r="J1" s="112"/>
      <c r="K1" s="112"/>
    </row>
    <row r="2" spans="1:11" s="108" customFormat="1" x14ac:dyDescent="0.25">
      <c r="A2" s="72" t="s">
        <v>40</v>
      </c>
      <c r="B2" s="72" t="s">
        <v>96</v>
      </c>
      <c r="C2" s="72" t="s">
        <v>95</v>
      </c>
      <c r="D2" s="72" t="s">
        <v>93</v>
      </c>
      <c r="F2" s="72" t="s">
        <v>186</v>
      </c>
      <c r="G2" s="109" t="s">
        <v>206</v>
      </c>
      <c r="H2" s="72" t="s">
        <v>215</v>
      </c>
      <c r="I2" s="72" t="s">
        <v>216</v>
      </c>
      <c r="J2" s="72" t="s">
        <v>214</v>
      </c>
      <c r="K2" s="72" t="s">
        <v>152</v>
      </c>
    </row>
    <row r="3" spans="1:11" x14ac:dyDescent="0.25">
      <c r="A3" s="73">
        <v>1950</v>
      </c>
      <c r="B3" s="74">
        <f>Dahmus_2014!D22</f>
        <v>9.4392523364485985</v>
      </c>
      <c r="C3" s="74">
        <f>Dahmus_2014!H22</f>
        <v>368</v>
      </c>
      <c r="D3" s="69" t="s">
        <v>94</v>
      </c>
      <c r="F3" s="74">
        <f t="shared" ref="F3:F34" si="0">B3*ft3_to_m3</f>
        <v>0.26728986148415779</v>
      </c>
      <c r="G3" s="74">
        <f t="shared" ref="G3:G34" si="1">F3*internalvol_to_internalarea</f>
        <v>2.6360651703343003</v>
      </c>
      <c r="H3" s="74">
        <f t="shared" ref="H3:H34" si="2">heat_transfer_coefficient*G3*ABS(temp_diff)</f>
        <v>17.925243158273243</v>
      </c>
      <c r="I3" s="74">
        <f t="shared" ref="I3:I34" si="3">(C3/year_to_hour)*1000</f>
        <v>42.009132420091326</v>
      </c>
      <c r="J3" s="113">
        <f>H3/I3</f>
        <v>0.42669872300672174</v>
      </c>
      <c r="K3" s="69" t="s">
        <v>230</v>
      </c>
    </row>
    <row r="4" spans="1:11" x14ac:dyDescent="0.25">
      <c r="A4" s="73">
        <v>1951</v>
      </c>
      <c r="B4" s="74">
        <f>Dahmus_2014!D23</f>
        <v>9.6728971962616814</v>
      </c>
      <c r="C4" s="74">
        <f>Dahmus_2014!H23</f>
        <v>388</v>
      </c>
      <c r="D4" s="69" t="s">
        <v>94</v>
      </c>
      <c r="F4" s="74">
        <f t="shared" si="0"/>
        <v>0.27390594716445865</v>
      </c>
      <c r="G4" s="74">
        <f t="shared" si="1"/>
        <v>2.7013143082138615</v>
      </c>
      <c r="H4" s="74">
        <f t="shared" si="2"/>
        <v>18.368937295854259</v>
      </c>
      <c r="I4" s="74">
        <f t="shared" si="3"/>
        <v>44.292237442922378</v>
      </c>
      <c r="J4" s="113">
        <f t="shared" ref="J4:J67" si="4">H4/I4</f>
        <v>0.41472136781361674</v>
      </c>
      <c r="K4" s="69" t="s">
        <v>230</v>
      </c>
    </row>
    <row r="5" spans="1:11" x14ac:dyDescent="0.25">
      <c r="A5" s="73">
        <v>1952</v>
      </c>
      <c r="B5" s="74">
        <f>Dahmus_2014!D24</f>
        <v>10.514018691588785</v>
      </c>
      <c r="C5" s="74">
        <f>Dahmus_2014!H24</f>
        <v>416</v>
      </c>
      <c r="D5" s="69" t="s">
        <v>94</v>
      </c>
      <c r="F5" s="74">
        <f t="shared" si="0"/>
        <v>0.29772385561354203</v>
      </c>
      <c r="G5" s="74">
        <f t="shared" si="1"/>
        <v>2.9362112045802844</v>
      </c>
      <c r="H5" s="74">
        <f t="shared" si="2"/>
        <v>19.966236191145935</v>
      </c>
      <c r="I5" s="74">
        <f t="shared" si="3"/>
        <v>47.488584474885847</v>
      </c>
      <c r="J5" s="113">
        <f t="shared" si="4"/>
        <v>0.42044285825586147</v>
      </c>
      <c r="K5" s="69" t="s">
        <v>230</v>
      </c>
    </row>
    <row r="6" spans="1:11" x14ac:dyDescent="0.25">
      <c r="A6" s="73">
        <v>1953</v>
      </c>
      <c r="B6" s="74">
        <f>Dahmus_2014!D25</f>
        <v>10.560747663551401</v>
      </c>
      <c r="C6" s="74">
        <f>Dahmus_2014!H25</f>
        <v>456</v>
      </c>
      <c r="D6" s="69" t="s">
        <v>94</v>
      </c>
      <c r="F6" s="74">
        <f t="shared" si="0"/>
        <v>0.29904707274960224</v>
      </c>
      <c r="G6" s="74">
        <f t="shared" si="1"/>
        <v>2.9492610321561972</v>
      </c>
      <c r="H6" s="74">
        <f t="shared" si="2"/>
        <v>20.054975018662141</v>
      </c>
      <c r="I6" s="74">
        <f t="shared" si="3"/>
        <v>52.054794520547944</v>
      </c>
      <c r="J6" s="113">
        <f t="shared" si="4"/>
        <v>0.38526662535850958</v>
      </c>
      <c r="K6" s="69" t="s">
        <v>230</v>
      </c>
    </row>
    <row r="7" spans="1:11" x14ac:dyDescent="0.25">
      <c r="A7" s="73">
        <v>1954</v>
      </c>
      <c r="B7" s="74">
        <f>Dahmus_2014!D26</f>
        <v>10.981308411214954</v>
      </c>
      <c r="C7" s="74">
        <f>Dahmus_2014!H26</f>
        <v>504</v>
      </c>
      <c r="D7" s="69" t="s">
        <v>94</v>
      </c>
      <c r="F7" s="74">
        <f t="shared" si="0"/>
        <v>0.31095602697414393</v>
      </c>
      <c r="G7" s="74">
        <f t="shared" si="1"/>
        <v>3.0667094803394086</v>
      </c>
      <c r="H7" s="74">
        <f t="shared" si="2"/>
        <v>20.853624466307981</v>
      </c>
      <c r="I7" s="74">
        <f t="shared" si="3"/>
        <v>57.534246575342465</v>
      </c>
      <c r="J7" s="113">
        <f t="shared" si="4"/>
        <v>0.36245585381916251</v>
      </c>
      <c r="K7" s="69" t="s">
        <v>230</v>
      </c>
    </row>
    <row r="8" spans="1:11" x14ac:dyDescent="0.25">
      <c r="A8" s="73">
        <v>1955</v>
      </c>
      <c r="B8" s="74">
        <f>Dahmus_2014!D27</f>
        <v>11.822429906542055</v>
      </c>
      <c r="C8" s="74">
        <f>Dahmus_2014!H27</f>
        <v>584</v>
      </c>
      <c r="D8" s="69" t="s">
        <v>94</v>
      </c>
      <c r="F8" s="74">
        <f t="shared" si="0"/>
        <v>0.33477393542322725</v>
      </c>
      <c r="G8" s="74">
        <f t="shared" si="1"/>
        <v>3.301606376705831</v>
      </c>
      <c r="H8" s="74">
        <f t="shared" si="2"/>
        <v>22.450923361599653</v>
      </c>
      <c r="I8" s="74">
        <f t="shared" si="3"/>
        <v>66.666666666666671</v>
      </c>
      <c r="J8" s="113">
        <f t="shared" si="4"/>
        <v>0.33676385042399476</v>
      </c>
      <c r="K8" s="69" t="s">
        <v>230</v>
      </c>
    </row>
    <row r="9" spans="1:11" x14ac:dyDescent="0.25">
      <c r="A9" s="73">
        <v>1956</v>
      </c>
      <c r="B9" s="74">
        <f>Dahmus_2014!D28</f>
        <v>12.196261682242991</v>
      </c>
      <c r="C9" s="74">
        <f>Dahmus_2014!H28</f>
        <v>696</v>
      </c>
      <c r="D9" s="69" t="s">
        <v>94</v>
      </c>
      <c r="F9" s="74">
        <f t="shared" si="0"/>
        <v>0.34535967251170879</v>
      </c>
      <c r="G9" s="74">
        <f t="shared" si="1"/>
        <v>3.4060049973131306</v>
      </c>
      <c r="H9" s="74">
        <f t="shared" si="2"/>
        <v>23.160833981729287</v>
      </c>
      <c r="I9" s="74">
        <f t="shared" si="3"/>
        <v>79.452054794520549</v>
      </c>
      <c r="J9" s="113">
        <f t="shared" si="4"/>
        <v>0.29150704839073066</v>
      </c>
      <c r="K9" s="69" t="s">
        <v>230</v>
      </c>
    </row>
    <row r="10" spans="1:11" x14ac:dyDescent="0.25">
      <c r="A10" s="73">
        <v>1957</v>
      </c>
      <c r="B10" s="74">
        <f>Dahmus_2014!D29</f>
        <v>12.429906542056074</v>
      </c>
      <c r="C10" s="74">
        <f>Dahmus_2014!H29</f>
        <v>716</v>
      </c>
      <c r="D10" s="69" t="s">
        <v>94</v>
      </c>
      <c r="F10" s="74">
        <f t="shared" si="0"/>
        <v>0.35197575819200971</v>
      </c>
      <c r="G10" s="74">
        <f t="shared" si="1"/>
        <v>3.4712541351926922</v>
      </c>
      <c r="H10" s="74">
        <f t="shared" si="2"/>
        <v>23.604528119310309</v>
      </c>
      <c r="I10" s="74">
        <f t="shared" si="3"/>
        <v>81.735159817351601</v>
      </c>
      <c r="J10" s="113">
        <f t="shared" si="4"/>
        <v>0.28879283006307027</v>
      </c>
      <c r="K10" s="69" t="s">
        <v>230</v>
      </c>
    </row>
    <row r="11" spans="1:11" x14ac:dyDescent="0.25">
      <c r="A11" s="73">
        <v>1958</v>
      </c>
      <c r="B11" s="74">
        <f>Dahmus_2014!D30</f>
        <v>12.710280373831775</v>
      </c>
      <c r="C11" s="74">
        <f>Dahmus_2014!H30</f>
        <v>760</v>
      </c>
      <c r="D11" s="69" t="s">
        <v>94</v>
      </c>
      <c r="F11" s="74">
        <f t="shared" si="0"/>
        <v>0.35991506100837084</v>
      </c>
      <c r="G11" s="74">
        <f t="shared" si="1"/>
        <v>3.5495531006481666</v>
      </c>
      <c r="H11" s="74">
        <f t="shared" si="2"/>
        <v>24.136961084407535</v>
      </c>
      <c r="I11" s="74">
        <f t="shared" si="3"/>
        <v>86.757990867579906</v>
      </c>
      <c r="J11" s="113">
        <f t="shared" si="4"/>
        <v>0.27821023565711844</v>
      </c>
      <c r="K11" s="69" t="s">
        <v>230</v>
      </c>
    </row>
    <row r="12" spans="1:11" x14ac:dyDescent="0.25">
      <c r="A12" s="73">
        <v>1959</v>
      </c>
      <c r="B12" s="74">
        <f>Dahmus_2014!D31</f>
        <v>13.317757009345794</v>
      </c>
      <c r="C12" s="74">
        <f>Dahmus_2014!H31</f>
        <v>808</v>
      </c>
      <c r="D12" s="69" t="s">
        <v>94</v>
      </c>
      <c r="F12" s="74">
        <f t="shared" si="0"/>
        <v>0.37711688377715324</v>
      </c>
      <c r="G12" s="74">
        <f t="shared" si="1"/>
        <v>3.719200859135027</v>
      </c>
      <c r="H12" s="74">
        <f t="shared" si="2"/>
        <v>25.290565842118188</v>
      </c>
      <c r="I12" s="74">
        <f t="shared" si="3"/>
        <v>92.237442922374427</v>
      </c>
      <c r="J12" s="113">
        <f t="shared" si="4"/>
        <v>0.27418979799128135</v>
      </c>
      <c r="K12" s="69" t="s">
        <v>230</v>
      </c>
    </row>
    <row r="13" spans="1:11" x14ac:dyDescent="0.25">
      <c r="A13" s="73">
        <v>1960</v>
      </c>
      <c r="B13" s="74">
        <f>Dahmus_2014!D32</f>
        <v>13.598130841121495</v>
      </c>
      <c r="C13" s="74">
        <f>Dahmus_2014!H32</f>
        <v>907.99999999999989</v>
      </c>
      <c r="D13" s="69" t="s">
        <v>94</v>
      </c>
      <c r="F13" s="74">
        <f t="shared" si="0"/>
        <v>0.38505618659351437</v>
      </c>
      <c r="G13" s="74">
        <f t="shared" si="1"/>
        <v>3.7974998245905014</v>
      </c>
      <c r="H13" s="74">
        <f t="shared" si="2"/>
        <v>25.822998807215409</v>
      </c>
      <c r="I13" s="74">
        <f t="shared" si="3"/>
        <v>103.65296803652967</v>
      </c>
      <c r="J13" s="113">
        <f t="shared" si="4"/>
        <v>0.24912937175243063</v>
      </c>
      <c r="K13" s="69" t="s">
        <v>230</v>
      </c>
    </row>
    <row r="14" spans="1:11" x14ac:dyDescent="0.25">
      <c r="A14" s="73">
        <v>1961</v>
      </c>
      <c r="B14" s="74">
        <f>Dahmus_2014!D33</f>
        <v>14.252336448598131</v>
      </c>
      <c r="C14" s="74">
        <f>Dahmus_2014!H33</f>
        <v>1008</v>
      </c>
      <c r="D14" s="69" t="s">
        <v>94</v>
      </c>
      <c r="F14" s="74">
        <f t="shared" si="0"/>
        <v>0.40358122649835698</v>
      </c>
      <c r="G14" s="74">
        <f t="shared" si="1"/>
        <v>3.9801974106532745</v>
      </c>
      <c r="H14" s="74">
        <f t="shared" si="2"/>
        <v>27.065342392442268</v>
      </c>
      <c r="I14" s="74">
        <f t="shared" si="3"/>
        <v>115.06849315068493</v>
      </c>
      <c r="J14" s="113">
        <f t="shared" si="4"/>
        <v>0.23521071364860544</v>
      </c>
      <c r="K14" s="69" t="s">
        <v>230</v>
      </c>
    </row>
    <row r="15" spans="1:11" x14ac:dyDescent="0.25">
      <c r="A15" s="73">
        <v>1962</v>
      </c>
      <c r="B15" s="74">
        <f>Dahmus_2014!D34</f>
        <v>14.719626168224298</v>
      </c>
      <c r="C15" s="74">
        <f>Dahmus_2014!H34</f>
        <v>1088</v>
      </c>
      <c r="D15" s="69" t="s">
        <v>94</v>
      </c>
      <c r="F15" s="74">
        <f t="shared" si="0"/>
        <v>0.41681339785895888</v>
      </c>
      <c r="G15" s="74">
        <f t="shared" si="1"/>
        <v>4.1106956864123987</v>
      </c>
      <c r="H15" s="74">
        <f t="shared" si="2"/>
        <v>27.952730667604314</v>
      </c>
      <c r="I15" s="74">
        <f t="shared" si="3"/>
        <v>124.20091324200914</v>
      </c>
      <c r="J15" s="113">
        <f t="shared" si="4"/>
        <v>0.22506058883107885</v>
      </c>
      <c r="K15" s="69" t="s">
        <v>230</v>
      </c>
    </row>
    <row r="16" spans="1:11" x14ac:dyDescent="0.25">
      <c r="A16" s="73">
        <v>1963</v>
      </c>
      <c r="B16" s="74">
        <f>Dahmus_2014!D35</f>
        <v>15.093457943925234</v>
      </c>
      <c r="C16" s="74">
        <f>Dahmus_2014!H35</f>
        <v>1192</v>
      </c>
      <c r="D16" s="69" t="s">
        <v>94</v>
      </c>
      <c r="F16" s="74">
        <f t="shared" si="0"/>
        <v>0.42739913494744036</v>
      </c>
      <c r="G16" s="74">
        <f t="shared" si="1"/>
        <v>4.2150943070196973</v>
      </c>
      <c r="H16" s="74">
        <f t="shared" si="2"/>
        <v>28.662641287733944</v>
      </c>
      <c r="I16" s="74">
        <f t="shared" si="3"/>
        <v>136.07305936073058</v>
      </c>
      <c r="J16" s="113">
        <f t="shared" si="4"/>
        <v>0.21064155845683671</v>
      </c>
      <c r="K16" s="69" t="s">
        <v>230</v>
      </c>
    </row>
    <row r="17" spans="1:11" x14ac:dyDescent="0.25">
      <c r="A17" s="73">
        <v>1964</v>
      </c>
      <c r="B17" s="74">
        <f>Dahmus_2014!D36</f>
        <v>14.953271028037383</v>
      </c>
      <c r="C17" s="74">
        <f>Dahmus_2014!H36</f>
        <v>1284</v>
      </c>
      <c r="D17" s="69" t="s">
        <v>94</v>
      </c>
      <c r="F17" s="74">
        <f t="shared" si="0"/>
        <v>0.4234294835392598</v>
      </c>
      <c r="G17" s="74">
        <f t="shared" si="1"/>
        <v>4.1759448242919603</v>
      </c>
      <c r="H17" s="74">
        <f t="shared" si="2"/>
        <v>28.396424805185333</v>
      </c>
      <c r="I17" s="74">
        <f t="shared" si="3"/>
        <v>146.57534246575344</v>
      </c>
      <c r="J17" s="113">
        <f t="shared" si="4"/>
        <v>0.19373261782976908</v>
      </c>
      <c r="K17" s="69" t="s">
        <v>230</v>
      </c>
    </row>
    <row r="18" spans="1:11" x14ac:dyDescent="0.25">
      <c r="A18" s="73">
        <v>1965</v>
      </c>
      <c r="B18" s="74">
        <f>Dahmus_2014!D37</f>
        <v>15.607476635514018</v>
      </c>
      <c r="C18" s="74">
        <f>Dahmus_2014!H37</f>
        <v>1396</v>
      </c>
      <c r="D18" s="69" t="s">
        <v>94</v>
      </c>
      <c r="F18" s="74">
        <f t="shared" si="0"/>
        <v>0.44195452344410241</v>
      </c>
      <c r="G18" s="74">
        <f t="shared" si="1"/>
        <v>4.3586424103547339</v>
      </c>
      <c r="H18" s="74">
        <f t="shared" si="2"/>
        <v>29.638768390412192</v>
      </c>
      <c r="I18" s="74">
        <f t="shared" si="3"/>
        <v>159.36073059360731</v>
      </c>
      <c r="J18" s="113">
        <f t="shared" si="4"/>
        <v>0.18598539477078135</v>
      </c>
      <c r="K18" s="69" t="s">
        <v>230</v>
      </c>
    </row>
    <row r="19" spans="1:11" x14ac:dyDescent="0.25">
      <c r="A19" s="73">
        <v>1966</v>
      </c>
      <c r="B19" s="74">
        <f>Dahmus_2014!D38</f>
        <v>16.214953271028037</v>
      </c>
      <c r="C19" s="74">
        <f>Dahmus_2014!H38</f>
        <v>1520</v>
      </c>
      <c r="D19" s="69" t="s">
        <v>94</v>
      </c>
      <c r="F19" s="74">
        <f t="shared" si="0"/>
        <v>0.45915634621288487</v>
      </c>
      <c r="G19" s="74">
        <f t="shared" si="1"/>
        <v>4.5282901688415951</v>
      </c>
      <c r="H19" s="74">
        <f t="shared" si="2"/>
        <v>30.792373148122849</v>
      </c>
      <c r="I19" s="74">
        <f t="shared" si="3"/>
        <v>173.51598173515981</v>
      </c>
      <c r="J19" s="113">
        <f t="shared" si="4"/>
        <v>0.17746130840628696</v>
      </c>
      <c r="K19" s="69" t="s">
        <v>230</v>
      </c>
    </row>
    <row r="20" spans="1:11" x14ac:dyDescent="0.25">
      <c r="A20" s="73">
        <v>1967</v>
      </c>
      <c r="B20" s="74">
        <f>Dahmus_2014!D39</f>
        <v>16.915887850467289</v>
      </c>
      <c r="C20" s="74">
        <f>Dahmus_2014!H39</f>
        <v>1580</v>
      </c>
      <c r="D20" s="69" t="s">
        <v>94</v>
      </c>
      <c r="F20" s="74">
        <f t="shared" si="0"/>
        <v>0.47900460325378763</v>
      </c>
      <c r="G20" s="74">
        <f t="shared" si="1"/>
        <v>4.7240375824802801</v>
      </c>
      <c r="H20" s="74">
        <f t="shared" si="2"/>
        <v>32.123455560865906</v>
      </c>
      <c r="I20" s="74">
        <f t="shared" si="3"/>
        <v>180.36529680365297</v>
      </c>
      <c r="J20" s="113">
        <f t="shared" si="4"/>
        <v>0.17810219665391477</v>
      </c>
      <c r="K20" s="69" t="s">
        <v>230</v>
      </c>
    </row>
    <row r="21" spans="1:11" x14ac:dyDescent="0.25">
      <c r="A21" s="73">
        <v>1968</v>
      </c>
      <c r="B21" s="74">
        <f>Dahmus_2014!D40</f>
        <v>17.102803738317757</v>
      </c>
      <c r="C21" s="74">
        <f>Dahmus_2014!H40</f>
        <v>1620</v>
      </c>
      <c r="D21" s="69" t="s">
        <v>94</v>
      </c>
      <c r="F21" s="74">
        <f t="shared" si="0"/>
        <v>0.4842974717980284</v>
      </c>
      <c r="G21" s="74">
        <f t="shared" si="1"/>
        <v>4.7762368927839294</v>
      </c>
      <c r="H21" s="74">
        <f t="shared" si="2"/>
        <v>32.478410870930723</v>
      </c>
      <c r="I21" s="74">
        <f t="shared" si="3"/>
        <v>184.93150684931507</v>
      </c>
      <c r="J21" s="113">
        <f t="shared" si="4"/>
        <v>0.17562399952429206</v>
      </c>
      <c r="K21" s="69" t="s">
        <v>230</v>
      </c>
    </row>
    <row r="22" spans="1:11" x14ac:dyDescent="0.25">
      <c r="A22" s="73">
        <v>1969</v>
      </c>
      <c r="B22" s="74">
        <f>Dahmus_2014!D41</f>
        <v>17.33644859813084</v>
      </c>
      <c r="C22" s="74">
        <f>Dahmus_2014!H41</f>
        <v>1620</v>
      </c>
      <c r="D22" s="69" t="s">
        <v>94</v>
      </c>
      <c r="F22" s="74">
        <f t="shared" si="0"/>
        <v>0.49091355747832932</v>
      </c>
      <c r="G22" s="74">
        <f t="shared" si="1"/>
        <v>4.8414860306634919</v>
      </c>
      <c r="H22" s="74">
        <f t="shared" si="2"/>
        <v>32.92210500851175</v>
      </c>
      <c r="I22" s="74">
        <f t="shared" si="3"/>
        <v>184.93150684931507</v>
      </c>
      <c r="J22" s="113">
        <f t="shared" si="4"/>
        <v>0.17802323449047094</v>
      </c>
      <c r="K22" s="69" t="s">
        <v>230</v>
      </c>
    </row>
    <row r="23" spans="1:11" x14ac:dyDescent="0.25">
      <c r="A23" s="73">
        <v>1970</v>
      </c>
      <c r="B23" s="74">
        <f>Dahmus_2014!D42</f>
        <v>17.289719626168225</v>
      </c>
      <c r="C23" s="74">
        <f>Dahmus_2014!H42</f>
        <v>1648.0000000000002</v>
      </c>
      <c r="D23" s="69" t="s">
        <v>94</v>
      </c>
      <c r="F23" s="74">
        <f t="shared" si="0"/>
        <v>0.48959034034226917</v>
      </c>
      <c r="G23" s="74">
        <f t="shared" si="1"/>
        <v>4.8284362030875796</v>
      </c>
      <c r="H23" s="74">
        <f t="shared" si="2"/>
        <v>32.833366180995547</v>
      </c>
      <c r="I23" s="74">
        <f t="shared" si="3"/>
        <v>188.12785388127855</v>
      </c>
      <c r="J23" s="113">
        <f t="shared" si="4"/>
        <v>0.17452687363199088</v>
      </c>
      <c r="K23" s="69" t="s">
        <v>230</v>
      </c>
    </row>
    <row r="24" spans="1:11" x14ac:dyDescent="0.25">
      <c r="A24" s="73">
        <v>1971</v>
      </c>
      <c r="B24" s="74">
        <f>Dahmus_2014!D43</f>
        <v>17.663551401869157</v>
      </c>
      <c r="C24" s="74">
        <f>Dahmus_2014!H43</f>
        <v>1687.9999999999998</v>
      </c>
      <c r="D24" s="69" t="s">
        <v>94</v>
      </c>
      <c r="F24" s="74">
        <f t="shared" si="0"/>
        <v>0.50017607743075054</v>
      </c>
      <c r="G24" s="74">
        <f t="shared" si="1"/>
        <v>4.9328348236948774</v>
      </c>
      <c r="H24" s="74">
        <f t="shared" si="2"/>
        <v>33.543276801125174</v>
      </c>
      <c r="I24" s="74">
        <f t="shared" si="3"/>
        <v>192.6940639269406</v>
      </c>
      <c r="J24" s="113">
        <f t="shared" si="4"/>
        <v>0.17407529903901456</v>
      </c>
      <c r="K24" s="69" t="s">
        <v>230</v>
      </c>
    </row>
    <row r="25" spans="1:11" x14ac:dyDescent="0.25">
      <c r="A25" s="73">
        <v>1972</v>
      </c>
      <c r="B25" s="74">
        <f>Dahmus_2014!D44</f>
        <v>18.084112149532711</v>
      </c>
      <c r="C25" s="74">
        <f>Dahmus_2014!H44</f>
        <v>1736</v>
      </c>
      <c r="D25" s="69" t="s">
        <v>94</v>
      </c>
      <c r="F25" s="74">
        <f t="shared" si="0"/>
        <v>0.5120850316552924</v>
      </c>
      <c r="G25" s="74">
        <f t="shared" si="1"/>
        <v>5.0502832718780901</v>
      </c>
      <c r="H25" s="74">
        <f t="shared" si="2"/>
        <v>34.341926248771017</v>
      </c>
      <c r="I25" s="74">
        <f t="shared" si="3"/>
        <v>198.17351598173516</v>
      </c>
      <c r="J25" s="113">
        <f t="shared" si="4"/>
        <v>0.17329220849034221</v>
      </c>
      <c r="K25" s="69" t="s">
        <v>230</v>
      </c>
    </row>
    <row r="26" spans="1:11" x14ac:dyDescent="0.25">
      <c r="A26" s="73">
        <v>1973</v>
      </c>
      <c r="B26" s="74">
        <f>Dahmus_2014!D45</f>
        <v>17.663551401869157</v>
      </c>
      <c r="C26" s="74">
        <f>Dahmus_2014!H45</f>
        <v>1792</v>
      </c>
      <c r="D26" s="69" t="s">
        <v>94</v>
      </c>
      <c r="F26" s="74">
        <f t="shared" si="0"/>
        <v>0.50017607743075054</v>
      </c>
      <c r="G26" s="74">
        <f t="shared" si="1"/>
        <v>4.9328348236948774</v>
      </c>
      <c r="H26" s="74">
        <f t="shared" si="2"/>
        <v>33.543276801125174</v>
      </c>
      <c r="I26" s="74">
        <f t="shared" si="3"/>
        <v>204.5662100456621</v>
      </c>
      <c r="J26" s="113">
        <f t="shared" si="4"/>
        <v>0.163972714719786</v>
      </c>
      <c r="K26" s="69" t="s">
        <v>230</v>
      </c>
    </row>
    <row r="27" spans="1:11" x14ac:dyDescent="0.25">
      <c r="A27" s="73">
        <v>1974</v>
      </c>
      <c r="B27" s="74">
        <f>Dahmus_2014!D46</f>
        <v>18.084112149532711</v>
      </c>
      <c r="C27" s="74">
        <f>Dahmus_2014!H46</f>
        <v>1835.9999999999998</v>
      </c>
      <c r="D27" s="69" t="s">
        <v>94</v>
      </c>
      <c r="F27" s="74">
        <f t="shared" si="0"/>
        <v>0.5120850316552924</v>
      </c>
      <c r="G27" s="74">
        <f t="shared" si="1"/>
        <v>5.0502832718780901</v>
      </c>
      <c r="H27" s="74">
        <f t="shared" si="2"/>
        <v>34.341926248771017</v>
      </c>
      <c r="I27" s="74">
        <f t="shared" si="3"/>
        <v>209.58904109589039</v>
      </c>
      <c r="J27" s="113">
        <f t="shared" si="4"/>
        <v>0.16385363504315584</v>
      </c>
      <c r="K27" s="69" t="s">
        <v>230</v>
      </c>
    </row>
    <row r="28" spans="1:11" x14ac:dyDescent="0.25">
      <c r="A28" s="73">
        <v>1975</v>
      </c>
      <c r="B28" s="74">
        <f>Dahmus_2014!D47</f>
        <v>18.479792523364484</v>
      </c>
      <c r="C28" s="74">
        <f>Dahmus_2014!H47</f>
        <v>1747.0000000000002</v>
      </c>
      <c r="D28" s="69" t="s">
        <v>94</v>
      </c>
      <c r="F28" s="74">
        <f t="shared" si="0"/>
        <v>0.52328945214791012</v>
      </c>
      <c r="G28" s="74">
        <f t="shared" si="1"/>
        <v>5.1607834698667823</v>
      </c>
      <c r="H28" s="74">
        <f t="shared" si="2"/>
        <v>35.093327595094124</v>
      </c>
      <c r="I28" s="74">
        <f t="shared" si="3"/>
        <v>199.42922374429224</v>
      </c>
      <c r="J28" s="113">
        <f t="shared" si="4"/>
        <v>0.17596883213109588</v>
      </c>
      <c r="K28" s="69" t="s">
        <v>230</v>
      </c>
    </row>
    <row r="29" spans="1:11" x14ac:dyDescent="0.25">
      <c r="A29" s="73">
        <v>1976</v>
      </c>
      <c r="B29" s="74">
        <f>Dahmus_2014!D48</f>
        <v>18.884130383775698</v>
      </c>
      <c r="C29" s="74">
        <f>Dahmus_2014!H48</f>
        <v>1658</v>
      </c>
      <c r="D29" s="69" t="s">
        <v>94</v>
      </c>
      <c r="F29" s="74">
        <f t="shared" si="0"/>
        <v>0.53473902536090634</v>
      </c>
      <c r="G29" s="74">
        <f t="shared" si="1"/>
        <v>5.2737014121874672</v>
      </c>
      <c r="H29" s="74">
        <f t="shared" si="2"/>
        <v>35.861169602874782</v>
      </c>
      <c r="I29" s="74">
        <f t="shared" si="3"/>
        <v>189.26940639269407</v>
      </c>
      <c r="J29" s="113">
        <f t="shared" si="4"/>
        <v>0.18947155954232997</v>
      </c>
      <c r="K29" s="69" t="s">
        <v>230</v>
      </c>
    </row>
    <row r="30" spans="1:11" x14ac:dyDescent="0.25">
      <c r="A30" s="73">
        <v>1977</v>
      </c>
      <c r="B30" s="74">
        <f>Dahmus_2014!D49</f>
        <v>19.297315156572708</v>
      </c>
      <c r="C30" s="74">
        <f>Dahmus_2014!H49</f>
        <v>1569</v>
      </c>
      <c r="D30" s="69" t="s">
        <v>94</v>
      </c>
      <c r="F30" s="74">
        <f t="shared" si="0"/>
        <v>0.54643911523580291</v>
      </c>
      <c r="G30" s="74">
        <f t="shared" si="1"/>
        <v>5.3890899990861278</v>
      </c>
      <c r="H30" s="74">
        <f t="shared" si="2"/>
        <v>36.645811993785671</v>
      </c>
      <c r="I30" s="74">
        <f t="shared" si="3"/>
        <v>179.10958904109589</v>
      </c>
      <c r="J30" s="113">
        <f t="shared" si="4"/>
        <v>0.20459994459245537</v>
      </c>
      <c r="K30" s="69" t="s">
        <v>230</v>
      </c>
    </row>
    <row r="31" spans="1:11" x14ac:dyDescent="0.25">
      <c r="A31" s="73">
        <v>1978</v>
      </c>
      <c r="B31" s="74">
        <f>Dahmus_2014!D50</f>
        <v>19.719626168224298</v>
      </c>
      <c r="C31" s="74">
        <f>Dahmus_2014!H50</f>
        <v>1480</v>
      </c>
      <c r="D31" s="69" t="s">
        <v>94</v>
      </c>
      <c r="F31" s="74">
        <f t="shared" si="0"/>
        <v>0.55839763141739884</v>
      </c>
      <c r="G31" s="74">
        <f t="shared" si="1"/>
        <v>5.5070272370350226</v>
      </c>
      <c r="H31" s="74">
        <f t="shared" si="2"/>
        <v>37.447785211838159</v>
      </c>
      <c r="I31" s="74">
        <f t="shared" si="3"/>
        <v>168.94977168949771</v>
      </c>
      <c r="J31" s="113">
        <f t="shared" si="4"/>
        <v>0.22165040436196101</v>
      </c>
      <c r="K31" s="69" t="s">
        <v>230</v>
      </c>
    </row>
    <row r="32" spans="1:11" x14ac:dyDescent="0.25">
      <c r="A32" s="73">
        <v>1979</v>
      </c>
      <c r="B32" s="74">
        <f>Dahmus_2014!D51</f>
        <v>19.659813084112152</v>
      </c>
      <c r="C32" s="74">
        <f>Dahmus_2014!H51</f>
        <v>1312</v>
      </c>
      <c r="D32" s="69" t="s">
        <v>94</v>
      </c>
      <c r="F32" s="74">
        <f t="shared" si="0"/>
        <v>0.55670391348324189</v>
      </c>
      <c r="G32" s="74">
        <f t="shared" si="1"/>
        <v>5.4903234577378557</v>
      </c>
      <c r="H32" s="74">
        <f t="shared" si="2"/>
        <v>37.334199512617424</v>
      </c>
      <c r="I32" s="74">
        <f t="shared" si="3"/>
        <v>149.77168949771689</v>
      </c>
      <c r="J32" s="113">
        <f t="shared" si="4"/>
        <v>0.24927407601412244</v>
      </c>
      <c r="K32" s="69" t="s">
        <v>230</v>
      </c>
    </row>
    <row r="33" spans="1:11" x14ac:dyDescent="0.25">
      <c r="A33" s="73">
        <v>1980</v>
      </c>
      <c r="B33" s="74">
        <f>Dahmus_2014!D52</f>
        <v>19.600000000000001</v>
      </c>
      <c r="C33" s="74">
        <f>Dahmus_2014!H52</f>
        <v>1242.0144810941272</v>
      </c>
      <c r="D33" s="69" t="s">
        <v>94</v>
      </c>
      <c r="F33" s="74">
        <f t="shared" si="0"/>
        <v>0.55501019554908482</v>
      </c>
      <c r="G33" s="74">
        <f t="shared" si="1"/>
        <v>5.473619678440687</v>
      </c>
      <c r="H33" s="74">
        <f t="shared" si="2"/>
        <v>37.220613813396675</v>
      </c>
      <c r="I33" s="74">
        <f t="shared" si="3"/>
        <v>141.78247501074512</v>
      </c>
      <c r="J33" s="113">
        <f t="shared" si="4"/>
        <v>0.26251914286709888</v>
      </c>
      <c r="K33" s="69" t="s">
        <v>230</v>
      </c>
    </row>
    <row r="34" spans="1:11" x14ac:dyDescent="0.25">
      <c r="A34" s="73">
        <v>1981</v>
      </c>
      <c r="B34" s="74">
        <f>Dahmus_2014!D53</f>
        <v>19.86</v>
      </c>
      <c r="C34" s="74">
        <f>Dahmus_2014!H53</f>
        <v>1199.7199533255543</v>
      </c>
      <c r="D34" s="69" t="s">
        <v>94</v>
      </c>
      <c r="F34" s="74">
        <f t="shared" si="0"/>
        <v>0.56237257569412369</v>
      </c>
      <c r="G34" s="74">
        <f t="shared" si="1"/>
        <v>5.546228919073064</v>
      </c>
      <c r="H34" s="74">
        <f t="shared" si="2"/>
        <v>37.714356649696839</v>
      </c>
      <c r="I34" s="74">
        <f t="shared" si="3"/>
        <v>136.95433257141033</v>
      </c>
      <c r="J34" s="113">
        <f t="shared" si="4"/>
        <v>0.27537906936994438</v>
      </c>
      <c r="K34" s="69" t="s">
        <v>230</v>
      </c>
    </row>
    <row r="35" spans="1:11" x14ac:dyDescent="0.25">
      <c r="A35" s="73">
        <v>1982</v>
      </c>
      <c r="B35" s="74">
        <f>Dahmus_2014!D54</f>
        <v>19.97</v>
      </c>
      <c r="C35" s="74">
        <f>Dahmus_2014!H54</f>
        <v>1188.2938651855595</v>
      </c>
      <c r="D35" s="69" t="s">
        <v>94</v>
      </c>
      <c r="F35" s="74">
        <f t="shared" ref="F35:F70" si="5">B35*ft3_to_m3</f>
        <v>0.56548742883240932</v>
      </c>
      <c r="G35" s="74">
        <f t="shared" ref="G35:G66" si="6">F35*internalvol_to_internalarea</f>
        <v>5.5769482131867614</v>
      </c>
      <c r="H35" s="74">
        <f t="shared" ref="H35:H66" si="7">heat_transfer_coefficient*G35*ABS(temp_diff)</f>
        <v>37.923247849669977</v>
      </c>
      <c r="I35" s="74">
        <f t="shared" ref="I35:I70" si="8">(C35/year_to_hour)*1000</f>
        <v>135.64998461022367</v>
      </c>
      <c r="J35" s="113">
        <f t="shared" si="4"/>
        <v>0.27956691597598438</v>
      </c>
      <c r="K35" s="69" t="s">
        <v>230</v>
      </c>
    </row>
    <row r="36" spans="1:11" x14ac:dyDescent="0.25">
      <c r="A36" s="73">
        <v>1983</v>
      </c>
      <c r="B36" s="74">
        <f>Dahmus_2014!D55</f>
        <v>20.309999999999999</v>
      </c>
      <c r="C36" s="74">
        <f>Dahmus_2014!H55</f>
        <v>1160</v>
      </c>
      <c r="D36" s="69" t="s">
        <v>94</v>
      </c>
      <c r="F36" s="74">
        <f t="shared" si="5"/>
        <v>0.57511515671438329</v>
      </c>
      <c r="G36" s="74">
        <f t="shared" si="6"/>
        <v>5.6718987586290996</v>
      </c>
      <c r="H36" s="74">
        <f t="shared" si="7"/>
        <v>38.568911558677883</v>
      </c>
      <c r="I36" s="74">
        <f t="shared" si="8"/>
        <v>132.42009132420091</v>
      </c>
      <c r="J36" s="113">
        <f t="shared" si="4"/>
        <v>0.29126178039139505</v>
      </c>
      <c r="K36" s="69" t="s">
        <v>230</v>
      </c>
    </row>
    <row r="37" spans="1:11" x14ac:dyDescent="0.25">
      <c r="A37" s="73">
        <v>1984</v>
      </c>
      <c r="B37" s="74">
        <f>Dahmus_2014!D56</f>
        <v>20.51</v>
      </c>
      <c r="C37" s="74">
        <f>Dahmus_2014!H56</f>
        <v>1104.4848484848487</v>
      </c>
      <c r="D37" s="69" t="s">
        <v>94</v>
      </c>
      <c r="F37" s="74">
        <f t="shared" si="5"/>
        <v>0.58077852605672087</v>
      </c>
      <c r="G37" s="74">
        <f t="shared" si="6"/>
        <v>5.7277520206540045</v>
      </c>
      <c r="H37" s="74">
        <f t="shared" si="7"/>
        <v>38.948713740447232</v>
      </c>
      <c r="I37" s="74">
        <f t="shared" si="8"/>
        <v>126.08274526082747</v>
      </c>
      <c r="J37" s="113">
        <f t="shared" si="4"/>
        <v>0.30891390935273499</v>
      </c>
      <c r="K37" s="69" t="s">
        <v>230</v>
      </c>
    </row>
    <row r="38" spans="1:11" x14ac:dyDescent="0.25">
      <c r="A38" s="73">
        <v>1985</v>
      </c>
      <c r="B38" s="74">
        <f>Dahmus_2014!D57</f>
        <v>19.47</v>
      </c>
      <c r="C38" s="74">
        <f>Dahmus_2014!H57</f>
        <v>1072.7903075489285</v>
      </c>
      <c r="D38" s="69" t="s">
        <v>94</v>
      </c>
      <c r="F38" s="74">
        <f t="shared" si="5"/>
        <v>0.55132900547656527</v>
      </c>
      <c r="G38" s="74">
        <f t="shared" si="6"/>
        <v>5.437315058124498</v>
      </c>
      <c r="H38" s="74">
        <f t="shared" si="7"/>
        <v>36.973742395246589</v>
      </c>
      <c r="I38" s="74">
        <f t="shared" si="8"/>
        <v>122.46464698047129</v>
      </c>
      <c r="J38" s="113">
        <f t="shared" si="4"/>
        <v>0.30191359961330372</v>
      </c>
      <c r="K38" s="69" t="s">
        <v>230</v>
      </c>
    </row>
    <row r="39" spans="1:11" x14ac:dyDescent="0.25">
      <c r="A39" s="73">
        <v>1986</v>
      </c>
      <c r="B39" s="74">
        <f>Dahmus_2014!D58</f>
        <v>20.079999999999998</v>
      </c>
      <c r="C39" s="74">
        <f>Dahmus_2014!H58</f>
        <v>1031.372700871249</v>
      </c>
      <c r="D39" s="69" t="s">
        <v>94</v>
      </c>
      <c r="F39" s="74">
        <f t="shared" si="5"/>
        <v>0.56860228197069496</v>
      </c>
      <c r="G39" s="74">
        <f t="shared" si="6"/>
        <v>5.6076675073004587</v>
      </c>
      <c r="H39" s="74">
        <f t="shared" si="7"/>
        <v>38.132139049643122</v>
      </c>
      <c r="I39" s="74">
        <f t="shared" si="8"/>
        <v>117.73660968849873</v>
      </c>
      <c r="J39" s="113">
        <f t="shared" si="4"/>
        <v>0.32387665272960647</v>
      </c>
      <c r="K39" s="69" t="s">
        <v>230</v>
      </c>
    </row>
    <row r="40" spans="1:11" x14ac:dyDescent="0.25">
      <c r="A40" s="73">
        <v>1987</v>
      </c>
      <c r="B40" s="74">
        <f>Dahmus_2014!D59</f>
        <v>19.89</v>
      </c>
      <c r="C40" s="74">
        <f>Dahmus_2014!H59</f>
        <v>978.97446373850869</v>
      </c>
      <c r="D40" s="69" t="s">
        <v>94</v>
      </c>
      <c r="F40" s="74">
        <f t="shared" si="5"/>
        <v>0.56322208109547434</v>
      </c>
      <c r="G40" s="74">
        <f t="shared" si="6"/>
        <v>5.5546069083767993</v>
      </c>
      <c r="H40" s="74">
        <f t="shared" si="7"/>
        <v>37.771326976962236</v>
      </c>
      <c r="I40" s="74">
        <f t="shared" si="8"/>
        <v>111.75507576923616</v>
      </c>
      <c r="J40" s="113">
        <f t="shared" si="4"/>
        <v>0.33798310024822958</v>
      </c>
      <c r="K40" s="69" t="s">
        <v>230</v>
      </c>
    </row>
    <row r="41" spans="1:11" x14ac:dyDescent="0.25">
      <c r="A41" s="73">
        <v>1988</v>
      </c>
      <c r="B41" s="74">
        <f>Dahmus_2014!D60</f>
        <v>20.079999999999998</v>
      </c>
      <c r="C41" s="74">
        <f>Dahmus_2014!H60</f>
        <v>961.99584199584206</v>
      </c>
      <c r="D41" s="69" t="s">
        <v>94</v>
      </c>
      <c r="F41" s="74">
        <f t="shared" si="5"/>
        <v>0.56860228197069496</v>
      </c>
      <c r="G41" s="74">
        <f t="shared" si="6"/>
        <v>5.6076675073004587</v>
      </c>
      <c r="H41" s="74">
        <f t="shared" si="7"/>
        <v>38.132139049643122</v>
      </c>
      <c r="I41" s="74">
        <f t="shared" si="8"/>
        <v>109.81687694016462</v>
      </c>
      <c r="J41" s="113">
        <f t="shared" si="4"/>
        <v>0.34723386889266566</v>
      </c>
      <c r="K41" s="69" t="s">
        <v>230</v>
      </c>
    </row>
    <row r="42" spans="1:11" x14ac:dyDescent="0.25">
      <c r="A42" s="73">
        <v>1989</v>
      </c>
      <c r="B42" s="74">
        <f>Dahmus_2014!D61</f>
        <v>19.91</v>
      </c>
      <c r="C42" s="74">
        <f>Dahmus_2014!H61</f>
        <v>934.99893048128331</v>
      </c>
      <c r="D42" s="69" t="s">
        <v>94</v>
      </c>
      <c r="F42" s="74">
        <f t="shared" si="5"/>
        <v>0.56378841802970803</v>
      </c>
      <c r="G42" s="74">
        <f t="shared" si="6"/>
        <v>5.5601922345792891</v>
      </c>
      <c r="H42" s="74">
        <f t="shared" si="7"/>
        <v>37.809307195139169</v>
      </c>
      <c r="I42" s="74">
        <f t="shared" si="8"/>
        <v>106.73503772617389</v>
      </c>
      <c r="J42" s="113">
        <f t="shared" si="4"/>
        <v>0.35423519774395001</v>
      </c>
      <c r="K42" s="69" t="s">
        <v>230</v>
      </c>
    </row>
    <row r="43" spans="1:11" x14ac:dyDescent="0.25">
      <c r="A43" s="73">
        <v>1990</v>
      </c>
      <c r="B43" s="74">
        <f>Dahmus_2014!D62</f>
        <v>20.45</v>
      </c>
      <c r="C43" s="74">
        <f>Dahmus_2014!H62</f>
        <v>893.4586129753917</v>
      </c>
      <c r="D43" s="69" t="s">
        <v>94</v>
      </c>
      <c r="F43" s="74">
        <f t="shared" si="5"/>
        <v>0.57907951525401957</v>
      </c>
      <c r="G43" s="74">
        <f t="shared" si="6"/>
        <v>5.7109960420465331</v>
      </c>
      <c r="H43" s="74">
        <f t="shared" si="7"/>
        <v>38.834773085916432</v>
      </c>
      <c r="I43" s="74">
        <f t="shared" si="8"/>
        <v>101.992992348789</v>
      </c>
      <c r="J43" s="113">
        <f t="shared" si="4"/>
        <v>0.38075922856652544</v>
      </c>
      <c r="K43" s="69" t="s">
        <v>230</v>
      </c>
    </row>
    <row r="44" spans="1:11" x14ac:dyDescent="0.25">
      <c r="A44" s="73">
        <v>1991</v>
      </c>
      <c r="B44" s="74">
        <f>Dahmus_2014!D63</f>
        <v>19.82</v>
      </c>
      <c r="C44" s="74">
        <f>Dahmus_2014!H63</f>
        <v>848.41484973482613</v>
      </c>
      <c r="D44" s="69" t="s">
        <v>94</v>
      </c>
      <c r="F44" s="74">
        <f t="shared" si="5"/>
        <v>0.5612399018256562</v>
      </c>
      <c r="G44" s="74">
        <f t="shared" si="6"/>
        <v>5.5350582666680834</v>
      </c>
      <c r="H44" s="74">
        <f t="shared" si="7"/>
        <v>37.638396213342972</v>
      </c>
      <c r="I44" s="74">
        <f t="shared" si="8"/>
        <v>96.851010243701609</v>
      </c>
      <c r="J44" s="113">
        <f t="shared" si="4"/>
        <v>0.38862161704493592</v>
      </c>
      <c r="K44" s="69" t="s">
        <v>230</v>
      </c>
    </row>
    <row r="45" spans="1:11" x14ac:dyDescent="0.25">
      <c r="A45" s="73">
        <v>1992</v>
      </c>
      <c r="B45" s="74">
        <f>Dahmus_2014!D64</f>
        <v>19.78</v>
      </c>
      <c r="C45" s="74">
        <f>Dahmus_2014!H64</f>
        <v>729.28368314150305</v>
      </c>
      <c r="D45" s="69" t="s">
        <v>94</v>
      </c>
      <c r="F45" s="74">
        <f t="shared" si="5"/>
        <v>0.5601072279571887</v>
      </c>
      <c r="G45" s="74">
        <f t="shared" si="6"/>
        <v>5.5238876142631019</v>
      </c>
      <c r="H45" s="74">
        <f t="shared" si="7"/>
        <v>37.562435776989098</v>
      </c>
      <c r="I45" s="74">
        <f t="shared" si="8"/>
        <v>83.251562002454691</v>
      </c>
      <c r="J45" s="113">
        <f t="shared" si="4"/>
        <v>0.45119196413253559</v>
      </c>
      <c r="K45" s="69" t="s">
        <v>230</v>
      </c>
    </row>
    <row r="46" spans="1:11" x14ac:dyDescent="0.25">
      <c r="A46" s="73">
        <v>1993</v>
      </c>
      <c r="B46" s="74">
        <f>Dahmus_2014!D65</f>
        <v>20.11</v>
      </c>
      <c r="C46" s="74">
        <f>Dahmus_2014!H65</f>
        <v>651.90184049079767</v>
      </c>
      <c r="D46" s="69" t="s">
        <v>94</v>
      </c>
      <c r="F46" s="74">
        <f t="shared" si="5"/>
        <v>0.56945178737204571</v>
      </c>
      <c r="G46" s="74">
        <f t="shared" si="6"/>
        <v>5.6160454966041948</v>
      </c>
      <c r="H46" s="74">
        <f t="shared" si="7"/>
        <v>38.189109376908526</v>
      </c>
      <c r="I46" s="74">
        <f t="shared" si="8"/>
        <v>74.418018320867304</v>
      </c>
      <c r="J46" s="113">
        <f t="shared" si="4"/>
        <v>0.51317020042443195</v>
      </c>
      <c r="K46" s="69" t="s">
        <v>230</v>
      </c>
    </row>
    <row r="47" spans="1:11" x14ac:dyDescent="0.25">
      <c r="A47" s="73">
        <v>1994</v>
      </c>
      <c r="B47" s="74">
        <f>Dahmus_2014!D66</f>
        <v>20.03</v>
      </c>
      <c r="C47" s="74">
        <f>Dahmus_2014!H66</f>
        <v>646.43464810518196</v>
      </c>
      <c r="D47" s="69" t="s">
        <v>94</v>
      </c>
      <c r="F47" s="74">
        <f t="shared" si="5"/>
        <v>0.56718643963511062</v>
      </c>
      <c r="G47" s="74">
        <f t="shared" si="6"/>
        <v>5.5937041917942327</v>
      </c>
      <c r="H47" s="74">
        <f t="shared" si="7"/>
        <v>38.037188504200785</v>
      </c>
      <c r="I47" s="74">
        <f t="shared" si="8"/>
        <v>73.793909601048171</v>
      </c>
      <c r="J47" s="113">
        <f t="shared" si="4"/>
        <v>0.5154515963423153</v>
      </c>
      <c r="K47" s="69" t="s">
        <v>230</v>
      </c>
    </row>
    <row r="48" spans="1:11" x14ac:dyDescent="0.25">
      <c r="A48" s="73">
        <v>1995</v>
      </c>
      <c r="B48" s="74">
        <f>Dahmus_2014!D67</f>
        <v>19.95</v>
      </c>
      <c r="C48" s="74">
        <f>Dahmus_2014!H67</f>
        <v>652.48122605363983</v>
      </c>
      <c r="D48" s="69" t="s">
        <v>94</v>
      </c>
      <c r="F48" s="74">
        <f t="shared" si="5"/>
        <v>0.56492109189817563</v>
      </c>
      <c r="G48" s="74">
        <f t="shared" si="6"/>
        <v>5.5713628869842715</v>
      </c>
      <c r="H48" s="74">
        <f t="shared" si="7"/>
        <v>37.885267631493051</v>
      </c>
      <c r="I48" s="74">
        <f t="shared" si="8"/>
        <v>74.484158225301357</v>
      </c>
      <c r="J48" s="113">
        <f t="shared" si="4"/>
        <v>0.50863523914570985</v>
      </c>
      <c r="K48" s="69" t="s">
        <v>230</v>
      </c>
    </row>
    <row r="49" spans="1:11" x14ac:dyDescent="0.25">
      <c r="A49" s="73">
        <v>1996</v>
      </c>
      <c r="B49" s="74">
        <f>Dahmus_2014!D68</f>
        <v>20.309999999999999</v>
      </c>
      <c r="C49" s="74">
        <f>Dahmus_2014!H68</f>
        <v>646.17478731631854</v>
      </c>
      <c r="D49" s="69" t="s">
        <v>94</v>
      </c>
      <c r="F49" s="74">
        <f t="shared" si="5"/>
        <v>0.57511515671438329</v>
      </c>
      <c r="G49" s="74">
        <f t="shared" si="6"/>
        <v>5.6718987586290996</v>
      </c>
      <c r="H49" s="74">
        <f t="shared" si="7"/>
        <v>38.568911558677883</v>
      </c>
      <c r="I49" s="74">
        <f t="shared" si="8"/>
        <v>73.764245127433625</v>
      </c>
      <c r="J49" s="113">
        <f t="shared" si="4"/>
        <v>0.5228672982696021</v>
      </c>
      <c r="K49" s="69" t="s">
        <v>230</v>
      </c>
    </row>
    <row r="50" spans="1:11" x14ac:dyDescent="0.25">
      <c r="A50" s="73">
        <v>1997</v>
      </c>
      <c r="B50" s="74">
        <f>Dahmus_2014!D69</f>
        <v>20.43</v>
      </c>
      <c r="C50" s="74">
        <f>Dahmus_2014!H69</f>
        <v>645.71693735498843</v>
      </c>
      <c r="D50" s="69" t="s">
        <v>94</v>
      </c>
      <c r="F50" s="74">
        <f t="shared" si="5"/>
        <v>0.57851317831978588</v>
      </c>
      <c r="G50" s="74">
        <f t="shared" si="6"/>
        <v>5.7054107158440432</v>
      </c>
      <c r="H50" s="74">
        <f t="shared" si="7"/>
        <v>38.796792867739498</v>
      </c>
      <c r="I50" s="74">
        <f t="shared" si="8"/>
        <v>73.711979150112839</v>
      </c>
      <c r="J50" s="113">
        <f t="shared" si="4"/>
        <v>0.5263295507061434</v>
      </c>
      <c r="K50" s="69" t="s">
        <v>230</v>
      </c>
    </row>
    <row r="51" spans="1:11" x14ac:dyDescent="0.25">
      <c r="A51" s="73">
        <v>1998</v>
      </c>
      <c r="B51" s="74">
        <f>Dahmus_2014!D70</f>
        <v>20.852272727272727</v>
      </c>
      <c r="C51" s="74">
        <f>Dahmus_2014!H70</f>
        <v>616</v>
      </c>
      <c r="D51" s="69" t="s">
        <v>94</v>
      </c>
      <c r="F51" s="74">
        <f t="shared" si="5"/>
        <v>0.59047061040849402</v>
      </c>
      <c r="G51" s="74">
        <f t="shared" si="6"/>
        <v>5.8233372622557162</v>
      </c>
      <c r="H51" s="74">
        <f t="shared" si="7"/>
        <v>39.598693383338876</v>
      </c>
      <c r="I51" s="74">
        <f t="shared" si="8"/>
        <v>70.319634703196343</v>
      </c>
      <c r="J51" s="113">
        <f t="shared" si="4"/>
        <v>0.56312427603579318</v>
      </c>
      <c r="K51" s="69" t="s">
        <v>230</v>
      </c>
    </row>
    <row r="52" spans="1:11" x14ac:dyDescent="0.25">
      <c r="A52" s="73">
        <v>1999</v>
      </c>
      <c r="B52" s="74">
        <f>Dahmus_2014!D71</f>
        <v>20.988636363636363</v>
      </c>
      <c r="C52" s="74">
        <f>Dahmus_2014!H71</f>
        <v>637.25429017160684</v>
      </c>
      <c r="D52" s="69" t="s">
        <v>94</v>
      </c>
      <c r="F52" s="74">
        <f t="shared" si="5"/>
        <v>0.59433199859645158</v>
      </c>
      <c r="G52" s="74">
        <f t="shared" si="6"/>
        <v>5.8614190318181532</v>
      </c>
      <c r="H52" s="74">
        <f t="shared" si="7"/>
        <v>39.857649416363444</v>
      </c>
      <c r="I52" s="74">
        <f t="shared" si="8"/>
        <v>72.745923535571563</v>
      </c>
      <c r="J52" s="113">
        <f t="shared" si="4"/>
        <v>0.54790217072264824</v>
      </c>
      <c r="K52" s="69" t="s">
        <v>230</v>
      </c>
    </row>
    <row r="53" spans="1:11" x14ac:dyDescent="0.25">
      <c r="A53" s="73">
        <v>2000</v>
      </c>
      <c r="B53" s="74">
        <f>Dahmus_2014!D72</f>
        <v>22.113636363636363</v>
      </c>
      <c r="C53" s="74">
        <f>Dahmus_2014!H72</f>
        <v>565.11564625850349</v>
      </c>
      <c r="D53" s="69" t="s">
        <v>94</v>
      </c>
      <c r="F53" s="74">
        <f t="shared" si="5"/>
        <v>0.62618845114710053</v>
      </c>
      <c r="G53" s="74">
        <f t="shared" si="6"/>
        <v>6.1755936307082431</v>
      </c>
      <c r="H53" s="74">
        <f t="shared" si="7"/>
        <v>41.994036688816053</v>
      </c>
      <c r="I53" s="74">
        <f t="shared" si="8"/>
        <v>64.510918522660219</v>
      </c>
      <c r="J53" s="113">
        <f t="shared" si="4"/>
        <v>0.65096014210470676</v>
      </c>
      <c r="K53" s="69" t="s">
        <v>230</v>
      </c>
    </row>
    <row r="54" spans="1:11" x14ac:dyDescent="0.25">
      <c r="A54" s="73">
        <v>2001</v>
      </c>
      <c r="B54" s="74">
        <f>Dahmus_2014!D73</f>
        <v>22.164772727272727</v>
      </c>
      <c r="C54" s="74">
        <f>Dahmus_2014!H73</f>
        <v>565</v>
      </c>
      <c r="D54" s="69" t="s">
        <v>94</v>
      </c>
      <c r="F54" s="74">
        <f t="shared" si="5"/>
        <v>0.62763647171758452</v>
      </c>
      <c r="G54" s="74">
        <f t="shared" si="6"/>
        <v>6.1898742942941558</v>
      </c>
      <c r="H54" s="74">
        <f t="shared" si="7"/>
        <v>42.091145201200263</v>
      </c>
      <c r="I54" s="74">
        <f t="shared" si="8"/>
        <v>64.497716894977174</v>
      </c>
      <c r="J54" s="113">
        <f t="shared" si="4"/>
        <v>0.65259899462391902</v>
      </c>
      <c r="K54" s="69" t="s">
        <v>230</v>
      </c>
    </row>
    <row r="55" spans="1:11" x14ac:dyDescent="0.25">
      <c r="A55" s="73">
        <v>2002</v>
      </c>
      <c r="B55" s="74">
        <f>Dahmus_2014!D74</f>
        <v>22.31818181818182</v>
      </c>
      <c r="C55" s="74">
        <f>Dahmus_2014!H74</f>
        <v>520</v>
      </c>
      <c r="D55" s="69" t="s">
        <v>94</v>
      </c>
      <c r="F55" s="74">
        <f t="shared" si="5"/>
        <v>0.63198053342903682</v>
      </c>
      <c r="G55" s="74">
        <f t="shared" si="6"/>
        <v>6.2327162850518967</v>
      </c>
      <c r="H55" s="74">
        <f t="shared" si="7"/>
        <v>42.3824707383529</v>
      </c>
      <c r="I55" s="74">
        <f t="shared" si="8"/>
        <v>59.3607305936073</v>
      </c>
      <c r="J55" s="113">
        <f t="shared" si="4"/>
        <v>0.71398162243840657</v>
      </c>
      <c r="K55" s="69" t="s">
        <v>230</v>
      </c>
    </row>
    <row r="56" spans="1:11" x14ac:dyDescent="0.25">
      <c r="A56" s="73">
        <v>2003</v>
      </c>
      <c r="B56" s="74">
        <f>Dahmus_2014!D75</f>
        <v>22.420454545454547</v>
      </c>
      <c r="C56" s="74">
        <f>Dahmus_2014!H75</f>
        <v>510</v>
      </c>
      <c r="D56" s="69" t="s">
        <v>94</v>
      </c>
      <c r="F56" s="74">
        <f t="shared" si="5"/>
        <v>0.6348765745700049</v>
      </c>
      <c r="G56" s="74">
        <f t="shared" si="6"/>
        <v>6.261277612223723</v>
      </c>
      <c r="H56" s="74">
        <f t="shared" si="7"/>
        <v>42.576687763121313</v>
      </c>
      <c r="I56" s="74">
        <f t="shared" si="8"/>
        <v>58.219178082191775</v>
      </c>
      <c r="J56" s="113">
        <f t="shared" si="4"/>
        <v>0.73131722510773089</v>
      </c>
      <c r="K56" s="69" t="s">
        <v>230</v>
      </c>
    </row>
    <row r="57" spans="1:11" x14ac:dyDescent="0.25">
      <c r="A57" s="73">
        <v>2004</v>
      </c>
      <c r="B57" s="74">
        <f>Dahmus_2014!D76</f>
        <v>21.738636363636363</v>
      </c>
      <c r="C57" s="74">
        <f>Dahmus_2014!H76</f>
        <v>500</v>
      </c>
      <c r="D57" s="69" t="s">
        <v>94</v>
      </c>
      <c r="F57" s="74">
        <f t="shared" si="5"/>
        <v>0.61556963363021755</v>
      </c>
      <c r="G57" s="74">
        <f t="shared" si="6"/>
        <v>6.0708687644115464</v>
      </c>
      <c r="H57" s="74">
        <f t="shared" si="7"/>
        <v>41.281907597998512</v>
      </c>
      <c r="I57" s="74">
        <f t="shared" si="8"/>
        <v>57.077625570776256</v>
      </c>
      <c r="J57" s="113">
        <f t="shared" si="4"/>
        <v>0.72325902111693396</v>
      </c>
      <c r="K57" s="69" t="s">
        <v>230</v>
      </c>
    </row>
    <row r="58" spans="1:11" x14ac:dyDescent="0.25">
      <c r="A58" s="73">
        <v>2005</v>
      </c>
      <c r="B58" s="74">
        <f>Dahmus_2014!D77</f>
        <v>20.988636363636363</v>
      </c>
      <c r="C58" s="74">
        <f>Dahmus_2014!H77</f>
        <v>503</v>
      </c>
      <c r="D58" s="69" t="s">
        <v>94</v>
      </c>
      <c r="F58" s="74">
        <f t="shared" si="5"/>
        <v>0.59433199859645158</v>
      </c>
      <c r="G58" s="74">
        <f t="shared" si="6"/>
        <v>5.8614190318181532</v>
      </c>
      <c r="H58" s="74">
        <f t="shared" si="7"/>
        <v>39.857649416363444</v>
      </c>
      <c r="I58" s="74">
        <f t="shared" si="8"/>
        <v>57.420091324200918</v>
      </c>
      <c r="J58" s="113">
        <f t="shared" si="4"/>
        <v>0.69414117075018633</v>
      </c>
      <c r="K58" s="69" t="s">
        <v>230</v>
      </c>
    </row>
    <row r="59" spans="1:11" x14ac:dyDescent="0.25">
      <c r="A59" s="73">
        <v>2006</v>
      </c>
      <c r="B59" s="74">
        <f>Dahmus_2014!D78</f>
        <v>22.420454545454547</v>
      </c>
      <c r="C59" s="74">
        <f>Dahmus_2014!H78</f>
        <v>506</v>
      </c>
      <c r="D59" s="69" t="s">
        <v>94</v>
      </c>
      <c r="F59" s="74">
        <f t="shared" si="5"/>
        <v>0.6348765745700049</v>
      </c>
      <c r="G59" s="74">
        <f t="shared" si="6"/>
        <v>6.261277612223723</v>
      </c>
      <c r="H59" s="74">
        <f t="shared" si="7"/>
        <v>42.576687763121313</v>
      </c>
      <c r="I59" s="74">
        <f t="shared" si="8"/>
        <v>57.762557077625573</v>
      </c>
      <c r="J59" s="113">
        <f t="shared" si="4"/>
        <v>0.73709838894257451</v>
      </c>
      <c r="K59" s="69" t="s">
        <v>230</v>
      </c>
    </row>
    <row r="60" spans="1:11" x14ac:dyDescent="0.25">
      <c r="A60" s="73">
        <v>2007</v>
      </c>
      <c r="B60" s="74">
        <f>Dahmus_2014!D79</f>
        <v>22.045454545454547</v>
      </c>
      <c r="C60" s="74">
        <f>Dahmus_2014!H79</f>
        <v>498</v>
      </c>
      <c r="D60" s="69" t="s">
        <v>94</v>
      </c>
      <c r="F60" s="74">
        <f t="shared" si="5"/>
        <v>0.62425775705312181</v>
      </c>
      <c r="G60" s="74">
        <f t="shared" si="6"/>
        <v>6.1565527459270255</v>
      </c>
      <c r="H60" s="74">
        <f t="shared" si="7"/>
        <v>41.864558672303779</v>
      </c>
      <c r="I60" s="74">
        <f t="shared" si="8"/>
        <v>56.849315068493155</v>
      </c>
      <c r="J60" s="113">
        <f t="shared" si="4"/>
        <v>0.73641271881401826</v>
      </c>
      <c r="K60" s="69" t="s">
        <v>230</v>
      </c>
    </row>
    <row r="61" spans="1:11" x14ac:dyDescent="0.25">
      <c r="A61" s="73">
        <v>2008</v>
      </c>
      <c r="B61" s="74">
        <f>Dahmus_2014!D80</f>
        <v>21.56818181818182</v>
      </c>
      <c r="C61" s="74">
        <f>Dahmus_2014!H80</f>
        <v>485</v>
      </c>
      <c r="D61" s="69" t="s">
        <v>94</v>
      </c>
      <c r="F61" s="74">
        <f t="shared" si="5"/>
        <v>0.61074289839527074</v>
      </c>
      <c r="G61" s="74">
        <f t="shared" si="6"/>
        <v>6.0232665524585025</v>
      </c>
      <c r="H61" s="74">
        <f t="shared" si="7"/>
        <v>40.958212556717825</v>
      </c>
      <c r="I61" s="74">
        <f t="shared" si="8"/>
        <v>55.365296803652967</v>
      </c>
      <c r="J61" s="113">
        <f t="shared" si="4"/>
        <v>0.73978132370484151</v>
      </c>
      <c r="K61" s="69" t="s">
        <v>230</v>
      </c>
    </row>
    <row r="62" spans="1:11" x14ac:dyDescent="0.25">
      <c r="A62" s="73">
        <v>2009</v>
      </c>
      <c r="B62" s="74">
        <f>Dahmus_2014!D81</f>
        <v>21.261363636363637</v>
      </c>
      <c r="C62" s="74">
        <f>Dahmus_2014!H81</f>
        <v>473</v>
      </c>
      <c r="D62" s="69" t="s">
        <v>94</v>
      </c>
      <c r="F62" s="74">
        <f t="shared" si="5"/>
        <v>0.60205477497236648</v>
      </c>
      <c r="G62" s="74">
        <f t="shared" si="6"/>
        <v>5.9375825709430234</v>
      </c>
      <c r="H62" s="74">
        <f t="shared" si="7"/>
        <v>40.375561482412564</v>
      </c>
      <c r="I62" s="74">
        <f t="shared" si="8"/>
        <v>53.99543378995434</v>
      </c>
      <c r="J62" s="113">
        <f t="shared" si="4"/>
        <v>0.74775881307808467</v>
      </c>
      <c r="K62" s="69" t="s">
        <v>230</v>
      </c>
    </row>
    <row r="63" spans="1:11" x14ac:dyDescent="0.25">
      <c r="A63" s="73">
        <v>2010</v>
      </c>
      <c r="B63" s="74">
        <f>AHAM_2017!B26</f>
        <v>21.97</v>
      </c>
      <c r="C63" s="74">
        <f>AHAM_2017!C26</f>
        <v>455</v>
      </c>
      <c r="D63" s="69" t="s">
        <v>191</v>
      </c>
      <c r="F63" s="74">
        <f t="shared" si="5"/>
        <v>0.62212112225578531</v>
      </c>
      <c r="G63" s="74">
        <f t="shared" si="6"/>
        <v>6.1354808334358104</v>
      </c>
      <c r="H63" s="74">
        <f t="shared" si="7"/>
        <v>41.721269667363508</v>
      </c>
      <c r="I63" s="74">
        <f t="shared" si="8"/>
        <v>51.94063926940639</v>
      </c>
      <c r="J63" s="113">
        <f t="shared" si="4"/>
        <v>0.80324905996946017</v>
      </c>
      <c r="K63" s="69" t="s">
        <v>230</v>
      </c>
    </row>
    <row r="64" spans="1:11" x14ac:dyDescent="0.25">
      <c r="A64" s="73">
        <v>2011</v>
      </c>
      <c r="B64" s="74">
        <f>AHAM_2017!B27</f>
        <v>22</v>
      </c>
      <c r="C64" s="74">
        <f>AHAM_2017!C27</f>
        <v>452</v>
      </c>
      <c r="D64" s="69" t="s">
        <v>191</v>
      </c>
      <c r="F64" s="74">
        <f t="shared" si="5"/>
        <v>0.62297062765713596</v>
      </c>
      <c r="G64" s="74">
        <f t="shared" si="6"/>
        <v>6.1438588227395465</v>
      </c>
      <c r="H64" s="74">
        <f t="shared" si="7"/>
        <v>41.778239994628919</v>
      </c>
      <c r="I64" s="74">
        <f t="shared" si="8"/>
        <v>51.598173515981735</v>
      </c>
      <c r="J64" s="113">
        <f t="shared" si="4"/>
        <v>0.80968447423218881</v>
      </c>
      <c r="K64" s="69" t="s">
        <v>230</v>
      </c>
    </row>
    <row r="65" spans="1:11" x14ac:dyDescent="0.25">
      <c r="A65" s="73">
        <v>2012</v>
      </c>
      <c r="B65" s="74">
        <f>AHAM_2017!B28</f>
        <v>22.59</v>
      </c>
      <c r="C65" s="74">
        <f>AHAM_2017!C28</f>
        <v>454</v>
      </c>
      <c r="D65" s="69" t="s">
        <v>191</v>
      </c>
      <c r="F65" s="74">
        <f t="shared" si="5"/>
        <v>0.63967756721703195</v>
      </c>
      <c r="G65" s="74">
        <f t="shared" si="6"/>
        <v>6.3086259457130165</v>
      </c>
      <c r="H65" s="74">
        <f t="shared" si="7"/>
        <v>42.898656430848519</v>
      </c>
      <c r="I65" s="74">
        <f t="shared" si="8"/>
        <v>51.826484018264843</v>
      </c>
      <c r="J65" s="113">
        <f t="shared" si="4"/>
        <v>0.82773619016350886</v>
      </c>
      <c r="K65" s="69" t="s">
        <v>230</v>
      </c>
    </row>
    <row r="66" spans="1:11" x14ac:dyDescent="0.25">
      <c r="A66" s="73">
        <v>2013</v>
      </c>
      <c r="B66" s="74">
        <f>AHAM_2017!B29</f>
        <v>21.66</v>
      </c>
      <c r="C66" s="74">
        <f>AHAM_2017!C29</f>
        <v>444</v>
      </c>
      <c r="D66" s="69" t="s">
        <v>191</v>
      </c>
      <c r="F66" s="74">
        <f t="shared" si="5"/>
        <v>0.6133428997751621</v>
      </c>
      <c r="G66" s="74">
        <f t="shared" si="6"/>
        <v>6.0489082772972083</v>
      </c>
      <c r="H66" s="74">
        <f t="shared" si="7"/>
        <v>41.13257628562102</v>
      </c>
      <c r="I66" s="74">
        <f t="shared" si="8"/>
        <v>50.684931506849317</v>
      </c>
      <c r="J66" s="113">
        <f t="shared" si="4"/>
        <v>0.81153461320279308</v>
      </c>
      <c r="K66" s="69" t="s">
        <v>230</v>
      </c>
    </row>
    <row r="67" spans="1:11" x14ac:dyDescent="0.25">
      <c r="A67" s="73">
        <v>2014</v>
      </c>
      <c r="B67" s="74">
        <f>AHAM_2017!B30</f>
        <v>24.24</v>
      </c>
      <c r="C67" s="74">
        <f>AHAM_2017!C30</f>
        <v>502</v>
      </c>
      <c r="D67" s="69" t="s">
        <v>191</v>
      </c>
      <c r="F67" s="74">
        <f t="shared" si="5"/>
        <v>0.68640036429131712</v>
      </c>
      <c r="G67" s="74">
        <f>F67*internalvol_to_internalarea</f>
        <v>6.7694153574184828</v>
      </c>
      <c r="H67" s="74">
        <f t="shared" ref="H67:H70" si="9">heat_transfer_coefficient*G67*ABS(temp_diff)</f>
        <v>46.032024430445688</v>
      </c>
      <c r="I67" s="74">
        <f t="shared" si="8"/>
        <v>57.305936073059357</v>
      </c>
      <c r="J67" s="113">
        <f t="shared" si="4"/>
        <v>0.80326799603725951</v>
      </c>
      <c r="K67" s="69" t="s">
        <v>230</v>
      </c>
    </row>
    <row r="68" spans="1:11" x14ac:dyDescent="0.25">
      <c r="A68" s="73">
        <v>2015</v>
      </c>
      <c r="B68" s="74">
        <f>AHAM_2017!B31</f>
        <v>22.4</v>
      </c>
      <c r="C68" s="74">
        <f>AHAM_2017!C31</f>
        <v>490</v>
      </c>
      <c r="D68" s="69" t="s">
        <v>191</v>
      </c>
      <c r="F68" s="74">
        <f t="shared" si="5"/>
        <v>0.63429736634181111</v>
      </c>
      <c r="G68" s="74">
        <f>F68*internalvol_to_internalarea</f>
        <v>6.2555653467893562</v>
      </c>
      <c r="H68" s="74">
        <f t="shared" si="9"/>
        <v>42.537844358167625</v>
      </c>
      <c r="I68" s="74">
        <f t="shared" si="8"/>
        <v>55.93607305936073</v>
      </c>
      <c r="J68" s="113">
        <f>H68/I68</f>
        <v>0.76047248281132329</v>
      </c>
      <c r="K68" s="69" t="s">
        <v>230</v>
      </c>
    </row>
    <row r="69" spans="1:11" x14ac:dyDescent="0.25">
      <c r="A69" s="73">
        <v>2016</v>
      </c>
      <c r="B69" s="74">
        <f>AHAM_2017!B32</f>
        <v>24.08</v>
      </c>
      <c r="C69" s="74">
        <f>AHAM_2017!C32</f>
        <v>510</v>
      </c>
      <c r="D69" s="69" t="s">
        <v>191</v>
      </c>
      <c r="F69" s="74">
        <f t="shared" si="5"/>
        <v>0.68186966881744704</v>
      </c>
      <c r="G69" s="74">
        <f>F69*internalvol_to_internalarea</f>
        <v>6.7247327477985586</v>
      </c>
      <c r="H69" s="74">
        <f t="shared" si="9"/>
        <v>45.728182685030205</v>
      </c>
      <c r="I69" s="74">
        <f t="shared" si="8"/>
        <v>58.219178082191775</v>
      </c>
      <c r="J69" s="113">
        <f>H69/I69</f>
        <v>0.78544878494287185</v>
      </c>
      <c r="K69" s="69" t="s">
        <v>230</v>
      </c>
    </row>
    <row r="70" spans="1:11" x14ac:dyDescent="0.25">
      <c r="A70" s="73">
        <v>2017</v>
      </c>
      <c r="B70" s="74">
        <f>AHAM_2017!B33</f>
        <v>23.91</v>
      </c>
      <c r="C70" s="74">
        <f>AHAM_2017!C33</f>
        <v>505</v>
      </c>
      <c r="D70" s="69" t="s">
        <v>191</v>
      </c>
      <c r="F70" s="74">
        <f t="shared" si="5"/>
        <v>0.67705580487646011</v>
      </c>
      <c r="G70" s="74">
        <f>F70*internalvol_to_internalarea</f>
        <v>6.6772574750773899</v>
      </c>
      <c r="H70" s="74">
        <f t="shared" si="9"/>
        <v>45.405350830526253</v>
      </c>
      <c r="I70" s="74">
        <f t="shared" si="8"/>
        <v>57.648401826484012</v>
      </c>
      <c r="J70" s="113">
        <f>H70/I70</f>
        <v>0.78762549163447526</v>
      </c>
      <c r="K70" s="69" t="s">
        <v>230</v>
      </c>
    </row>
    <row r="71" spans="1:11" x14ac:dyDescent="0.25">
      <c r="A71" s="73">
        <v>2018</v>
      </c>
      <c r="J71" s="118">
        <f>_xlfn.FORECAST.LINEAR(A71,J61:J70,A61:A70)</f>
        <v>0.80249237021381514</v>
      </c>
      <c r="K71" s="119" t="s">
        <v>231</v>
      </c>
    </row>
    <row r="72" spans="1:11" x14ac:dyDescent="0.25">
      <c r="A72" s="73">
        <v>2019</v>
      </c>
      <c r="J72" s="118">
        <f>_xlfn.FORECAST.LINEAR(A72,J62:J71,A62:A71)</f>
        <v>0.79566038930217831</v>
      </c>
      <c r="K72" s="119" t="s">
        <v>231</v>
      </c>
    </row>
    <row r="73" spans="1:11" x14ac:dyDescent="0.25">
      <c r="A73" s="73">
        <v>2020</v>
      </c>
      <c r="J73" s="118">
        <f>_xlfn.FORECAST.LINEAR(A73,J63:J72,A63:A72)</f>
        <v>0.78404221009148678</v>
      </c>
      <c r="K73" s="119" t="s">
        <v>231</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405"/>
  <sheetViews>
    <sheetView workbookViewId="0">
      <selection activeCell="B2" sqref="A2:XFD2"/>
    </sheetView>
  </sheetViews>
  <sheetFormatPr defaultColWidth="7.75" defaultRowHeight="12.75" x14ac:dyDescent="0.2"/>
  <cols>
    <col min="1" max="1" width="7.75" style="11"/>
    <col min="2" max="6" width="12.5" style="9" customWidth="1"/>
    <col min="7" max="7" width="1.625" style="10" customWidth="1"/>
    <col min="8" max="8" width="14.125" style="11" customWidth="1"/>
    <col min="9" max="9" width="15.625" style="11" bestFit="1" customWidth="1"/>
    <col min="10" max="10" width="19.25" style="11" bestFit="1" customWidth="1"/>
    <col min="11" max="11" width="22.375" style="11" customWidth="1"/>
    <col min="12" max="12" width="1.625" style="11" customWidth="1"/>
    <col min="13" max="14" width="8.5" style="11" customWidth="1"/>
    <col min="15" max="15" width="1.625" style="11" customWidth="1"/>
    <col min="16" max="19" width="10.625" style="11" customWidth="1"/>
    <col min="20" max="16384" width="7.75" style="11"/>
  </cols>
  <sheetData>
    <row r="1" spans="1:20" x14ac:dyDescent="0.2">
      <c r="A1" s="11" t="s">
        <v>270</v>
      </c>
    </row>
    <row r="2" spans="1:20" ht="15" x14ac:dyDescent="0.25">
      <c r="A2" s="76" t="s">
        <v>271</v>
      </c>
    </row>
    <row r="4" spans="1:20" x14ac:dyDescent="0.2">
      <c r="A4" s="8" t="s">
        <v>38</v>
      </c>
    </row>
    <row r="5" spans="1:20" x14ac:dyDescent="0.2">
      <c r="A5" s="12" t="s">
        <v>39</v>
      </c>
    </row>
    <row r="6" spans="1:20" x14ac:dyDescent="0.2">
      <c r="H6" s="13"/>
      <c r="I6" s="13"/>
      <c r="J6" s="13"/>
      <c r="K6" s="13"/>
      <c r="L6" s="13"/>
      <c r="M6" s="13"/>
      <c r="N6" s="13"/>
      <c r="O6" s="13"/>
      <c r="P6" s="13"/>
      <c r="Q6" s="13"/>
      <c r="R6" s="13"/>
      <c r="S6" s="13"/>
    </row>
    <row r="7" spans="1:20" ht="69" customHeight="1" x14ac:dyDescent="0.2">
      <c r="A7" s="14" t="s">
        <v>40</v>
      </c>
      <c r="B7" s="15" t="s">
        <v>41</v>
      </c>
      <c r="C7" s="15" t="s">
        <v>42</v>
      </c>
      <c r="D7" s="15" t="s">
        <v>43</v>
      </c>
      <c r="E7" s="15" t="s">
        <v>44</v>
      </c>
      <c r="F7" s="15" t="s">
        <v>45</v>
      </c>
      <c r="G7" s="16"/>
      <c r="H7" s="15" t="s">
        <v>46</v>
      </c>
      <c r="I7" s="15" t="s">
        <v>47</v>
      </c>
      <c r="J7" s="15" t="s">
        <v>48</v>
      </c>
      <c r="K7" s="15" t="s">
        <v>49</v>
      </c>
      <c r="L7" s="15"/>
      <c r="M7" s="15" t="s">
        <v>50</v>
      </c>
      <c r="N7" s="15" t="s">
        <v>51</v>
      </c>
      <c r="O7" s="15"/>
      <c r="P7" s="15" t="s">
        <v>52</v>
      </c>
      <c r="Q7" s="15" t="s">
        <v>53</v>
      </c>
      <c r="R7" s="15" t="s">
        <v>54</v>
      </c>
      <c r="S7" s="15" t="s">
        <v>55</v>
      </c>
      <c r="T7" s="17"/>
    </row>
    <row r="8" spans="1:20" x14ac:dyDescent="0.2">
      <c r="A8" s="18">
        <v>1936</v>
      </c>
      <c r="B8" s="19">
        <v>10.602492038626224</v>
      </c>
      <c r="C8" s="20"/>
      <c r="D8" s="19">
        <v>5.5318568547475975</v>
      </c>
      <c r="E8" s="20"/>
      <c r="F8" s="20"/>
      <c r="G8" s="21"/>
      <c r="H8" s="22">
        <v>330.12952585695706</v>
      </c>
      <c r="I8" s="22">
        <f>H8/D8</f>
        <v>59.677886562381033</v>
      </c>
      <c r="J8" s="23">
        <f>1/((I8*$B$96)/($B$93*$B$90*$B$87))</f>
        <v>1.1547074464168257</v>
      </c>
      <c r="K8" s="22"/>
      <c r="L8" s="24"/>
      <c r="M8" s="25"/>
      <c r="N8" s="25"/>
      <c r="O8" s="24"/>
      <c r="P8" s="24"/>
      <c r="Q8" s="24"/>
      <c r="R8" s="24"/>
      <c r="S8" s="24"/>
    </row>
    <row r="9" spans="1:20" x14ac:dyDescent="0.2">
      <c r="A9" s="18">
        <v>1937</v>
      </c>
      <c r="B9" s="19">
        <v>11.637485926039517</v>
      </c>
      <c r="C9" s="26"/>
      <c r="D9" s="19">
        <v>5.7408228048439156</v>
      </c>
      <c r="E9" s="26"/>
      <c r="F9" s="26"/>
      <c r="G9" s="21"/>
      <c r="H9" s="22">
        <v>332.00865025870371</v>
      </c>
      <c r="I9" s="22">
        <f t="shared" ref="I9:I72" si="0">H9/D9</f>
        <v>57.83293815976446</v>
      </c>
      <c r="J9" s="23">
        <f t="shared" ref="J9:J72" si="1">1/((I9*$B$96)/($B$93*$B$90*$B$87))</f>
        <v>1.191544164843114</v>
      </c>
      <c r="K9" s="22"/>
      <c r="L9" s="24"/>
      <c r="M9" s="25"/>
      <c r="N9" s="25"/>
      <c r="O9" s="24"/>
      <c r="P9" s="24"/>
      <c r="Q9" s="24"/>
      <c r="R9" s="24"/>
      <c r="S9" s="24"/>
    </row>
    <row r="10" spans="1:20" x14ac:dyDescent="0.2">
      <c r="A10" s="18">
        <v>1938</v>
      </c>
      <c r="B10" s="19">
        <v>12.713707350660115</v>
      </c>
      <c r="C10" s="26"/>
      <c r="D10" s="19">
        <v>5.9576824458737185</v>
      </c>
      <c r="E10" s="26"/>
      <c r="F10" s="26"/>
      <c r="G10" s="21"/>
      <c r="H10" s="22">
        <v>333.89702850971088</v>
      </c>
      <c r="I10" s="22">
        <f t="shared" si="0"/>
        <v>56.044784451539108</v>
      </c>
      <c r="J10" s="23">
        <f t="shared" si="1"/>
        <v>1.2295613351780421</v>
      </c>
      <c r="K10" s="22"/>
      <c r="L10" s="24"/>
      <c r="M10" s="25"/>
      <c r="N10" s="25"/>
      <c r="O10" s="24"/>
      <c r="P10" s="24"/>
      <c r="Q10" s="24"/>
      <c r="R10" s="24"/>
      <c r="S10" s="24"/>
    </row>
    <row r="11" spans="1:20" x14ac:dyDescent="0.2">
      <c r="A11" s="18">
        <v>1939</v>
      </c>
      <c r="B11" s="19">
        <v>13.830287131946534</v>
      </c>
      <c r="C11" s="26"/>
      <c r="D11" s="19">
        <v>6.1827339620939377</v>
      </c>
      <c r="E11" s="26"/>
      <c r="F11" s="26"/>
      <c r="G11" s="21"/>
      <c r="H11" s="22">
        <v>335.7948320785477</v>
      </c>
      <c r="I11" s="22">
        <f t="shared" si="0"/>
        <v>54.311706461460354</v>
      </c>
      <c r="J11" s="23">
        <f t="shared" si="1"/>
        <v>1.2687964435236252</v>
      </c>
      <c r="K11" s="22"/>
      <c r="L11" s="24"/>
      <c r="M11" s="25"/>
      <c r="N11" s="25"/>
      <c r="O11" s="24"/>
      <c r="P11" s="24"/>
      <c r="Q11" s="24"/>
      <c r="R11" s="24"/>
      <c r="S11" s="24"/>
    </row>
    <row r="12" spans="1:20" x14ac:dyDescent="0.2">
      <c r="A12" s="18">
        <v>1940</v>
      </c>
      <c r="B12" s="20">
        <v>14.986356091219932</v>
      </c>
      <c r="C12" s="26"/>
      <c r="D12" s="19">
        <v>6.4162868016749037</v>
      </c>
      <c r="E12" s="26"/>
      <c r="F12" s="26"/>
      <c r="G12" s="21"/>
      <c r="H12" s="22">
        <v>337.702234014434</v>
      </c>
      <c r="I12" s="22">
        <f t="shared" si="0"/>
        <v>52.632035389421873</v>
      </c>
      <c r="J12" s="23">
        <f t="shared" si="1"/>
        <v>1.3092881453307772</v>
      </c>
      <c r="K12" s="22"/>
      <c r="L12" s="24"/>
      <c r="M12" s="25"/>
      <c r="N12" s="25"/>
      <c r="O12" s="24"/>
      <c r="P12" s="24"/>
      <c r="Q12" s="24"/>
      <c r="R12" s="24"/>
      <c r="S12" s="24"/>
    </row>
    <row r="13" spans="1:20" x14ac:dyDescent="0.2">
      <c r="A13" s="18">
        <v>1941</v>
      </c>
      <c r="B13" s="19">
        <v>16.18104504654184</v>
      </c>
      <c r="C13" s="26"/>
      <c r="D13" s="19">
        <v>6.6586621021947945</v>
      </c>
      <c r="E13" s="26"/>
      <c r="F13" s="26"/>
      <c r="G13" s="21"/>
      <c r="H13" s="22">
        <v>339.61940900004191</v>
      </c>
      <c r="I13" s="22">
        <f t="shared" si="0"/>
        <v>51.004151252561421</v>
      </c>
      <c r="J13" s="23">
        <f t="shared" si="1"/>
        <v>1.3510763008048159</v>
      </c>
      <c r="K13" s="22"/>
      <c r="L13" s="24"/>
      <c r="M13" s="25"/>
      <c r="N13" s="25"/>
      <c r="O13" s="24"/>
      <c r="P13" s="24"/>
      <c r="Q13" s="24"/>
      <c r="R13" s="24"/>
      <c r="S13" s="24"/>
    </row>
    <row r="14" spans="1:20" x14ac:dyDescent="0.2">
      <c r="A14" s="18">
        <v>1942</v>
      </c>
      <c r="B14" s="19">
        <v>17.413484820630401</v>
      </c>
      <c r="C14" s="26"/>
      <c r="D14" s="19">
        <v>6.9101931322071346</v>
      </c>
      <c r="E14" s="26"/>
      <c r="F14" s="26"/>
      <c r="G14" s="21"/>
      <c r="H14" s="22">
        <v>341.54653340498675</v>
      </c>
      <c r="I14" s="22">
        <f t="shared" si="0"/>
        <v>49.426481557093012</v>
      </c>
      <c r="J14" s="23">
        <f t="shared" si="1"/>
        <v>1.3942020113327469</v>
      </c>
      <c r="K14" s="22"/>
      <c r="L14" s="24"/>
      <c r="M14" s="25"/>
      <c r="N14" s="25"/>
      <c r="O14" s="24"/>
      <c r="P14" s="24"/>
      <c r="Q14" s="24"/>
      <c r="R14" s="24"/>
      <c r="S14" s="24"/>
    </row>
    <row r="15" spans="1:20" x14ac:dyDescent="0.2">
      <c r="A15" s="18">
        <v>1943</v>
      </c>
      <c r="B15" s="19">
        <v>18.682806232012808</v>
      </c>
      <c r="C15" s="26"/>
      <c r="D15" s="19">
        <v>7.1712257494885163</v>
      </c>
      <c r="E15" s="26"/>
      <c r="F15" s="26"/>
      <c r="G15" s="21"/>
      <c r="H15" s="22">
        <v>343.48378534003803</v>
      </c>
      <c r="I15" s="22">
        <f t="shared" si="0"/>
        <v>47.897500000545485</v>
      </c>
      <c r="J15" s="23">
        <f t="shared" si="1"/>
        <v>1.438707656959449</v>
      </c>
      <c r="K15" s="22"/>
      <c r="L15" s="24"/>
      <c r="M15" s="25"/>
      <c r="N15" s="25"/>
      <c r="O15" s="24"/>
      <c r="P15" s="24"/>
      <c r="Q15" s="24"/>
      <c r="R15" s="24"/>
      <c r="S15" s="24"/>
    </row>
    <row r="16" spans="1:20" x14ac:dyDescent="0.2">
      <c r="A16" s="18">
        <v>1944</v>
      </c>
      <c r="B16" s="19">
        <v>19.988140100613236</v>
      </c>
      <c r="C16" s="26"/>
      <c r="D16" s="19">
        <v>7.4421188765966342</v>
      </c>
      <c r="E16" s="26"/>
      <c r="F16" s="26"/>
      <c r="G16" s="21"/>
      <c r="H16" s="22">
        <v>345.43134471209055</v>
      </c>
      <c r="I16" s="22">
        <f t="shared" si="0"/>
        <v>46.415725204064493</v>
      </c>
      <c r="J16" s="23">
        <f t="shared" si="1"/>
        <v>1.4846369349404391</v>
      </c>
      <c r="K16" s="22"/>
      <c r="L16" s="24"/>
      <c r="M16" s="25"/>
      <c r="N16" s="25"/>
      <c r="O16" s="24"/>
      <c r="P16" s="24"/>
      <c r="Q16" s="24"/>
      <c r="R16" s="24"/>
      <c r="S16" s="24"/>
    </row>
    <row r="17" spans="1:19" x14ac:dyDescent="0.2">
      <c r="A17" s="18">
        <v>1945</v>
      </c>
      <c r="B17" s="19">
        <v>21.328617247752845</v>
      </c>
      <c r="C17" s="26"/>
      <c r="D17" s="19">
        <v>7.7232449943925223</v>
      </c>
      <c r="E17" s="26"/>
      <c r="F17" s="26"/>
      <c r="G17" s="21"/>
      <c r="H17" s="22">
        <v>347.38939327992773</v>
      </c>
      <c r="I17" s="22">
        <f t="shared" si="0"/>
        <v>44.979719474411404</v>
      </c>
      <c r="J17" s="23">
        <f t="shared" si="1"/>
        <v>1.5320348993995532</v>
      </c>
      <c r="K17" s="22"/>
      <c r="L17" s="27"/>
      <c r="M17" s="25"/>
      <c r="N17" s="25"/>
      <c r="O17" s="27"/>
      <c r="P17" s="27"/>
      <c r="Q17" s="27"/>
      <c r="R17" s="27"/>
      <c r="S17" s="27"/>
    </row>
    <row r="18" spans="1:19" x14ac:dyDescent="0.2">
      <c r="A18" s="18">
        <v>1946</v>
      </c>
      <c r="B18" s="19">
        <v>22.703368492424488</v>
      </c>
      <c r="C18" s="26"/>
      <c r="D18" s="19">
        <v>8.0149906542056062</v>
      </c>
      <c r="E18" s="26"/>
      <c r="F18" s="26"/>
      <c r="G18" s="21"/>
      <c r="H18" s="22">
        <v>349.35811471081564</v>
      </c>
      <c r="I18" s="22">
        <f t="shared" si="0"/>
        <v>43.588087595273905</v>
      </c>
      <c r="J18" s="23">
        <f t="shared" si="1"/>
        <v>1.5809480021204627</v>
      </c>
      <c r="K18" s="22"/>
      <c r="L18" s="27"/>
      <c r="M18" s="25"/>
      <c r="N18" s="25"/>
      <c r="O18" s="27"/>
      <c r="P18" s="27"/>
      <c r="Q18" s="27"/>
      <c r="R18" s="27"/>
      <c r="S18" s="27"/>
    </row>
    <row r="19" spans="1:19" x14ac:dyDescent="0.2">
      <c r="A19" s="18">
        <v>1947</v>
      </c>
      <c r="B19" s="19">
        <v>24.111524655483663</v>
      </c>
      <c r="C19" s="26"/>
      <c r="D19" s="20">
        <v>8.3177570093457938</v>
      </c>
      <c r="E19" s="26"/>
      <c r="F19" s="26"/>
      <c r="G19" s="28"/>
      <c r="H19" s="24">
        <v>352</v>
      </c>
      <c r="I19" s="29">
        <f t="shared" si="0"/>
        <v>42.319101123595509</v>
      </c>
      <c r="J19" s="30">
        <f t="shared" si="1"/>
        <v>1.6283545295242141</v>
      </c>
      <c r="K19" s="29"/>
      <c r="L19" s="31"/>
      <c r="M19" s="25"/>
      <c r="N19" s="25"/>
      <c r="O19" s="31"/>
      <c r="P19" s="31"/>
      <c r="Q19" s="31"/>
      <c r="R19" s="31"/>
      <c r="S19" s="31"/>
    </row>
    <row r="20" spans="1:19" x14ac:dyDescent="0.2">
      <c r="A20" s="18">
        <v>1948</v>
      </c>
      <c r="B20" s="19">
        <v>25.552216557320207</v>
      </c>
      <c r="C20" s="26"/>
      <c r="D20" s="20">
        <v>8.6448598130841123</v>
      </c>
      <c r="E20" s="26"/>
      <c r="F20" s="26"/>
      <c r="G20" s="28"/>
      <c r="H20" s="24">
        <v>352</v>
      </c>
      <c r="I20" s="29">
        <f t="shared" si="0"/>
        <v>40.717837837837834</v>
      </c>
      <c r="J20" s="30">
        <f t="shared" si="1"/>
        <v>1.6923909436066271</v>
      </c>
      <c r="K20" s="29"/>
      <c r="L20" s="31"/>
      <c r="M20" s="25"/>
      <c r="N20" s="25"/>
      <c r="O20" s="31"/>
      <c r="P20" s="31"/>
      <c r="Q20" s="31"/>
      <c r="R20" s="31"/>
      <c r="S20" s="31"/>
    </row>
    <row r="21" spans="1:19" x14ac:dyDescent="0.2">
      <c r="A21" s="18">
        <v>1949</v>
      </c>
      <c r="B21" s="19">
        <v>27.024575017392635</v>
      </c>
      <c r="C21" s="26"/>
      <c r="D21" s="20">
        <v>8.7383177570093462</v>
      </c>
      <c r="E21" s="26"/>
      <c r="F21" s="26"/>
      <c r="G21" s="28"/>
      <c r="H21" s="24">
        <v>356</v>
      </c>
      <c r="I21" s="29">
        <f t="shared" si="0"/>
        <v>40.740106951871653</v>
      </c>
      <c r="J21" s="30">
        <f t="shared" si="1"/>
        <v>1.6914658589730129</v>
      </c>
      <c r="K21" s="29"/>
      <c r="L21" s="31"/>
      <c r="M21" s="25"/>
      <c r="N21" s="25"/>
      <c r="O21" s="31"/>
      <c r="P21" s="31"/>
      <c r="Q21" s="31"/>
      <c r="R21" s="31"/>
      <c r="S21" s="31"/>
    </row>
    <row r="22" spans="1:19" x14ac:dyDescent="0.2">
      <c r="A22" s="18">
        <v>1950</v>
      </c>
      <c r="B22" s="19">
        <v>28.527730855625123</v>
      </c>
      <c r="C22" s="26"/>
      <c r="D22" s="20">
        <v>9.4392523364485985</v>
      </c>
      <c r="E22" s="26"/>
      <c r="F22" s="26"/>
      <c r="G22" s="28"/>
      <c r="H22" s="24">
        <v>368</v>
      </c>
      <c r="I22" s="29">
        <f t="shared" si="0"/>
        <v>38.986138613861385</v>
      </c>
      <c r="J22" s="30">
        <f t="shared" si="1"/>
        <v>1.7675641253555465</v>
      </c>
      <c r="K22" s="29"/>
      <c r="L22" s="31"/>
      <c r="M22" s="25"/>
      <c r="N22" s="25"/>
      <c r="O22" s="31"/>
      <c r="P22" s="31"/>
      <c r="Q22" s="31"/>
      <c r="R22" s="31"/>
      <c r="S22" s="31"/>
    </row>
    <row r="23" spans="1:19" x14ac:dyDescent="0.2">
      <c r="A23" s="18">
        <v>1951</v>
      </c>
      <c r="B23" s="19">
        <v>30.060814892873168</v>
      </c>
      <c r="C23" s="26"/>
      <c r="D23" s="20">
        <v>9.6728971962616814</v>
      </c>
      <c r="E23" s="26"/>
      <c r="F23" s="26"/>
      <c r="G23" s="28"/>
      <c r="H23" s="24">
        <v>388</v>
      </c>
      <c r="I23" s="29">
        <f t="shared" si="0"/>
        <v>40.112077294685996</v>
      </c>
      <c r="J23" s="30">
        <f t="shared" si="1"/>
        <v>1.7179489233066769</v>
      </c>
      <c r="K23" s="29"/>
      <c r="L23" s="31"/>
      <c r="M23" s="25"/>
      <c r="N23" s="25"/>
      <c r="O23" s="31"/>
      <c r="P23" s="31"/>
      <c r="Q23" s="31"/>
      <c r="R23" s="31"/>
      <c r="S23" s="31"/>
    </row>
    <row r="24" spans="1:19" x14ac:dyDescent="0.2">
      <c r="A24" s="18">
        <v>1952</v>
      </c>
      <c r="B24" s="19">
        <v>31.622957949060947</v>
      </c>
      <c r="C24" s="26"/>
      <c r="D24" s="20">
        <v>10.514018691588785</v>
      </c>
      <c r="E24" s="26"/>
      <c r="F24" s="26"/>
      <c r="G24" s="28"/>
      <c r="H24" s="24">
        <v>416</v>
      </c>
      <c r="I24" s="29">
        <f t="shared" si="0"/>
        <v>39.566222222222223</v>
      </c>
      <c r="J24" s="30">
        <f t="shared" si="1"/>
        <v>1.7416497236700215</v>
      </c>
      <c r="K24" s="29"/>
      <c r="L24" s="31"/>
      <c r="M24" s="25"/>
      <c r="N24" s="25"/>
      <c r="O24" s="31"/>
      <c r="P24" s="31"/>
      <c r="Q24" s="31"/>
      <c r="R24" s="31"/>
      <c r="S24" s="31"/>
    </row>
    <row r="25" spans="1:19" x14ac:dyDescent="0.2">
      <c r="A25" s="18">
        <v>1953</v>
      </c>
      <c r="B25" s="19">
        <v>33.213290843646973</v>
      </c>
      <c r="C25" s="26"/>
      <c r="D25" s="20">
        <v>10.560747663551401</v>
      </c>
      <c r="E25" s="26"/>
      <c r="F25" s="26"/>
      <c r="G25" s="28"/>
      <c r="H25" s="24">
        <v>456</v>
      </c>
      <c r="I25" s="29">
        <f t="shared" si="0"/>
        <v>43.178761061946901</v>
      </c>
      <c r="J25" s="30">
        <f t="shared" si="1"/>
        <v>1.5959350918183308</v>
      </c>
      <c r="K25" s="29"/>
      <c r="L25" s="31"/>
      <c r="M25" s="25"/>
      <c r="N25" s="25"/>
      <c r="O25" s="31"/>
      <c r="P25" s="31"/>
      <c r="Q25" s="31"/>
      <c r="R25" s="31"/>
      <c r="S25" s="31"/>
    </row>
    <row r="26" spans="1:19" x14ac:dyDescent="0.2">
      <c r="A26" s="18">
        <v>1954</v>
      </c>
      <c r="B26" s="19">
        <v>34.830944397486746</v>
      </c>
      <c r="C26" s="26"/>
      <c r="D26" s="20">
        <v>10.981308411214954</v>
      </c>
      <c r="E26" s="26"/>
      <c r="F26" s="26"/>
      <c r="G26" s="28"/>
      <c r="H26" s="24">
        <v>504</v>
      </c>
      <c r="I26" s="29">
        <f t="shared" si="0"/>
        <v>45.896170212765952</v>
      </c>
      <c r="J26" s="30">
        <f t="shared" si="1"/>
        <v>1.5014433596647383</v>
      </c>
      <c r="K26" s="29"/>
      <c r="L26" s="31"/>
      <c r="M26" s="25"/>
      <c r="N26" s="25"/>
      <c r="O26" s="31"/>
      <c r="P26" s="31"/>
      <c r="Q26" s="31"/>
      <c r="R26" s="31"/>
      <c r="S26" s="31"/>
    </row>
    <row r="27" spans="1:19" x14ac:dyDescent="0.2">
      <c r="A27" s="18">
        <v>1955</v>
      </c>
      <c r="B27" s="19">
        <v>36.475049431435764</v>
      </c>
      <c r="C27" s="26"/>
      <c r="D27" s="20">
        <v>11.822429906542055</v>
      </c>
      <c r="E27" s="26"/>
      <c r="F27" s="26"/>
      <c r="G27" s="28"/>
      <c r="H27" s="24">
        <v>584</v>
      </c>
      <c r="I27" s="29">
        <f t="shared" si="0"/>
        <v>49.397628458498026</v>
      </c>
      <c r="J27" s="30">
        <f t="shared" si="1"/>
        <v>1.3950163631417229</v>
      </c>
      <c r="K27" s="29"/>
      <c r="L27" s="31"/>
      <c r="M27" s="25"/>
      <c r="N27" s="25"/>
      <c r="O27" s="31"/>
      <c r="P27" s="31"/>
      <c r="Q27" s="31"/>
      <c r="R27" s="31"/>
      <c r="S27" s="31"/>
    </row>
    <row r="28" spans="1:19" x14ac:dyDescent="0.2">
      <c r="A28" s="18">
        <v>1956</v>
      </c>
      <c r="B28" s="19">
        <v>38.144736763089895</v>
      </c>
      <c r="C28" s="26"/>
      <c r="D28" s="20">
        <v>12.196261682242991</v>
      </c>
      <c r="E28" s="26"/>
      <c r="F28" s="26"/>
      <c r="G28" s="28"/>
      <c r="H28" s="24">
        <v>696</v>
      </c>
      <c r="I28" s="29">
        <f t="shared" si="0"/>
        <v>57.066666666666663</v>
      </c>
      <c r="J28" s="30">
        <f t="shared" si="1"/>
        <v>1.2075438084112149</v>
      </c>
      <c r="K28" s="29"/>
      <c r="L28" s="31"/>
      <c r="M28" s="25"/>
      <c r="N28" s="25"/>
      <c r="O28" s="31"/>
      <c r="P28" s="31"/>
      <c r="Q28" s="31"/>
      <c r="R28" s="31"/>
      <c r="S28" s="31"/>
    </row>
    <row r="29" spans="1:19" x14ac:dyDescent="0.2">
      <c r="A29" s="18">
        <v>1957</v>
      </c>
      <c r="B29" s="19">
        <v>39.839137215167284</v>
      </c>
      <c r="C29" s="26"/>
      <c r="D29" s="20">
        <v>12.429906542056074</v>
      </c>
      <c r="E29" s="26"/>
      <c r="F29" s="26"/>
      <c r="G29" s="28"/>
      <c r="H29" s="24">
        <v>716</v>
      </c>
      <c r="I29" s="29">
        <f t="shared" si="0"/>
        <v>57.603007518797</v>
      </c>
      <c r="J29" s="30">
        <f t="shared" si="1"/>
        <v>1.1963003837518924</v>
      </c>
      <c r="K29" s="29"/>
      <c r="L29" s="31"/>
      <c r="M29" s="25"/>
      <c r="N29" s="25"/>
      <c r="O29" s="31"/>
      <c r="P29" s="31"/>
      <c r="Q29" s="31"/>
      <c r="R29" s="31"/>
      <c r="S29" s="31"/>
    </row>
    <row r="30" spans="1:19" x14ac:dyDescent="0.2">
      <c r="A30" s="18">
        <v>1958</v>
      </c>
      <c r="B30" s="19">
        <v>41.557381606660783</v>
      </c>
      <c r="C30" s="26"/>
      <c r="D30" s="20">
        <v>12.710280373831775</v>
      </c>
      <c r="E30" s="26"/>
      <c r="F30" s="26"/>
      <c r="G30" s="28"/>
      <c r="H30" s="24">
        <v>760</v>
      </c>
      <c r="I30" s="29">
        <f t="shared" si="0"/>
        <v>59.794117647058826</v>
      </c>
      <c r="J30" s="30">
        <f t="shared" si="1"/>
        <v>1.1524628627643874</v>
      </c>
      <c r="K30" s="29"/>
      <c r="L30" s="31"/>
      <c r="M30" s="25"/>
      <c r="N30" s="25"/>
      <c r="O30" s="31"/>
      <c r="P30" s="31"/>
      <c r="Q30" s="31"/>
      <c r="R30" s="31"/>
      <c r="S30" s="31"/>
    </row>
    <row r="31" spans="1:19" x14ac:dyDescent="0.2">
      <c r="A31" s="18">
        <v>1959</v>
      </c>
      <c r="B31" s="19">
        <v>43.298600757494569</v>
      </c>
      <c r="C31" s="32">
        <f t="shared" ref="C31:C81" si="2">B31*$B$93*$B$90/1000</f>
        <v>379.5555342401974</v>
      </c>
      <c r="D31" s="20">
        <v>13.317757009345794</v>
      </c>
      <c r="E31" s="33">
        <v>10.143797444848534</v>
      </c>
      <c r="F31" s="26">
        <f>(B31*$B$93*$B$90*(E31*$B$87))/1000</f>
        <v>108.95880517282851</v>
      </c>
      <c r="G31" s="28"/>
      <c r="H31" s="24">
        <v>808</v>
      </c>
      <c r="I31" s="29">
        <f t="shared" si="0"/>
        <v>60.670877192982459</v>
      </c>
      <c r="J31" s="30">
        <f t="shared" si="1"/>
        <v>1.1358085326640139</v>
      </c>
      <c r="K31" s="31">
        <v>1.4203594337643575</v>
      </c>
      <c r="L31" s="31"/>
      <c r="M31" s="25"/>
      <c r="N31" s="25"/>
      <c r="O31" s="31"/>
    </row>
    <row r="32" spans="1:19" x14ac:dyDescent="0.2">
      <c r="A32" s="18">
        <v>1960</v>
      </c>
      <c r="B32" s="19">
        <v>45.061925488524139</v>
      </c>
      <c r="C32" s="32">
        <f t="shared" si="2"/>
        <v>395.01283883240262</v>
      </c>
      <c r="D32" s="20">
        <v>13.598130841121495</v>
      </c>
      <c r="E32" s="33">
        <v>10.51494619507366</v>
      </c>
      <c r="F32" s="26">
        <f t="shared" ref="F32:F81" si="3">(B32*$B$93*$B$90*(E32*$B$87))/1000</f>
        <v>117.54514653121427</v>
      </c>
      <c r="G32" s="28"/>
      <c r="H32" s="24">
        <v>907.99999999999989</v>
      </c>
      <c r="I32" s="29">
        <f t="shared" si="0"/>
        <v>66.773883161512018</v>
      </c>
      <c r="J32" s="30">
        <f t="shared" si="1"/>
        <v>1.0319977922104657</v>
      </c>
      <c r="K32" s="31">
        <v>1.3881483932104661</v>
      </c>
      <c r="L32" s="31"/>
      <c r="M32" s="25">
        <f>(K32-K31)/K31</f>
        <v>-2.2678091043844377E-2</v>
      </c>
      <c r="N32" s="25">
        <f>(F32-F31)/F31</f>
        <v>7.8803556488768994E-2</v>
      </c>
      <c r="O32" s="31"/>
      <c r="P32" s="34" t="s">
        <v>56</v>
      </c>
      <c r="Q32" s="35">
        <f>SUM(M32:M41)/10</f>
        <v>-3.1447739743733744E-2</v>
      </c>
      <c r="R32" s="35">
        <f>SUM(N32:N41)/10</f>
        <v>7.1229752620778464E-2</v>
      </c>
      <c r="S32" s="36" t="str">
        <f>IF((R32/Q32)&gt;0,(R32/Q32),"---")</f>
        <v>---</v>
      </c>
    </row>
    <row r="33" spans="1:19" x14ac:dyDescent="0.2">
      <c r="A33" s="18">
        <v>1961</v>
      </c>
      <c r="B33" s="19">
        <v>46.846486618742347</v>
      </c>
      <c r="C33" s="32">
        <f t="shared" si="2"/>
        <v>410.65630169989544</v>
      </c>
      <c r="D33" s="20">
        <v>14.252336448598131</v>
      </c>
      <c r="E33" s="33">
        <v>10.902254249701375</v>
      </c>
      <c r="F33" s="26">
        <f t="shared" si="3"/>
        <v>126.70134731359367</v>
      </c>
      <c r="G33" s="28"/>
      <c r="H33" s="24">
        <v>1008</v>
      </c>
      <c r="I33" s="29">
        <f t="shared" si="0"/>
        <v>70.72524590163934</v>
      </c>
      <c r="J33" s="30">
        <f t="shared" si="1"/>
        <v>0.9743409036122237</v>
      </c>
      <c r="K33" s="31">
        <v>1.350001678287956</v>
      </c>
      <c r="L33" s="31"/>
      <c r="M33" s="25">
        <f t="shared" ref="M33:M81" si="4">(K33-K32)/K32</f>
        <v>-2.7480286048010737E-2</v>
      </c>
      <c r="N33" s="25">
        <f t="shared" ref="N33:N81" si="5">(F33-F32)/F32</f>
        <v>7.7895183702442014E-2</v>
      </c>
      <c r="O33" s="31"/>
      <c r="P33" s="31"/>
      <c r="Q33" s="31"/>
      <c r="R33" s="31"/>
      <c r="S33" s="31"/>
    </row>
    <row r="34" spans="1:19" x14ac:dyDescent="0.2">
      <c r="A34" s="18">
        <v>1962</v>
      </c>
      <c r="B34" s="19">
        <v>48.651414969470352</v>
      </c>
      <c r="C34" s="32">
        <f t="shared" si="2"/>
        <v>426.4783036223771</v>
      </c>
      <c r="D34" s="20">
        <v>14.719626168224298</v>
      </c>
      <c r="E34" s="33">
        <v>11.311697407667502</v>
      </c>
      <c r="F34" s="26">
        <f t="shared" si="3"/>
        <v>136.52467665878046</v>
      </c>
      <c r="G34" s="28"/>
      <c r="H34" s="24">
        <v>1088</v>
      </c>
      <c r="I34" s="29">
        <f t="shared" si="0"/>
        <v>73.914920634920634</v>
      </c>
      <c r="J34" s="30">
        <f t="shared" si="1"/>
        <v>0.93229485208218799</v>
      </c>
      <c r="K34" s="31">
        <v>1.3117203241171012</v>
      </c>
      <c r="L34" s="31"/>
      <c r="M34" s="25">
        <f t="shared" si="4"/>
        <v>-2.8356523392920881E-2</v>
      </c>
      <c r="N34" s="25">
        <f t="shared" si="5"/>
        <v>7.7531372423952555E-2</v>
      </c>
      <c r="O34" s="31"/>
      <c r="P34" s="31"/>
      <c r="Q34" s="31"/>
      <c r="R34" s="31"/>
      <c r="S34" s="31"/>
    </row>
    <row r="35" spans="1:19" x14ac:dyDescent="0.2">
      <c r="A35" s="18">
        <v>1963</v>
      </c>
      <c r="B35" s="19">
        <v>50.47584136063233</v>
      </c>
      <c r="C35" s="32">
        <f t="shared" si="2"/>
        <v>442.47122536730302</v>
      </c>
      <c r="D35" s="20">
        <v>15.093457943925234</v>
      </c>
      <c r="E35" s="33">
        <v>11.72343132115701</v>
      </c>
      <c r="F35" s="26">
        <f t="shared" si="3"/>
        <v>146.80005292774385</v>
      </c>
      <c r="G35" s="28"/>
      <c r="H35" s="24">
        <v>1192</v>
      </c>
      <c r="I35" s="29">
        <f t="shared" si="0"/>
        <v>78.974613003095968</v>
      </c>
      <c r="J35" s="30">
        <f t="shared" si="1"/>
        <v>0.87256521278931209</v>
      </c>
      <c r="K35" s="31">
        <v>1.2706277109464232</v>
      </c>
      <c r="L35" s="31"/>
      <c r="M35" s="25">
        <f t="shared" si="4"/>
        <v>-3.1327267265098394E-2</v>
      </c>
      <c r="N35" s="25">
        <f t="shared" si="5"/>
        <v>7.5263875516401249E-2</v>
      </c>
      <c r="O35" s="31"/>
      <c r="P35" s="31"/>
      <c r="Q35" s="31"/>
      <c r="R35" s="31"/>
      <c r="S35" s="31"/>
    </row>
    <row r="36" spans="1:19" x14ac:dyDescent="0.2">
      <c r="A36" s="18">
        <v>1964</v>
      </c>
      <c r="B36" s="19">
        <v>52.318896612152457</v>
      </c>
      <c r="C36" s="32">
        <f t="shared" si="2"/>
        <v>458.62744770212845</v>
      </c>
      <c r="D36" s="20">
        <v>14.953271028037383</v>
      </c>
      <c r="E36" s="33">
        <v>12.0922824943167</v>
      </c>
      <c r="F36" s="26">
        <f t="shared" si="3"/>
        <v>156.94763020050317</v>
      </c>
      <c r="G36" s="28"/>
      <c r="H36" s="24">
        <v>1284</v>
      </c>
      <c r="I36" s="29">
        <f t="shared" si="0"/>
        <v>85.867500000000007</v>
      </c>
      <c r="J36" s="30">
        <f t="shared" si="1"/>
        <v>0.80252132646228191</v>
      </c>
      <c r="K36" s="31">
        <v>1.2292621301680589</v>
      </c>
      <c r="L36" s="31"/>
      <c r="M36" s="25">
        <f t="shared" si="4"/>
        <v>-3.2555232679093202E-2</v>
      </c>
      <c r="N36" s="25">
        <f t="shared" si="5"/>
        <v>6.9125160859131562E-2</v>
      </c>
      <c r="O36" s="31"/>
      <c r="P36" s="31"/>
      <c r="Q36" s="31"/>
      <c r="R36" s="31"/>
      <c r="S36" s="31"/>
    </row>
    <row r="37" spans="1:19" x14ac:dyDescent="0.2">
      <c r="A37" s="18">
        <v>1965</v>
      </c>
      <c r="B37" s="19">
        <v>54.179711543954909</v>
      </c>
      <c r="C37" s="32">
        <f t="shared" si="2"/>
        <v>474.93935139430874</v>
      </c>
      <c r="D37" s="20">
        <v>15.607476635514018</v>
      </c>
      <c r="E37" s="33">
        <v>12.475205929064542</v>
      </c>
      <c r="F37" s="26">
        <f t="shared" si="3"/>
        <v>167.67654381262784</v>
      </c>
      <c r="G37" s="28"/>
      <c r="H37" s="24">
        <v>1396</v>
      </c>
      <c r="I37" s="29">
        <f t="shared" si="0"/>
        <v>89.444311377245512</v>
      </c>
      <c r="J37" s="30">
        <f t="shared" si="1"/>
        <v>0.77042909648394609</v>
      </c>
      <c r="K37" s="31">
        <v>1.1912767636842736</v>
      </c>
      <c r="L37" s="31"/>
      <c r="M37" s="25">
        <f t="shared" si="4"/>
        <v>-3.0900949074703924E-2</v>
      </c>
      <c r="N37" s="25">
        <f t="shared" si="5"/>
        <v>6.8359831865051471E-2</v>
      </c>
      <c r="O37" s="31"/>
      <c r="P37" s="31"/>
      <c r="Q37" s="31"/>
      <c r="R37" s="31"/>
      <c r="S37" s="31"/>
    </row>
    <row r="38" spans="1:19" x14ac:dyDescent="0.2">
      <c r="A38" s="18">
        <v>1966</v>
      </c>
      <c r="B38" s="19">
        <v>56.057416976895183</v>
      </c>
      <c r="C38" s="32">
        <f t="shared" si="2"/>
        <v>491.39931721946317</v>
      </c>
      <c r="D38" s="20">
        <v>16.214953271028037</v>
      </c>
      <c r="E38" s="33">
        <v>12.866361678200757</v>
      </c>
      <c r="F38" s="26">
        <f t="shared" si="3"/>
        <v>178.92735402859248</v>
      </c>
      <c r="G38" s="28"/>
      <c r="H38" s="24">
        <v>1520</v>
      </c>
      <c r="I38" s="29">
        <f t="shared" si="0"/>
        <v>93.740634005763695</v>
      </c>
      <c r="J38" s="30">
        <f t="shared" si="1"/>
        <v>0.73511877459419572</v>
      </c>
      <c r="K38" s="31">
        <v>1.1495026944285596</v>
      </c>
      <c r="L38" s="31"/>
      <c r="M38" s="25">
        <f t="shared" si="4"/>
        <v>-3.5066636510661844E-2</v>
      </c>
      <c r="N38" s="25">
        <f t="shared" si="5"/>
        <v>6.7098295087337834E-2</v>
      </c>
      <c r="O38" s="31"/>
      <c r="P38" s="31"/>
      <c r="Q38" s="31"/>
      <c r="R38" s="31"/>
      <c r="S38" s="31"/>
    </row>
    <row r="39" spans="1:19" x14ac:dyDescent="0.2">
      <c r="A39" s="18">
        <v>1967</v>
      </c>
      <c r="B39" s="19">
        <v>57.951143729034811</v>
      </c>
      <c r="C39" s="32">
        <f t="shared" si="2"/>
        <v>507.99972592871916</v>
      </c>
      <c r="D39" s="20">
        <v>16.915887850467289</v>
      </c>
      <c r="E39" s="33">
        <v>13.292154342152903</v>
      </c>
      <c r="F39" s="26">
        <f t="shared" si="3"/>
        <v>191.09322458769023</v>
      </c>
      <c r="G39" s="28"/>
      <c r="H39" s="24">
        <v>1580</v>
      </c>
      <c r="I39" s="29">
        <f t="shared" si="0"/>
        <v>93.403314917127076</v>
      </c>
      <c r="J39" s="30">
        <f t="shared" si="1"/>
        <v>0.73777360108837087</v>
      </c>
      <c r="K39" s="31">
        <v>1.108862871355494</v>
      </c>
      <c r="L39" s="31"/>
      <c r="M39" s="25">
        <f t="shared" si="4"/>
        <v>-3.5354265170529614E-2</v>
      </c>
      <c r="N39" s="25">
        <f t="shared" si="5"/>
        <v>6.7993351967601645E-2</v>
      </c>
      <c r="O39" s="31"/>
      <c r="P39" s="31"/>
      <c r="Q39" s="31"/>
      <c r="R39" s="31"/>
      <c r="S39" s="31"/>
    </row>
    <row r="40" spans="1:19" x14ac:dyDescent="0.2">
      <c r="A40" s="18">
        <v>1968</v>
      </c>
      <c r="B40" s="19">
        <v>59.860022623557597</v>
      </c>
      <c r="C40" s="32">
        <f t="shared" si="2"/>
        <v>524.73295831810594</v>
      </c>
      <c r="D40" s="20">
        <v>17.102803738317757</v>
      </c>
      <c r="E40" s="33">
        <v>13.722433711705683</v>
      </c>
      <c r="F40" s="26">
        <f t="shared" si="3"/>
        <v>203.77735460334824</v>
      </c>
      <c r="G40" s="28"/>
      <c r="H40" s="24">
        <v>1620</v>
      </c>
      <c r="I40" s="29">
        <f t="shared" si="0"/>
        <v>94.721311475409834</v>
      </c>
      <c r="J40" s="30">
        <f t="shared" si="1"/>
        <v>0.72750787469712708</v>
      </c>
      <c r="K40" s="31">
        <v>1.0685085922433073</v>
      </c>
      <c r="L40" s="31"/>
      <c r="M40" s="25">
        <f t="shared" si="4"/>
        <v>-3.6392488336142864E-2</v>
      </c>
      <c r="N40" s="25">
        <f t="shared" si="5"/>
        <v>6.6376660098890261E-2</v>
      </c>
      <c r="O40" s="31"/>
      <c r="P40" s="31"/>
      <c r="Q40" s="31"/>
      <c r="R40" s="31"/>
      <c r="S40" s="31"/>
    </row>
    <row r="41" spans="1:19" x14ac:dyDescent="0.2">
      <c r="A41" s="18">
        <v>1969</v>
      </c>
      <c r="B41" s="19">
        <v>61.783184478525072</v>
      </c>
      <c r="C41" s="32">
        <f t="shared" si="2"/>
        <v>541.59139513875084</v>
      </c>
      <c r="D41" s="20">
        <v>17.33644859813084</v>
      </c>
      <c r="E41" s="33">
        <v>14.144194638195943</v>
      </c>
      <c r="F41" s="26">
        <f t="shared" si="3"/>
        <v>216.78858723417255</v>
      </c>
      <c r="G41" s="28"/>
      <c r="H41" s="24">
        <v>1620</v>
      </c>
      <c r="I41" s="29">
        <f t="shared" si="0"/>
        <v>93.444743935309987</v>
      </c>
      <c r="J41" s="30">
        <f t="shared" si="1"/>
        <v>0.73744650686512048</v>
      </c>
      <c r="K41" s="31">
        <v>1.0317885914816127</v>
      </c>
      <c r="L41" s="31"/>
      <c r="M41" s="25">
        <f t="shared" si="4"/>
        <v>-3.4365657916331623E-2</v>
      </c>
      <c r="N41" s="25">
        <f t="shared" si="5"/>
        <v>6.3850238198207149E-2</v>
      </c>
      <c r="O41" s="31"/>
      <c r="P41" s="31"/>
      <c r="Q41" s="31"/>
      <c r="R41" s="31"/>
      <c r="S41" s="31"/>
    </row>
    <row r="42" spans="1:19" x14ac:dyDescent="0.2">
      <c r="A42" s="18">
        <v>1970</v>
      </c>
      <c r="B42" s="19">
        <v>63.719760114792734</v>
      </c>
      <c r="C42" s="32">
        <f t="shared" si="2"/>
        <v>558.56741716627312</v>
      </c>
      <c r="D42" s="20">
        <v>17.289719626168225</v>
      </c>
      <c r="E42" s="33">
        <v>14.519500261027115</v>
      </c>
      <c r="F42" s="26">
        <f t="shared" si="3"/>
        <v>229.51638918951852</v>
      </c>
      <c r="G42" s="28"/>
      <c r="H42" s="24">
        <v>1648.0000000000002</v>
      </c>
      <c r="I42" s="29">
        <f t="shared" si="0"/>
        <v>95.316756756756774</v>
      </c>
      <c r="J42" s="30">
        <f t="shared" si="1"/>
        <v>0.72296312154069486</v>
      </c>
      <c r="K42" s="31">
        <v>0.99671036664248713</v>
      </c>
      <c r="L42" s="31"/>
      <c r="M42" s="25">
        <f t="shared" si="4"/>
        <v>-3.3997492440534231E-2</v>
      </c>
      <c r="N42" s="25">
        <f t="shared" si="5"/>
        <v>5.8710664236201422E-2</v>
      </c>
      <c r="O42" s="31"/>
      <c r="P42" s="31" t="s">
        <v>57</v>
      </c>
      <c r="Q42" s="35">
        <f>SUM(M42:M51)/10</f>
        <v>-2.2082094710415005E-2</v>
      </c>
      <c r="R42" s="35">
        <f>SUM(N42:N51)/10</f>
        <v>4.9969043643110167E-2</v>
      </c>
      <c r="S42" s="36" t="str">
        <f>IF((R42/Q42)&gt;0,(R42/Q42),"---")</f>
        <v>---</v>
      </c>
    </row>
    <row r="43" spans="1:19" x14ac:dyDescent="0.2">
      <c r="A43" s="18">
        <v>1971</v>
      </c>
      <c r="B43" s="19">
        <v>65.668880351819098</v>
      </c>
      <c r="C43" s="32">
        <f t="shared" si="2"/>
        <v>575.65340516404626</v>
      </c>
      <c r="D43" s="20">
        <v>17.663551401869157</v>
      </c>
      <c r="E43" s="33">
        <v>14.874195166391992</v>
      </c>
      <c r="F43" s="26">
        <f t="shared" si="3"/>
        <v>242.31538503401055</v>
      </c>
      <c r="G43" s="28"/>
      <c r="H43" s="24">
        <v>1687.9999999999998</v>
      </c>
      <c r="I43" s="29">
        <f t="shared" si="0"/>
        <v>95.56402116402117</v>
      </c>
      <c r="J43" s="30">
        <f t="shared" si="1"/>
        <v>0.72109251118394813</v>
      </c>
      <c r="K43" s="31">
        <v>0.96211931592022792</v>
      </c>
      <c r="L43" s="31"/>
      <c r="M43" s="25">
        <f t="shared" si="4"/>
        <v>-3.4705218165616586E-2</v>
      </c>
      <c r="N43" s="25">
        <f t="shared" si="5"/>
        <v>5.5765062746449511E-2</v>
      </c>
      <c r="O43" s="31"/>
      <c r="P43" s="31"/>
      <c r="Q43" s="31"/>
      <c r="R43" s="31"/>
      <c r="S43" s="31"/>
    </row>
    <row r="44" spans="1:19" x14ac:dyDescent="0.2">
      <c r="A44" s="18">
        <v>1972</v>
      </c>
      <c r="B44" s="19">
        <v>67.629676010459661</v>
      </c>
      <c r="C44" s="32">
        <f t="shared" si="2"/>
        <v>592.84173990768943</v>
      </c>
      <c r="D44" s="20">
        <v>18.084112149532711</v>
      </c>
      <c r="E44" s="33">
        <v>15.231715306425359</v>
      </c>
      <c r="F44" s="26">
        <f t="shared" si="3"/>
        <v>255.54890389432614</v>
      </c>
      <c r="G44" s="28"/>
      <c r="H44" s="24">
        <v>1736</v>
      </c>
      <c r="I44" s="29">
        <f t="shared" si="0"/>
        <v>95.995865633074928</v>
      </c>
      <c r="J44" s="30">
        <f t="shared" si="1"/>
        <v>0.71784862343339506</v>
      </c>
      <c r="K44" s="31">
        <v>0.93012606697087175</v>
      </c>
      <c r="L44" s="31"/>
      <c r="M44" s="25">
        <f t="shared" si="4"/>
        <v>-3.3252891216258289E-2</v>
      </c>
      <c r="N44" s="25">
        <f t="shared" si="5"/>
        <v>5.4612788446999301E-2</v>
      </c>
      <c r="O44" s="31"/>
      <c r="P44" s="31"/>
      <c r="Q44" s="31"/>
      <c r="R44" s="31"/>
      <c r="S44" s="31"/>
    </row>
    <row r="45" spans="1:19" x14ac:dyDescent="0.2">
      <c r="A45" s="18">
        <v>1973</v>
      </c>
      <c r="B45" s="19">
        <v>69.601277910638601</v>
      </c>
      <c r="C45" s="32">
        <f t="shared" si="2"/>
        <v>610.12480216465792</v>
      </c>
      <c r="D45" s="20">
        <v>17.663551401869157</v>
      </c>
      <c r="E45" s="33">
        <v>15.561837835624569</v>
      </c>
      <c r="F45" s="26">
        <f t="shared" si="3"/>
        <v>268.69896943104374</v>
      </c>
      <c r="G45" s="28"/>
      <c r="H45" s="24">
        <v>1792</v>
      </c>
      <c r="I45" s="29">
        <f t="shared" si="0"/>
        <v>101.45185185185187</v>
      </c>
      <c r="J45" s="30">
        <f t="shared" si="1"/>
        <v>0.67924339223130825</v>
      </c>
      <c r="K45" s="31">
        <v>0.89886502874536811</v>
      </c>
      <c r="L45" s="31"/>
      <c r="M45" s="25">
        <f t="shared" si="4"/>
        <v>-3.3609463636806794E-2</v>
      </c>
      <c r="N45" s="25">
        <f t="shared" si="5"/>
        <v>5.1458117551368442E-2</v>
      </c>
      <c r="O45" s="31"/>
      <c r="P45" s="31"/>
      <c r="Q45" s="31"/>
      <c r="R45" s="31"/>
      <c r="S45" s="31"/>
    </row>
    <row r="46" spans="1:19" x14ac:dyDescent="0.2">
      <c r="A46" s="18">
        <v>1974</v>
      </c>
      <c r="B46" s="19">
        <v>71.582816872280091</v>
      </c>
      <c r="C46" s="32">
        <f t="shared" si="2"/>
        <v>627.49497270240727</v>
      </c>
      <c r="D46" s="20">
        <v>18.084112149532711</v>
      </c>
      <c r="E46" s="33">
        <v>15.887231167661298</v>
      </c>
      <c r="F46" s="26">
        <f t="shared" si="3"/>
        <v>282.12716256667744</v>
      </c>
      <c r="G46" s="28"/>
      <c r="H46" s="24">
        <v>1835.9999999999998</v>
      </c>
      <c r="I46" s="29">
        <f t="shared" si="0"/>
        <v>101.52558139534882</v>
      </c>
      <c r="J46" s="30">
        <f t="shared" si="1"/>
        <v>0.67875011453179412</v>
      </c>
      <c r="K46" s="31">
        <v>0.86912763040117147</v>
      </c>
      <c r="L46" s="31"/>
      <c r="M46" s="25">
        <f t="shared" si="4"/>
        <v>-3.3083274343984628E-2</v>
      </c>
      <c r="N46" s="25">
        <f t="shared" si="5"/>
        <v>4.9974859092564494E-2</v>
      </c>
      <c r="O46" s="31"/>
      <c r="P46" s="31"/>
      <c r="Q46" s="31"/>
      <c r="R46" s="31"/>
      <c r="S46" s="31"/>
    </row>
    <row r="47" spans="1:19" x14ac:dyDescent="0.2">
      <c r="A47" s="18">
        <v>1975</v>
      </c>
      <c r="B47" s="19">
        <v>73.57342371577397</v>
      </c>
      <c r="C47" s="32">
        <f t="shared" si="2"/>
        <v>644.94463229247458</v>
      </c>
      <c r="D47" s="19">
        <v>18.479792523364484</v>
      </c>
      <c r="E47" s="33">
        <v>16.188469507938294</v>
      </c>
      <c r="F47" s="26">
        <f t="shared" si="3"/>
        <v>295.47086235115819</v>
      </c>
      <c r="G47" s="28"/>
      <c r="H47" s="24">
        <v>1747.0000000000002</v>
      </c>
      <c r="I47" s="29">
        <f t="shared" si="0"/>
        <v>94.535693395433015</v>
      </c>
      <c r="J47" s="30">
        <f t="shared" si="1"/>
        <v>0.72893631521540236</v>
      </c>
      <c r="K47" s="31">
        <v>0.84621851724790842</v>
      </c>
      <c r="L47" s="31"/>
      <c r="M47" s="25">
        <f t="shared" si="4"/>
        <v>-2.6358744506475618E-2</v>
      </c>
      <c r="N47" s="25">
        <f t="shared" si="5"/>
        <v>4.7296756764167017E-2</v>
      </c>
      <c r="O47" s="31"/>
      <c r="P47" s="31"/>
      <c r="Q47" s="31"/>
      <c r="R47" s="31"/>
      <c r="S47" s="31"/>
    </row>
    <row r="48" spans="1:19" x14ac:dyDescent="0.2">
      <c r="A48" s="18">
        <v>1976</v>
      </c>
      <c r="B48" s="19">
        <v>75.572229261510074</v>
      </c>
      <c r="C48" s="32">
        <f t="shared" si="2"/>
        <v>662.46616170639732</v>
      </c>
      <c r="D48" s="19">
        <v>18.884130383775698</v>
      </c>
      <c r="E48" s="33">
        <v>16.474232986564125</v>
      </c>
      <c r="F48" s="26">
        <f t="shared" si="3"/>
        <v>308.85549959074933</v>
      </c>
      <c r="G48" s="28"/>
      <c r="H48" s="24">
        <v>1658</v>
      </c>
      <c r="I48" s="29">
        <f t="shared" si="0"/>
        <v>87.798588884160154</v>
      </c>
      <c r="J48" s="30">
        <f t="shared" si="1"/>
        <v>0.78487024536259054</v>
      </c>
      <c r="K48" s="31">
        <v>0.8268213521255825</v>
      </c>
      <c r="L48" s="31"/>
      <c r="M48" s="25">
        <f t="shared" si="4"/>
        <v>-2.2922170487842588E-2</v>
      </c>
      <c r="N48" s="25">
        <f t="shared" si="5"/>
        <v>4.5299347397862552E-2</v>
      </c>
      <c r="O48" s="31"/>
      <c r="P48" s="31"/>
      <c r="Q48" s="31"/>
      <c r="R48" s="31"/>
      <c r="S48" s="31"/>
    </row>
    <row r="49" spans="1:19" x14ac:dyDescent="0.2">
      <c r="A49" s="18">
        <v>1977</v>
      </c>
      <c r="B49" s="19">
        <v>77.578364328481257</v>
      </c>
      <c r="C49" s="32">
        <f t="shared" si="2"/>
        <v>680.0519417034667</v>
      </c>
      <c r="D49" s="19">
        <v>19.297315156572708</v>
      </c>
      <c r="E49" s="33">
        <v>16.798644476750802</v>
      </c>
      <c r="F49" s="26">
        <f t="shared" si="3"/>
        <v>323.29780748153695</v>
      </c>
      <c r="G49" s="28"/>
      <c r="H49" s="24">
        <v>1569</v>
      </c>
      <c r="I49" s="29">
        <f t="shared" si="0"/>
        <v>81.306647441346016</v>
      </c>
      <c r="J49" s="30">
        <f t="shared" si="1"/>
        <v>0.84753832765902071</v>
      </c>
      <c r="K49" s="31">
        <v>0.81720547390007636</v>
      </c>
      <c r="L49" s="31"/>
      <c r="M49" s="25">
        <f t="shared" si="4"/>
        <v>-1.1629934569040519E-2</v>
      </c>
      <c r="N49" s="25">
        <f t="shared" si="5"/>
        <v>4.676072762157215E-2</v>
      </c>
      <c r="O49" s="31"/>
      <c r="P49" s="31"/>
      <c r="Q49" s="31"/>
      <c r="R49" s="31"/>
      <c r="S49" s="31"/>
    </row>
    <row r="50" spans="1:19" x14ac:dyDescent="0.2">
      <c r="A50" s="18">
        <v>1978</v>
      </c>
      <c r="B50" s="19">
        <v>79.590959738008678</v>
      </c>
      <c r="C50" s="32">
        <f t="shared" si="2"/>
        <v>697.69435306338403</v>
      </c>
      <c r="D50" s="20">
        <v>19.719626168224298</v>
      </c>
      <c r="E50" s="33">
        <v>17.127114283579886</v>
      </c>
      <c r="F50" s="26">
        <f t="shared" si="3"/>
        <v>338.17059303387504</v>
      </c>
      <c r="G50" s="28"/>
      <c r="H50" s="24">
        <v>1480</v>
      </c>
      <c r="I50" s="29">
        <f t="shared" si="0"/>
        <v>75.052132701421797</v>
      </c>
      <c r="J50" s="30">
        <f t="shared" si="1"/>
        <v>0.91816844531447339</v>
      </c>
      <c r="K50" s="31">
        <v>0.81510228826284314</v>
      </c>
      <c r="L50" s="31"/>
      <c r="M50" s="25">
        <f t="shared" si="4"/>
        <v>-2.5736313624967039E-3</v>
      </c>
      <c r="N50" s="25">
        <f t="shared" si="5"/>
        <v>4.6003360394541025E-2</v>
      </c>
      <c r="O50" s="31"/>
      <c r="P50" s="31"/>
      <c r="Q50" s="31"/>
      <c r="R50" s="31"/>
      <c r="S50" s="31"/>
    </row>
    <row r="51" spans="1:19" x14ac:dyDescent="0.2">
      <c r="A51" s="18">
        <v>1979</v>
      </c>
      <c r="B51" s="19">
        <v>81.609146310016513</v>
      </c>
      <c r="C51" s="32">
        <f t="shared" si="2"/>
        <v>715.38577655360473</v>
      </c>
      <c r="D51" s="19">
        <v>19.659813084112152</v>
      </c>
      <c r="E51" s="33">
        <v>17.435324569066253</v>
      </c>
      <c r="F51" s="26">
        <f t="shared" si="3"/>
        <v>352.98542473844861</v>
      </c>
      <c r="G51" s="28"/>
      <c r="H51" s="24">
        <v>1312</v>
      </c>
      <c r="I51" s="29">
        <f t="shared" si="0"/>
        <v>66.735120745388855</v>
      </c>
      <c r="J51" s="30">
        <f t="shared" si="1"/>
        <v>1.0325972176316389</v>
      </c>
      <c r="K51" s="31">
        <v>0.82432262233904408</v>
      </c>
      <c r="L51" s="31"/>
      <c r="M51" s="25">
        <f t="shared" si="4"/>
        <v>1.1311873624905936E-2</v>
      </c>
      <c r="N51" s="25">
        <f t="shared" si="5"/>
        <v>4.3808752179375798E-2</v>
      </c>
      <c r="O51" s="31"/>
      <c r="P51" s="31"/>
      <c r="Q51" s="31"/>
      <c r="R51" s="31"/>
      <c r="S51" s="31"/>
    </row>
    <row r="52" spans="1:19" x14ac:dyDescent="0.2">
      <c r="A52" s="18">
        <v>1980</v>
      </c>
      <c r="B52" s="19">
        <v>83.632054864428937</v>
      </c>
      <c r="C52" s="32">
        <f t="shared" si="2"/>
        <v>733.1185929415841</v>
      </c>
      <c r="D52" s="20">
        <v>19.600000000000001</v>
      </c>
      <c r="E52" s="33">
        <v>17.711217636621594</v>
      </c>
      <c r="F52" s="26">
        <f t="shared" si="3"/>
        <v>367.45916957109398</v>
      </c>
      <c r="G52" s="28"/>
      <c r="H52" s="37">
        <v>1242.0144810941272</v>
      </c>
      <c r="I52" s="29">
        <f t="shared" si="0"/>
        <v>63.368085770108522</v>
      </c>
      <c r="J52" s="30">
        <f t="shared" si="1"/>
        <v>1.0874638102529821</v>
      </c>
      <c r="K52" s="31">
        <v>0.841170384588944</v>
      </c>
      <c r="L52" s="31"/>
      <c r="M52" s="25">
        <f t="shared" si="4"/>
        <v>2.0438311157946646E-2</v>
      </c>
      <c r="N52" s="25">
        <f t="shared" si="5"/>
        <v>4.1003803041924372E-2</v>
      </c>
      <c r="O52" s="31"/>
      <c r="P52" s="31" t="s">
        <v>58</v>
      </c>
      <c r="Q52" s="35">
        <f>SUM(M52:M61)/10</f>
        <v>3.1403212399060784E-2</v>
      </c>
      <c r="R52" s="35">
        <f>SUM(N52:N61)/10</f>
        <v>3.3443321122795383E-2</v>
      </c>
      <c r="S52" s="36">
        <f>IF((R52/Q52)&gt;0,(R52/Q52),"---")</f>
        <v>1.0649649691187522</v>
      </c>
    </row>
    <row r="53" spans="1:19" x14ac:dyDescent="0.2">
      <c r="A53" s="18">
        <v>1981</v>
      </c>
      <c r="B53" s="19">
        <v>85.658816220238805</v>
      </c>
      <c r="C53" s="32">
        <f t="shared" si="2"/>
        <v>750.88518298661336</v>
      </c>
      <c r="D53" s="20">
        <v>19.86</v>
      </c>
      <c r="E53" s="33">
        <v>17.967081142766126</v>
      </c>
      <c r="F53" s="26">
        <f t="shared" si="3"/>
        <v>381.80138482888208</v>
      </c>
      <c r="G53" s="28"/>
      <c r="H53" s="37">
        <v>1199.7199533255543</v>
      </c>
      <c r="I53" s="29">
        <f t="shared" si="0"/>
        <v>60.408859684066179</v>
      </c>
      <c r="J53" s="30">
        <f t="shared" si="1"/>
        <v>1.1407349908671802</v>
      </c>
      <c r="K53" s="31">
        <v>0.86346629601950342</v>
      </c>
      <c r="L53" s="31"/>
      <c r="M53" s="25">
        <f t="shared" si="4"/>
        <v>2.6505820745763416E-2</v>
      </c>
      <c r="N53" s="25">
        <f t="shared" si="5"/>
        <v>3.9030772519647913E-2</v>
      </c>
      <c r="O53" s="31"/>
      <c r="P53" s="31"/>
      <c r="Q53" s="31"/>
      <c r="R53" s="31"/>
      <c r="S53" s="31"/>
    </row>
    <row r="54" spans="1:19" x14ac:dyDescent="0.2">
      <c r="A54" s="18">
        <v>1982</v>
      </c>
      <c r="B54" s="19">
        <v>87.688561200164258</v>
      </c>
      <c r="C54" s="32">
        <f t="shared" si="2"/>
        <v>768.67792748063994</v>
      </c>
      <c r="D54" s="20">
        <v>19.97</v>
      </c>
      <c r="E54" s="33">
        <v>18.222801577606596</v>
      </c>
      <c r="F54" s="26">
        <f t="shared" si="3"/>
        <v>396.41126939270572</v>
      </c>
      <c r="G54" s="28"/>
      <c r="H54" s="37">
        <v>1188.2938651855595</v>
      </c>
      <c r="I54" s="29">
        <f t="shared" si="0"/>
        <v>59.503949183052562</v>
      </c>
      <c r="J54" s="30">
        <f t="shared" si="1"/>
        <v>1.1580827986392965</v>
      </c>
      <c r="K54" s="31">
        <v>0.88909072961205615</v>
      </c>
      <c r="L54" s="31"/>
      <c r="M54" s="25">
        <f t="shared" si="4"/>
        <v>2.9676240648510436E-2</v>
      </c>
      <c r="N54" s="25">
        <f t="shared" si="5"/>
        <v>3.8265666769049522E-2</v>
      </c>
      <c r="O54" s="31"/>
      <c r="P54" s="31"/>
      <c r="Q54" s="31"/>
      <c r="R54" s="31"/>
      <c r="S54" s="31"/>
    </row>
    <row r="55" spans="1:19" x14ac:dyDescent="0.2">
      <c r="A55" s="18">
        <v>1983</v>
      </c>
      <c r="B55" s="19">
        <v>89.720420621801168</v>
      </c>
      <c r="C55" s="32">
        <f t="shared" si="2"/>
        <v>786.48920717070905</v>
      </c>
      <c r="D55" s="20">
        <v>20.309999999999999</v>
      </c>
      <c r="E55" s="33">
        <v>18.486603002507554</v>
      </c>
      <c r="F55" s="26">
        <f t="shared" si="3"/>
        <v>411.46823880582741</v>
      </c>
      <c r="G55" s="28"/>
      <c r="H55" s="37">
        <v>1160</v>
      </c>
      <c r="I55" s="29">
        <f t="shared" si="0"/>
        <v>57.114721811915317</v>
      </c>
      <c r="J55" s="30">
        <f t="shared" si="1"/>
        <v>1.2065278060344826</v>
      </c>
      <c r="K55" s="31">
        <v>0.91720074276280472</v>
      </c>
      <c r="L55" s="31"/>
      <c r="M55" s="25">
        <f t="shared" si="4"/>
        <v>3.1616585590779955E-2</v>
      </c>
      <c r="N55" s="25">
        <f t="shared" si="5"/>
        <v>3.7983202233853423E-2</v>
      </c>
      <c r="O55" s="31"/>
      <c r="P55" s="31"/>
      <c r="Q55" s="31"/>
      <c r="R55" s="31"/>
      <c r="S55" s="31"/>
    </row>
    <row r="56" spans="1:19" x14ac:dyDescent="0.2">
      <c r="A56" s="18">
        <v>1984</v>
      </c>
      <c r="B56" s="19">
        <v>91.753525306470692</v>
      </c>
      <c r="C56" s="32">
        <f t="shared" si="2"/>
        <v>804.31140283652212</v>
      </c>
      <c r="D56" s="20">
        <v>20.51</v>
      </c>
      <c r="E56" s="33">
        <v>18.741727070026567</v>
      </c>
      <c r="F56" s="26">
        <f t="shared" si="3"/>
        <v>426.59942959300582</v>
      </c>
      <c r="G56" s="28"/>
      <c r="H56" s="37">
        <v>1104.4848484848487</v>
      </c>
      <c r="I56" s="29">
        <f t="shared" si="0"/>
        <v>53.851040881757612</v>
      </c>
      <c r="J56" s="30">
        <f t="shared" si="1"/>
        <v>1.2796502884931955</v>
      </c>
      <c r="K56" s="31">
        <v>0.94938615256271375</v>
      </c>
      <c r="L56" s="31"/>
      <c r="M56" s="25">
        <f t="shared" si="4"/>
        <v>3.5090911181514847E-2</v>
      </c>
      <c r="N56" s="25">
        <f t="shared" si="5"/>
        <v>3.6773654343510209E-2</v>
      </c>
      <c r="O56" s="31"/>
      <c r="P56" s="31"/>
      <c r="Q56" s="31"/>
      <c r="R56" s="31"/>
      <c r="S56" s="31"/>
    </row>
    <row r="57" spans="1:19" x14ac:dyDescent="0.2">
      <c r="A57" s="18">
        <v>1985</v>
      </c>
      <c r="B57" s="19">
        <v>93.787006074562669</v>
      </c>
      <c r="C57" s="32">
        <f t="shared" si="2"/>
        <v>822.13689524961637</v>
      </c>
      <c r="D57" s="20">
        <v>19.47</v>
      </c>
      <c r="E57" s="33">
        <v>18.895565609764379</v>
      </c>
      <c r="F57" s="26">
        <f t="shared" si="3"/>
        <v>439.63318853643824</v>
      </c>
      <c r="G57" s="28"/>
      <c r="H57" s="37">
        <v>1072.7903075489285</v>
      </c>
      <c r="I57" s="29">
        <f t="shared" si="0"/>
        <v>55.099656268563358</v>
      </c>
      <c r="J57" s="30">
        <f t="shared" si="1"/>
        <v>1.2506520850896179</v>
      </c>
      <c r="K57" s="31">
        <v>0.97867696601996734</v>
      </c>
      <c r="L57" s="31"/>
      <c r="M57" s="25">
        <f t="shared" si="4"/>
        <v>3.0852370637793485E-2</v>
      </c>
      <c r="N57" s="25">
        <f t="shared" si="5"/>
        <v>3.055268722667347E-2</v>
      </c>
      <c r="O57" s="31"/>
      <c r="P57" s="31"/>
      <c r="Q57" s="31"/>
      <c r="R57" s="31"/>
      <c r="S57" s="31"/>
    </row>
    <row r="58" spans="1:19" x14ac:dyDescent="0.2">
      <c r="A58" s="18">
        <v>1986</v>
      </c>
      <c r="B58" s="19">
        <v>95.819993745535612</v>
      </c>
      <c r="C58" s="32">
        <f t="shared" si="2"/>
        <v>839.95806517336518</v>
      </c>
      <c r="D58" s="20">
        <v>20.079999999999998</v>
      </c>
      <c r="E58" s="33">
        <v>19.061580399409216</v>
      </c>
      <c r="F58" s="26">
        <f t="shared" si="3"/>
        <v>453.10926781759082</v>
      </c>
      <c r="G58" s="28"/>
      <c r="H58" s="37">
        <v>1031.372700871249</v>
      </c>
      <c r="I58" s="29">
        <f t="shared" si="0"/>
        <v>51.363182314305234</v>
      </c>
      <c r="J58" s="30">
        <f t="shared" si="1"/>
        <v>1.3416322138748717</v>
      </c>
      <c r="K58" s="31">
        <v>1.0138239161303353</v>
      </c>
      <c r="L58" s="31"/>
      <c r="M58" s="25">
        <f t="shared" si="4"/>
        <v>3.5912718221316413E-2</v>
      </c>
      <c r="N58" s="25">
        <f t="shared" si="5"/>
        <v>3.0653007171763232E-2</v>
      </c>
      <c r="O58" s="31"/>
      <c r="P58" s="31"/>
      <c r="Q58" s="31"/>
      <c r="R58" s="31"/>
      <c r="S58" s="31"/>
    </row>
    <row r="59" spans="1:19" x14ac:dyDescent="0.2">
      <c r="A59" s="18">
        <v>1987</v>
      </c>
      <c r="B59" s="19">
        <v>97.85161914024502</v>
      </c>
      <c r="C59" s="32">
        <f t="shared" si="2"/>
        <v>857.76729338338782</v>
      </c>
      <c r="D59" s="20">
        <v>19.89</v>
      </c>
      <c r="E59" s="33">
        <v>19.156301346067558</v>
      </c>
      <c r="F59" s="26">
        <f t="shared" si="3"/>
        <v>465.01565981893759</v>
      </c>
      <c r="G59" s="28"/>
      <c r="H59" s="37">
        <v>978.97446373850869</v>
      </c>
      <c r="I59" s="29">
        <f t="shared" si="0"/>
        <v>49.219430052212601</v>
      </c>
      <c r="J59" s="30">
        <f t="shared" si="1"/>
        <v>1.4000670045731709</v>
      </c>
      <c r="K59" s="31">
        <v>1.0493980424923899</v>
      </c>
      <c r="L59" s="31"/>
      <c r="M59" s="25">
        <f t="shared" si="4"/>
        <v>3.5089058164890684E-2</v>
      </c>
      <c r="N59" s="25">
        <f t="shared" si="5"/>
        <v>2.6277087773318192E-2</v>
      </c>
      <c r="O59" s="31"/>
      <c r="P59" s="31"/>
      <c r="Q59" s="31"/>
      <c r="R59" s="31"/>
      <c r="S59" s="31"/>
    </row>
    <row r="60" spans="1:19" x14ac:dyDescent="0.2">
      <c r="A60" s="18">
        <v>1988</v>
      </c>
      <c r="B60" s="19">
        <v>99.881013077683747</v>
      </c>
      <c r="C60" s="32">
        <f t="shared" si="2"/>
        <v>875.55696063897574</v>
      </c>
      <c r="D60" s="20">
        <v>20.079999999999998</v>
      </c>
      <c r="E60" s="33">
        <v>19.274700113610116</v>
      </c>
      <c r="F60" s="26">
        <f t="shared" si="3"/>
        <v>477.59356911821544</v>
      </c>
      <c r="G60" s="28"/>
      <c r="H60" s="37">
        <v>961.99584199584206</v>
      </c>
      <c r="I60" s="29">
        <f t="shared" si="0"/>
        <v>47.908159461944329</v>
      </c>
      <c r="J60" s="30">
        <f t="shared" si="1"/>
        <v>1.4383875476313968</v>
      </c>
      <c r="K60" s="31">
        <v>1.0846666289698133</v>
      </c>
      <c r="L60" s="31"/>
      <c r="M60" s="25">
        <f t="shared" si="4"/>
        <v>3.3608397432930349E-2</v>
      </c>
      <c r="N60" s="25">
        <f t="shared" si="5"/>
        <v>2.7048356401965665E-2</v>
      </c>
      <c r="O60" s="31"/>
      <c r="P60" s="31"/>
      <c r="Q60" s="31"/>
      <c r="R60" s="31"/>
      <c r="S60" s="31"/>
    </row>
    <row r="61" spans="1:19" x14ac:dyDescent="0.2">
      <c r="A61" s="18">
        <v>1989</v>
      </c>
      <c r="B61" s="19">
        <v>101.90730637917295</v>
      </c>
      <c r="C61" s="32">
        <f t="shared" si="2"/>
        <v>893.31944771983012</v>
      </c>
      <c r="D61" s="20">
        <v>19.91</v>
      </c>
      <c r="E61" s="33">
        <v>19.398588373531702</v>
      </c>
      <c r="F61" s="26">
        <f t="shared" si="3"/>
        <v>490.4145559425707</v>
      </c>
      <c r="G61" s="28"/>
      <c r="H61" s="37">
        <v>934.99893048128331</v>
      </c>
      <c r="I61" s="29">
        <f t="shared" si="0"/>
        <v>46.961272249185498</v>
      </c>
      <c r="J61" s="30">
        <f t="shared" si="1"/>
        <v>1.4673899726214337</v>
      </c>
      <c r="K61" s="31">
        <v>1.1228921359815156</v>
      </c>
      <c r="L61" s="31"/>
      <c r="M61" s="25">
        <f t="shared" si="4"/>
        <v>3.5241710209161586E-2</v>
      </c>
      <c r="N61" s="25">
        <f t="shared" si="5"/>
        <v>2.6844973746247763E-2</v>
      </c>
      <c r="O61" s="31"/>
      <c r="P61" s="31"/>
      <c r="Q61" s="31"/>
      <c r="R61" s="31"/>
      <c r="S61" s="31"/>
    </row>
    <row r="62" spans="1:19" x14ac:dyDescent="0.2">
      <c r="A62" s="18">
        <v>1990</v>
      </c>
      <c r="B62" s="19">
        <v>103.92962986417115</v>
      </c>
      <c r="C62" s="32">
        <f t="shared" si="2"/>
        <v>911.04713538932424</v>
      </c>
      <c r="D62" s="20">
        <v>20.45</v>
      </c>
      <c r="E62" s="33">
        <v>19.522768994059692</v>
      </c>
      <c r="F62" s="26">
        <f t="shared" si="3"/>
        <v>503.34840630342859</v>
      </c>
      <c r="G62" s="28"/>
      <c r="H62" s="37">
        <v>893.4586129753917</v>
      </c>
      <c r="I62" s="29">
        <f t="shared" si="0"/>
        <v>43.689907724958033</v>
      </c>
      <c r="J62" s="30">
        <f t="shared" si="1"/>
        <v>1.5772635738627252</v>
      </c>
      <c r="K62" s="31">
        <v>1.1655893260777481</v>
      </c>
      <c r="L62" s="31"/>
      <c r="M62" s="25">
        <f t="shared" si="4"/>
        <v>3.8024302360004571E-2</v>
      </c>
      <c r="N62" s="25">
        <f t="shared" si="5"/>
        <v>2.6373300311201386E-2</v>
      </c>
      <c r="O62" s="31"/>
      <c r="P62" s="31" t="s">
        <v>59</v>
      </c>
      <c r="Q62" s="35">
        <f>SUM(M62:M71)/10</f>
        <v>4.9478240176788514E-2</v>
      </c>
      <c r="R62" s="35">
        <f>SUM(N62:N71)/10</f>
        <v>2.196044518371177E-2</v>
      </c>
      <c r="S62" s="36">
        <f>IF((R62/Q62)&gt;0,(R62/Q62),"---")</f>
        <v>0.44384046613715189</v>
      </c>
    </row>
    <row r="63" spans="1:19" x14ac:dyDescent="0.2">
      <c r="A63" s="18">
        <v>1991</v>
      </c>
      <c r="B63" s="19">
        <v>105.94711435260251</v>
      </c>
      <c r="C63" s="32">
        <f t="shared" si="2"/>
        <v>928.73240441491362</v>
      </c>
      <c r="D63" s="20">
        <v>19.82</v>
      </c>
      <c r="E63" s="33">
        <v>19.585420671286869</v>
      </c>
      <c r="F63" s="26">
        <f t="shared" si="3"/>
        <v>514.766099732067</v>
      </c>
      <c r="G63" s="28"/>
      <c r="H63" s="37">
        <v>848.41484973482613</v>
      </c>
      <c r="I63" s="29">
        <f t="shared" si="0"/>
        <v>42.805996454834819</v>
      </c>
      <c r="J63" s="30">
        <f t="shared" si="1"/>
        <v>1.6098328670542312</v>
      </c>
      <c r="K63" s="31">
        <v>1.2089255639261296</v>
      </c>
      <c r="L63" s="31"/>
      <c r="M63" s="25">
        <f t="shared" si="4"/>
        <v>3.7179679736952929E-2</v>
      </c>
      <c r="N63" s="25">
        <f t="shared" si="5"/>
        <v>2.2683479843493531E-2</v>
      </c>
      <c r="O63" s="31"/>
      <c r="P63" s="31"/>
      <c r="Q63" s="31"/>
      <c r="R63" s="31"/>
      <c r="S63" s="31"/>
    </row>
    <row r="64" spans="1:19" x14ac:dyDescent="0.2">
      <c r="A64" s="18">
        <v>1992</v>
      </c>
      <c r="B64" s="19">
        <v>107.95889066532254</v>
      </c>
      <c r="C64" s="32">
        <f t="shared" si="2"/>
        <v>946.36763557221741</v>
      </c>
      <c r="D64" s="20">
        <v>19.78</v>
      </c>
      <c r="E64" s="33">
        <v>19.643420988613954</v>
      </c>
      <c r="F64" s="26">
        <f t="shared" si="3"/>
        <v>526.0941098779025</v>
      </c>
      <c r="G64" s="28"/>
      <c r="H64" s="37">
        <v>729.28368314150305</v>
      </c>
      <c r="I64" s="29">
        <f t="shared" si="0"/>
        <v>36.869751422725123</v>
      </c>
      <c r="J64" s="30">
        <f t="shared" si="1"/>
        <v>1.8690253484466444</v>
      </c>
      <c r="K64" s="31">
        <v>1.2702645001072947</v>
      </c>
      <c r="L64" s="31"/>
      <c r="M64" s="25">
        <f t="shared" si="4"/>
        <v>5.0738389534885554E-2</v>
      </c>
      <c r="N64" s="25">
        <f t="shared" si="5"/>
        <v>2.2006130846090408E-2</v>
      </c>
      <c r="O64" s="31"/>
      <c r="P64" s="31"/>
      <c r="Q64" s="31"/>
      <c r="R64" s="31"/>
      <c r="S64" s="31"/>
    </row>
    <row r="65" spans="1:35" x14ac:dyDescent="0.2">
      <c r="A65" s="18">
        <v>1993</v>
      </c>
      <c r="B65" s="20">
        <v>110.68</v>
      </c>
      <c r="C65" s="26">
        <f t="shared" si="2"/>
        <v>970.22088000000008</v>
      </c>
      <c r="D65" s="20">
        <v>20.11</v>
      </c>
      <c r="E65" s="33">
        <v>19.696935549832489</v>
      </c>
      <c r="F65" s="26">
        <f t="shared" si="3"/>
        <v>540.82370143166793</v>
      </c>
      <c r="G65" s="28"/>
      <c r="H65" s="37">
        <v>651.90184049079767</v>
      </c>
      <c r="I65" s="29">
        <f t="shared" si="0"/>
        <v>32.416799626593622</v>
      </c>
      <c r="J65" s="30">
        <f t="shared" si="1"/>
        <v>2.1257650599002438</v>
      </c>
      <c r="K65" s="31">
        <v>1.3461327802483529</v>
      </c>
      <c r="L65" s="31"/>
      <c r="M65" s="25">
        <f t="shared" si="4"/>
        <v>5.9726364182144623E-2</v>
      </c>
      <c r="N65" s="25">
        <f t="shared" si="5"/>
        <v>2.7998016471204968E-2</v>
      </c>
      <c r="O65" s="31"/>
      <c r="P65" s="31"/>
      <c r="Q65" s="31"/>
      <c r="R65" s="31"/>
      <c r="S65" s="31"/>
    </row>
    <row r="66" spans="1:35" x14ac:dyDescent="0.2">
      <c r="A66" s="18">
        <v>1994</v>
      </c>
      <c r="B66" s="19">
        <v>111.96184204239398</v>
      </c>
      <c r="C66" s="32">
        <f t="shared" si="2"/>
        <v>981.45750734362559</v>
      </c>
      <c r="D66" s="20">
        <v>20.03</v>
      </c>
      <c r="E66" s="33">
        <v>19.765122607103642</v>
      </c>
      <c r="F66" s="26">
        <f t="shared" si="3"/>
        <v>548.98117144654702</v>
      </c>
      <c r="G66" s="28"/>
      <c r="H66" s="37">
        <v>646.43464810518196</v>
      </c>
      <c r="I66" s="29">
        <f t="shared" si="0"/>
        <v>32.273322421626659</v>
      </c>
      <c r="J66" s="30">
        <f t="shared" si="1"/>
        <v>2.1352155535688637</v>
      </c>
      <c r="K66" s="31">
        <v>1.4345515470715475</v>
      </c>
      <c r="L66" s="31"/>
      <c r="M66" s="25">
        <f t="shared" si="4"/>
        <v>6.5683540376218985E-2</v>
      </c>
      <c r="N66" s="25">
        <f t="shared" si="5"/>
        <v>1.5083418114414457E-2</v>
      </c>
      <c r="O66" s="31"/>
      <c r="P66" s="31"/>
      <c r="Q66" s="31"/>
      <c r="R66" s="31"/>
      <c r="S66" s="31"/>
    </row>
    <row r="67" spans="1:35" x14ac:dyDescent="0.2">
      <c r="A67" s="18">
        <v>1995</v>
      </c>
      <c r="B67" s="19">
        <v>113.95127874752507</v>
      </c>
      <c r="C67" s="32">
        <f t="shared" si="2"/>
        <v>998.89690950080478</v>
      </c>
      <c r="D67" s="20">
        <v>19.95</v>
      </c>
      <c r="E67" s="33">
        <v>19.821206657846322</v>
      </c>
      <c r="F67" s="26">
        <f t="shared" si="3"/>
        <v>560.32138066871482</v>
      </c>
      <c r="G67" s="28"/>
      <c r="H67" s="37">
        <v>652.48122605363983</v>
      </c>
      <c r="I67" s="29">
        <f t="shared" si="0"/>
        <v>32.70582586735037</v>
      </c>
      <c r="J67" s="30">
        <f t="shared" si="1"/>
        <v>2.1069793583409275</v>
      </c>
      <c r="K67" s="31">
        <v>1.5263656664215826</v>
      </c>
      <c r="L67" s="31"/>
      <c r="M67" s="25">
        <f t="shared" si="4"/>
        <v>6.4001966006353508E-2</v>
      </c>
      <c r="N67" s="25">
        <f t="shared" si="5"/>
        <v>2.0656827250170946E-2</v>
      </c>
      <c r="O67" s="31"/>
      <c r="P67" s="31"/>
      <c r="Q67" s="31"/>
      <c r="R67" s="31"/>
      <c r="S67" s="31"/>
    </row>
    <row r="68" spans="1:35" x14ac:dyDescent="0.2">
      <c r="A68" s="18">
        <v>1996</v>
      </c>
      <c r="B68" s="19">
        <v>115.93153055710718</v>
      </c>
      <c r="C68" s="32">
        <f t="shared" si="2"/>
        <v>1016.2557968636015</v>
      </c>
      <c r="D68" s="20">
        <v>20.309999999999999</v>
      </c>
      <c r="E68" s="33">
        <v>19.897135763312942</v>
      </c>
      <c r="F68" s="26">
        <f t="shared" si="3"/>
        <v>572.24240156070255</v>
      </c>
      <c r="G68" s="28"/>
      <c r="H68" s="37">
        <v>646.17478731631854</v>
      </c>
      <c r="I68" s="29">
        <f t="shared" si="0"/>
        <v>31.815597602969895</v>
      </c>
      <c r="J68" s="30">
        <f t="shared" si="1"/>
        <v>2.1659344847122215</v>
      </c>
      <c r="K68" s="31">
        <v>1.6122234734555634</v>
      </c>
      <c r="L68" s="31"/>
      <c r="M68" s="25">
        <f t="shared" si="4"/>
        <v>5.6249828545518972E-2</v>
      </c>
      <c r="N68" s="25">
        <f t="shared" si="5"/>
        <v>2.1275327523216401E-2</v>
      </c>
      <c r="O68" s="31"/>
      <c r="P68" s="31"/>
      <c r="Q68" s="31"/>
      <c r="R68" s="31"/>
      <c r="S68" s="31"/>
    </row>
    <row r="69" spans="1:35" x14ac:dyDescent="0.2">
      <c r="A69" s="18">
        <v>1997</v>
      </c>
      <c r="B69" s="20">
        <v>116.7</v>
      </c>
      <c r="C69" s="26">
        <f t="shared" si="2"/>
        <v>1022.9922</v>
      </c>
      <c r="D69" s="20">
        <v>20.43</v>
      </c>
      <c r="E69" s="33">
        <v>19.957781059131854</v>
      </c>
      <c r="F69" s="26">
        <f t="shared" si="3"/>
        <v>577.79131818422945</v>
      </c>
      <c r="G69" s="28"/>
      <c r="H69" s="37">
        <v>645.71693735498843</v>
      </c>
      <c r="I69" s="29">
        <f t="shared" si="0"/>
        <v>31.606311177434577</v>
      </c>
      <c r="J69" s="30">
        <f t="shared" si="1"/>
        <v>2.1802765787232663</v>
      </c>
      <c r="K69" s="31">
        <v>1.6851061174288395</v>
      </c>
      <c r="L69" s="31"/>
      <c r="M69" s="25">
        <f t="shared" si="4"/>
        <v>4.5206291294756396E-2</v>
      </c>
      <c r="N69" s="25">
        <f t="shared" si="5"/>
        <v>9.6967938908285988E-3</v>
      </c>
      <c r="O69" s="31"/>
      <c r="P69" s="31"/>
      <c r="Q69" s="31"/>
      <c r="R69" s="31"/>
      <c r="S69" s="31"/>
    </row>
    <row r="70" spans="1:35" x14ac:dyDescent="0.2">
      <c r="A70" s="38">
        <v>1998</v>
      </c>
      <c r="B70" s="19">
        <v>119.86100277025253</v>
      </c>
      <c r="C70" s="32">
        <f t="shared" si="2"/>
        <v>1050.7015502840336</v>
      </c>
      <c r="D70" s="20">
        <v>20.852272727272727</v>
      </c>
      <c r="E70" s="33">
        <v>20.064457125801582</v>
      </c>
      <c r="F70" s="26">
        <f t="shared" si="3"/>
        <v>596.6137006775491</v>
      </c>
      <c r="G70" s="28"/>
      <c r="H70" s="37">
        <v>616</v>
      </c>
      <c r="I70" s="29">
        <f t="shared" si="0"/>
        <v>29.541144414168937</v>
      </c>
      <c r="J70" s="30">
        <f t="shared" si="1"/>
        <v>2.3326956814492328</v>
      </c>
      <c r="K70" s="31">
        <v>1.7560620725961991</v>
      </c>
      <c r="L70" s="31"/>
      <c r="M70" s="25">
        <f t="shared" si="4"/>
        <v>4.2107707303101601E-2</v>
      </c>
      <c r="N70" s="25">
        <f t="shared" si="5"/>
        <v>3.2576437030018009E-2</v>
      </c>
      <c r="O70" s="31"/>
      <c r="P70" s="31"/>
      <c r="Q70" s="31"/>
      <c r="R70" s="31"/>
      <c r="S70" s="31"/>
    </row>
    <row r="71" spans="1:35" x14ac:dyDescent="0.2">
      <c r="A71" s="38">
        <v>1999</v>
      </c>
      <c r="B71" s="19">
        <v>121.80848481412977</v>
      </c>
      <c r="C71" s="32">
        <f t="shared" si="2"/>
        <v>1067.7731778806615</v>
      </c>
      <c r="D71" s="20">
        <v>20.988636363636363</v>
      </c>
      <c r="E71" s="33">
        <v>20.163311357431112</v>
      </c>
      <c r="F71" s="26">
        <f t="shared" si="3"/>
        <v>609.29455816561722</v>
      </c>
      <c r="G71" s="28"/>
      <c r="H71" s="37">
        <v>637.25429017160684</v>
      </c>
      <c r="I71" s="29">
        <f t="shared" si="0"/>
        <v>30.361871973525393</v>
      </c>
      <c r="J71" s="30">
        <f t="shared" si="1"/>
        <v>2.2696393707241707</v>
      </c>
      <c r="K71" s="31">
        <v>1.8190420665319005</v>
      </c>
      <c r="L71" s="31"/>
      <c r="M71" s="25">
        <f t="shared" si="4"/>
        <v>3.5864332427947988E-2</v>
      </c>
      <c r="N71" s="25">
        <f t="shared" si="5"/>
        <v>2.1254720556479003E-2</v>
      </c>
      <c r="O71" s="31"/>
      <c r="P71" s="31"/>
      <c r="Q71" s="31"/>
      <c r="R71" s="31"/>
      <c r="S71" s="31"/>
      <c r="AH71" s="39" t="s">
        <v>60</v>
      </c>
      <c r="AI71" s="24"/>
    </row>
    <row r="72" spans="1:35" x14ac:dyDescent="0.2">
      <c r="A72" s="38">
        <v>2000</v>
      </c>
      <c r="B72" s="19">
        <v>123.74330524215475</v>
      </c>
      <c r="C72" s="32">
        <f t="shared" si="2"/>
        <v>1084.7338137527286</v>
      </c>
      <c r="D72" s="20">
        <v>22.113636363636363</v>
      </c>
      <c r="E72" s="33">
        <v>20.354927135291828</v>
      </c>
      <c r="F72" s="26">
        <f t="shared" si="3"/>
        <v>624.85488004550928</v>
      </c>
      <c r="G72" s="28"/>
      <c r="H72" s="37">
        <v>565.11564625850349</v>
      </c>
      <c r="I72" s="29">
        <f t="shared" si="0"/>
        <v>25.555075473149181</v>
      </c>
      <c r="J72" s="30">
        <f t="shared" si="1"/>
        <v>2.6965484829972244</v>
      </c>
      <c r="K72" s="31">
        <v>1.9125366005091753</v>
      </c>
      <c r="L72" s="31"/>
      <c r="M72" s="25">
        <f t="shared" si="4"/>
        <v>5.1397675566418902E-2</v>
      </c>
      <c r="N72" s="25">
        <f t="shared" si="5"/>
        <v>2.5538258419275889E-2</v>
      </c>
      <c r="O72" s="31"/>
      <c r="P72" s="31" t="s">
        <v>61</v>
      </c>
      <c r="Q72" s="35">
        <f>SUM(M72:M81)/10</f>
        <v>4.0620041335961699E-2</v>
      </c>
      <c r="R72" s="35">
        <f>SUM(N72:N81)/10</f>
        <v>2.0037569393530779E-2</v>
      </c>
      <c r="S72" s="36">
        <f>IF((R72/Q72)&gt;0,(R72/Q72),"---")</f>
        <v>0.4932926883998795</v>
      </c>
      <c r="AH72" s="40" t="s">
        <v>62</v>
      </c>
      <c r="AI72" s="40" t="s">
        <v>63</v>
      </c>
    </row>
    <row r="73" spans="1:35" x14ac:dyDescent="0.2">
      <c r="A73" s="38">
        <v>2001</v>
      </c>
      <c r="B73" s="20">
        <v>124.9</v>
      </c>
      <c r="C73" s="26">
        <f t="shared" si="2"/>
        <v>1094.8733999999999</v>
      </c>
      <c r="D73" s="20">
        <v>22.164772727272727</v>
      </c>
      <c r="E73" s="33">
        <v>20.542905881501678</v>
      </c>
      <c r="F73" s="26">
        <f t="shared" si="3"/>
        <v>636.52023819658052</v>
      </c>
      <c r="G73" s="21"/>
      <c r="H73" s="24">
        <v>565</v>
      </c>
      <c r="I73" s="29">
        <f t="shared" ref="I73:I81" si="6">H73/D73</f>
        <v>25.490899769289925</v>
      </c>
      <c r="J73" s="30">
        <f t="shared" ref="J73:J81" si="7">1/((I73*$B$96)/($B$93*$B$90*$B$87))</f>
        <v>2.7033372938455349</v>
      </c>
      <c r="K73" s="31">
        <v>1.9936067459928484</v>
      </c>
      <c r="L73" s="31"/>
      <c r="M73" s="25">
        <f t="shared" si="4"/>
        <v>4.2388807336858153E-2</v>
      </c>
      <c r="N73" s="25">
        <f t="shared" si="5"/>
        <v>1.8668907811397163E-2</v>
      </c>
      <c r="O73" s="31"/>
      <c r="P73" s="31"/>
      <c r="Q73" s="31"/>
      <c r="R73" s="31"/>
      <c r="S73" s="31"/>
      <c r="AH73" s="41">
        <v>0</v>
      </c>
      <c r="AI73" s="41">
        <f>AH73</f>
        <v>0</v>
      </c>
    </row>
    <row r="74" spans="1:35" x14ac:dyDescent="0.2">
      <c r="A74" s="38">
        <v>2002</v>
      </c>
      <c r="B74" s="19">
        <v>127.46756600000001</v>
      </c>
      <c r="C74" s="32">
        <f t="shared" si="2"/>
        <v>1117.3806835560003</v>
      </c>
      <c r="D74" s="20">
        <v>22.31818181818182</v>
      </c>
      <c r="E74" s="33">
        <v>20.761471523871389</v>
      </c>
      <c r="F74" s="26">
        <f t="shared" si="3"/>
        <v>656.51662297610324</v>
      </c>
      <c r="G74" s="21"/>
      <c r="H74" s="24">
        <v>520</v>
      </c>
      <c r="I74" s="29">
        <f t="shared" si="6"/>
        <v>23.299389002036659</v>
      </c>
      <c r="J74" s="30">
        <f t="shared" si="7"/>
        <v>2.9576097465034965</v>
      </c>
      <c r="K74" s="31">
        <v>2.1050766300536861</v>
      </c>
      <c r="L74" s="31"/>
      <c r="M74" s="25">
        <f t="shared" si="4"/>
        <v>5.5913677200828231E-2</v>
      </c>
      <c r="N74" s="25">
        <f t="shared" si="5"/>
        <v>3.1415159455381064E-2</v>
      </c>
      <c r="O74" s="31"/>
      <c r="P74" s="31"/>
      <c r="Q74" s="31"/>
      <c r="R74" s="31"/>
      <c r="S74" s="31"/>
      <c r="AH74" s="41">
        <v>0.01</v>
      </c>
      <c r="AI74" s="41">
        <f t="shared" ref="AI74:AI79" si="8">AH74</f>
        <v>0.01</v>
      </c>
    </row>
    <row r="75" spans="1:35" x14ac:dyDescent="0.2">
      <c r="A75" s="38">
        <v>2003</v>
      </c>
      <c r="B75" s="19">
        <v>130.08791338642399</v>
      </c>
      <c r="C75" s="32">
        <f t="shared" si="2"/>
        <v>1140.3506487453928</v>
      </c>
      <c r="D75" s="20">
        <v>22.420454545454547</v>
      </c>
      <c r="E75" s="33">
        <v>20.988076862625999</v>
      </c>
      <c r="F75" s="26">
        <f t="shared" si="3"/>
        <v>677.32560797384849</v>
      </c>
      <c r="G75" s="21"/>
      <c r="H75" s="24">
        <v>510</v>
      </c>
      <c r="I75" s="29">
        <f t="shared" si="6"/>
        <v>22.74708565636087</v>
      </c>
      <c r="J75" s="30">
        <f t="shared" si="7"/>
        <v>3.0294210450089127</v>
      </c>
      <c r="K75" s="31">
        <v>2.2244641000058927</v>
      </c>
      <c r="L75" s="31"/>
      <c r="M75" s="25">
        <f t="shared" si="4"/>
        <v>5.6714073135267225E-2</v>
      </c>
      <c r="N75" s="25">
        <f t="shared" si="5"/>
        <v>3.1696051965012753E-2</v>
      </c>
      <c r="O75" s="31"/>
      <c r="P75" s="31"/>
      <c r="Q75" s="31"/>
      <c r="R75" s="31"/>
      <c r="S75" s="31"/>
      <c r="AH75" s="41">
        <v>0.02</v>
      </c>
      <c r="AI75" s="41">
        <f t="shared" si="8"/>
        <v>0.02</v>
      </c>
    </row>
    <row r="76" spans="1:35" x14ac:dyDescent="0.2">
      <c r="A76" s="38">
        <v>2004</v>
      </c>
      <c r="B76" s="19">
        <v>132.76212718483814</v>
      </c>
      <c r="C76" s="32">
        <f t="shared" si="2"/>
        <v>1163.792806902291</v>
      </c>
      <c r="D76" s="20">
        <v>21.738636363636363</v>
      </c>
      <c r="E76" s="33">
        <v>21.125959014490618</v>
      </c>
      <c r="F76" s="26">
        <f t="shared" si="3"/>
        <v>695.79056766134329</v>
      </c>
      <c r="G76" s="21"/>
      <c r="H76" s="24">
        <v>500</v>
      </c>
      <c r="I76" s="29">
        <f t="shared" si="6"/>
        <v>23.000522739153162</v>
      </c>
      <c r="J76" s="30">
        <f t="shared" si="7"/>
        <v>2.9960406022727275</v>
      </c>
      <c r="K76" s="31">
        <v>2.3295008221603681</v>
      </c>
      <c r="L76" s="31"/>
      <c r="M76" s="25">
        <f t="shared" si="4"/>
        <v>4.7218888429890693E-2</v>
      </c>
      <c r="N76" s="25">
        <f t="shared" si="5"/>
        <v>2.7261570314358656E-2</v>
      </c>
      <c r="O76" s="31"/>
      <c r="P76" s="31"/>
      <c r="Q76" s="31"/>
      <c r="R76" s="31"/>
      <c r="S76" s="31"/>
      <c r="AH76" s="41">
        <v>0.03</v>
      </c>
      <c r="AI76" s="41">
        <f t="shared" si="8"/>
        <v>0.03</v>
      </c>
    </row>
    <row r="77" spans="1:35" x14ac:dyDescent="0.2">
      <c r="A77" s="38">
        <v>2005</v>
      </c>
      <c r="B77" s="20">
        <v>135.5</v>
      </c>
      <c r="C77" s="26">
        <f t="shared" si="2"/>
        <v>1187.7929999999999</v>
      </c>
      <c r="D77" s="20">
        <v>20.988636363636363</v>
      </c>
      <c r="E77" s="33">
        <v>21.163125478927203</v>
      </c>
      <c r="F77" s="26">
        <f t="shared" si="3"/>
        <v>711.38876814635603</v>
      </c>
      <c r="G77" s="21"/>
      <c r="H77" s="12">
        <v>503</v>
      </c>
      <c r="I77" s="22">
        <f t="shared" si="6"/>
        <v>23.965349214943153</v>
      </c>
      <c r="J77" s="23">
        <f t="shared" si="7"/>
        <v>2.8754223183625518</v>
      </c>
      <c r="K77" s="31">
        <v>2.4197363843358293</v>
      </c>
      <c r="L77" s="31"/>
      <c r="M77" s="25">
        <f t="shared" si="4"/>
        <v>3.873600786789038E-2</v>
      </c>
      <c r="N77" s="25">
        <f t="shared" si="5"/>
        <v>2.2417953346853547E-2</v>
      </c>
      <c r="O77" s="31"/>
      <c r="P77" s="31"/>
      <c r="Q77" s="31"/>
      <c r="R77" s="31"/>
      <c r="S77" s="31"/>
      <c r="AH77" s="41">
        <v>0.04</v>
      </c>
      <c r="AI77" s="41">
        <f t="shared" si="8"/>
        <v>0.04</v>
      </c>
    </row>
    <row r="78" spans="1:35" x14ac:dyDescent="0.2">
      <c r="A78" s="38">
        <v>2006</v>
      </c>
      <c r="B78" s="19">
        <v>136.47499999999999</v>
      </c>
      <c r="C78" s="32">
        <f t="shared" si="2"/>
        <v>1196.3398500000001</v>
      </c>
      <c r="D78" s="20">
        <v>22.420454545454547</v>
      </c>
      <c r="E78" s="33">
        <v>21.291380942151214</v>
      </c>
      <c r="F78" s="26">
        <f t="shared" si="3"/>
        <v>720.84988775831698</v>
      </c>
      <c r="G78" s="21"/>
      <c r="H78" s="24">
        <v>506</v>
      </c>
      <c r="I78" s="29">
        <f t="shared" si="6"/>
        <v>22.568677141409019</v>
      </c>
      <c r="J78" s="42">
        <f t="shared" si="7"/>
        <v>3.0533690374595763</v>
      </c>
      <c r="K78" s="31">
        <v>2.4963887502227919</v>
      </c>
      <c r="L78" s="31"/>
      <c r="M78" s="25">
        <f t="shared" si="4"/>
        <v>3.167798210713034E-2</v>
      </c>
      <c r="N78" s="25">
        <f t="shared" si="5"/>
        <v>1.329950659273621E-2</v>
      </c>
      <c r="O78" s="31"/>
      <c r="P78" s="31"/>
      <c r="Q78" s="31"/>
      <c r="R78" s="31"/>
      <c r="S78" s="31"/>
      <c r="AH78" s="41">
        <v>0.05</v>
      </c>
      <c r="AI78" s="41">
        <f t="shared" si="8"/>
        <v>0.05</v>
      </c>
    </row>
    <row r="79" spans="1:35" x14ac:dyDescent="0.2">
      <c r="A79" s="38">
        <v>2007</v>
      </c>
      <c r="B79" s="19">
        <v>137.45701568265682</v>
      </c>
      <c r="C79" s="32">
        <f t="shared" si="2"/>
        <v>1204.9481994741695</v>
      </c>
      <c r="D79" s="20">
        <v>22.045454545454547</v>
      </c>
      <c r="E79" s="33">
        <v>21.334724289936993</v>
      </c>
      <c r="F79" s="26">
        <f t="shared" si="3"/>
        <v>727.51482463007869</v>
      </c>
      <c r="G79" s="21"/>
      <c r="H79" s="12">
        <v>498</v>
      </c>
      <c r="I79" s="22">
        <f t="shared" si="6"/>
        <v>22.589690721649482</v>
      </c>
      <c r="J79" s="23">
        <f t="shared" si="7"/>
        <v>3.0505287057320194</v>
      </c>
      <c r="K79" s="31">
        <v>2.5614541751571203</v>
      </c>
      <c r="L79" s="43"/>
      <c r="M79" s="25">
        <f t="shared" si="4"/>
        <v>2.6063819158182597E-2</v>
      </c>
      <c r="N79" s="25">
        <f t="shared" si="5"/>
        <v>9.2459428584891427E-3</v>
      </c>
      <c r="O79" s="43"/>
      <c r="P79" s="43"/>
      <c r="Q79" s="43"/>
      <c r="R79" s="43"/>
      <c r="S79" s="43"/>
      <c r="AH79" s="41">
        <v>0.06</v>
      </c>
      <c r="AI79" s="41">
        <f t="shared" si="8"/>
        <v>0.06</v>
      </c>
    </row>
    <row r="80" spans="1:35" x14ac:dyDescent="0.2">
      <c r="A80" s="38">
        <v>2008</v>
      </c>
      <c r="B80" s="44">
        <v>138.44609752981984</v>
      </c>
      <c r="C80" s="32">
        <f t="shared" si="2"/>
        <v>1213.6184909464007</v>
      </c>
      <c r="D80" s="20">
        <v>21.56818181818182</v>
      </c>
      <c r="E80" s="33">
        <v>21.424536706737431</v>
      </c>
      <c r="F80" s="26">
        <f t="shared" si="3"/>
        <v>735.83435357535745</v>
      </c>
      <c r="G80" s="21"/>
      <c r="H80" s="12">
        <v>485</v>
      </c>
      <c r="I80" s="22">
        <f t="shared" si="6"/>
        <v>22.486828240252894</v>
      </c>
      <c r="J80" s="23">
        <f t="shared" si="7"/>
        <v>3.0644828725398314</v>
      </c>
      <c r="K80" s="31">
        <v>2.6391948712272959</v>
      </c>
      <c r="L80" s="18"/>
      <c r="M80" s="25">
        <f t="shared" si="4"/>
        <v>3.0350219349681323E-2</v>
      </c>
      <c r="N80" s="25">
        <f t="shared" si="5"/>
        <v>1.1435545591128008E-2</v>
      </c>
      <c r="O80" s="18"/>
      <c r="P80" s="18"/>
      <c r="Q80" s="18"/>
      <c r="R80" s="18"/>
      <c r="S80" s="18"/>
    </row>
    <row r="81" spans="1:19" x14ac:dyDescent="0.2">
      <c r="A81" s="38">
        <v>2009</v>
      </c>
      <c r="B81" s="33">
        <v>139.4</v>
      </c>
      <c r="C81" s="26">
        <f t="shared" si="2"/>
        <v>1221.9803999999999</v>
      </c>
      <c r="D81" s="20">
        <v>21.261363636363637</v>
      </c>
      <c r="E81" s="33">
        <v>21.477874809771727</v>
      </c>
      <c r="F81" s="26">
        <f t="shared" si="3"/>
        <v>742.74884004881221</v>
      </c>
      <c r="G81" s="21"/>
      <c r="H81" s="12">
        <v>473</v>
      </c>
      <c r="I81" s="22">
        <f t="shared" si="6"/>
        <v>22.246926777124532</v>
      </c>
      <c r="J81" s="23">
        <f t="shared" si="7"/>
        <v>3.097528961656737</v>
      </c>
      <c r="K81" s="31">
        <v>2.7071258026736178</v>
      </c>
      <c r="L81" s="18"/>
      <c r="M81" s="25">
        <f t="shared" si="4"/>
        <v>2.5739263207469103E-2</v>
      </c>
      <c r="N81" s="25">
        <f t="shared" si="5"/>
        <v>9.3967975806753899E-3</v>
      </c>
      <c r="O81" s="18"/>
      <c r="P81" s="18"/>
      <c r="Q81" s="18"/>
      <c r="R81" s="18"/>
      <c r="S81" s="18"/>
    </row>
    <row r="82" spans="1:19" x14ac:dyDescent="0.2">
      <c r="A82" s="38">
        <v>2010</v>
      </c>
      <c r="B82" s="44"/>
      <c r="C82" s="26"/>
      <c r="D82" s="26"/>
      <c r="E82" s="26"/>
      <c r="F82" s="26"/>
      <c r="G82" s="21"/>
      <c r="H82" s="24">
        <v>462</v>
      </c>
      <c r="I82" s="24"/>
      <c r="J82" s="24"/>
      <c r="K82" s="24"/>
      <c r="L82" s="18"/>
      <c r="M82" s="25"/>
      <c r="N82" s="25"/>
      <c r="O82" s="18"/>
      <c r="P82" s="18"/>
      <c r="Q82" s="18"/>
      <c r="R82" s="18"/>
      <c r="S82" s="18"/>
    </row>
    <row r="83" spans="1:19" x14ac:dyDescent="0.2">
      <c r="A83" s="18"/>
      <c r="B83" s="45"/>
      <c r="C83" s="26"/>
      <c r="D83" s="26"/>
      <c r="E83" s="26"/>
      <c r="F83" s="26"/>
      <c r="G83" s="21"/>
      <c r="H83" s="18"/>
      <c r="I83" s="18"/>
      <c r="J83" s="18"/>
      <c r="K83" s="18"/>
      <c r="L83" s="18"/>
      <c r="M83" s="18"/>
      <c r="N83" s="18"/>
      <c r="O83" s="18"/>
      <c r="P83" s="18"/>
      <c r="Q83" s="18"/>
      <c r="R83" s="18"/>
      <c r="S83" s="18"/>
    </row>
    <row r="84" spans="1:19" x14ac:dyDescent="0.2">
      <c r="A84" s="18"/>
      <c r="G84" s="21"/>
      <c r="H84" s="18"/>
      <c r="I84" s="18"/>
      <c r="J84" s="18"/>
      <c r="K84" s="18"/>
      <c r="L84" s="18"/>
      <c r="M84" s="18"/>
      <c r="N84" s="18"/>
      <c r="O84" s="18"/>
      <c r="P84" s="18"/>
      <c r="Q84" s="18"/>
      <c r="R84" s="18"/>
      <c r="S84" s="18"/>
    </row>
    <row r="85" spans="1:19" x14ac:dyDescent="0.2">
      <c r="A85" s="46" t="s">
        <v>64</v>
      </c>
      <c r="B85" s="46"/>
      <c r="G85" s="21"/>
      <c r="H85" s="18"/>
      <c r="I85" s="18"/>
      <c r="J85" s="18"/>
      <c r="K85" s="18"/>
      <c r="L85" s="18"/>
      <c r="M85" s="18"/>
      <c r="N85" s="18"/>
      <c r="O85" s="18"/>
      <c r="P85" s="39" t="s">
        <v>65</v>
      </c>
      <c r="Q85" s="47"/>
      <c r="R85" s="47"/>
      <c r="S85" s="47"/>
    </row>
    <row r="86" spans="1:19" x14ac:dyDescent="0.2">
      <c r="A86" s="48" t="s">
        <v>66</v>
      </c>
      <c r="B86" s="48" t="s">
        <v>67</v>
      </c>
      <c r="G86" s="21"/>
      <c r="H86" s="18"/>
      <c r="I86" s="18"/>
      <c r="J86" s="18"/>
      <c r="K86" s="18"/>
      <c r="L86" s="18"/>
      <c r="M86" s="18"/>
      <c r="N86" s="18"/>
      <c r="O86" s="18"/>
      <c r="P86" s="34" t="str">
        <f>P32</f>
        <v>1960-1969</v>
      </c>
      <c r="Q86" s="35">
        <f>Q32</f>
        <v>-3.1447739743733744E-2</v>
      </c>
      <c r="R86" s="35">
        <f>R32</f>
        <v>7.1229752620778464E-2</v>
      </c>
      <c r="S86" s="49" t="str">
        <f>S32</f>
        <v>---</v>
      </c>
    </row>
    <row r="87" spans="1:19" x14ac:dyDescent="0.2">
      <c r="A87" s="40">
        <v>1</v>
      </c>
      <c r="B87" s="48">
        <v>2.8299999999999999E-2</v>
      </c>
      <c r="G87" s="21"/>
      <c r="H87" s="50"/>
      <c r="I87" s="50"/>
      <c r="J87" s="50"/>
      <c r="K87" s="50"/>
      <c r="L87" s="18"/>
      <c r="M87" s="18"/>
      <c r="N87" s="18"/>
      <c r="O87" s="18"/>
      <c r="P87" s="34" t="str">
        <f>P42</f>
        <v>1970-1979</v>
      </c>
      <c r="Q87" s="35">
        <f>Q42</f>
        <v>-2.2082094710415005E-2</v>
      </c>
      <c r="R87" s="35">
        <f>R42</f>
        <v>4.9969043643110167E-2</v>
      </c>
      <c r="S87" s="49" t="str">
        <f>S42</f>
        <v>---</v>
      </c>
    </row>
    <row r="88" spans="1:19" x14ac:dyDescent="0.2">
      <c r="G88" s="21"/>
      <c r="H88" s="18"/>
      <c r="I88" s="18"/>
      <c r="J88" s="18"/>
      <c r="K88" s="18"/>
      <c r="L88" s="18"/>
      <c r="M88" s="18"/>
      <c r="N88" s="18"/>
      <c r="O88" s="18"/>
      <c r="P88" s="34" t="str">
        <f>P52</f>
        <v>1980-1989</v>
      </c>
      <c r="Q88" s="35">
        <f>Q52</f>
        <v>3.1403212399060784E-2</v>
      </c>
      <c r="R88" s="35">
        <f>R52</f>
        <v>3.3443321122795383E-2</v>
      </c>
      <c r="S88" s="49">
        <f>S52</f>
        <v>1.0649649691187522</v>
      </c>
    </row>
    <row r="89" spans="1:19" x14ac:dyDescent="0.2">
      <c r="A89" s="48" t="s">
        <v>68</v>
      </c>
      <c r="B89" s="48" t="s">
        <v>69</v>
      </c>
      <c r="G89" s="21"/>
      <c r="H89" s="18"/>
      <c r="I89" s="18"/>
      <c r="J89" s="18"/>
      <c r="K89" s="18"/>
      <c r="L89" s="18"/>
      <c r="M89" s="18"/>
      <c r="N89" s="18"/>
      <c r="O89" s="18"/>
      <c r="P89" s="34" t="str">
        <f>P62</f>
        <v>1990-1999</v>
      </c>
      <c r="Q89" s="35">
        <f>Q62</f>
        <v>4.9478240176788514E-2</v>
      </c>
      <c r="R89" s="35">
        <f>R62</f>
        <v>2.196044518371177E-2</v>
      </c>
      <c r="S89" s="49">
        <f>S62</f>
        <v>0.44384046613715189</v>
      </c>
    </row>
    <row r="90" spans="1:19" x14ac:dyDescent="0.2">
      <c r="A90" s="40">
        <v>1</v>
      </c>
      <c r="B90" s="48">
        <v>24</v>
      </c>
      <c r="G90" s="21"/>
      <c r="H90" s="21"/>
      <c r="I90" s="21"/>
      <c r="J90" s="21"/>
      <c r="K90" s="21"/>
      <c r="L90" s="21"/>
      <c r="M90" s="21"/>
      <c r="N90" s="21"/>
      <c r="O90" s="21"/>
      <c r="P90" s="34" t="str">
        <f>P72</f>
        <v>2000-2009</v>
      </c>
      <c r="Q90" s="35">
        <f>Q72</f>
        <v>4.0620041335961699E-2</v>
      </c>
      <c r="R90" s="35">
        <f>R72</f>
        <v>2.0037569393530779E-2</v>
      </c>
      <c r="S90" s="49">
        <f>S72</f>
        <v>0.4932926883998795</v>
      </c>
    </row>
    <row r="91" spans="1:19" x14ac:dyDescent="0.2">
      <c r="A91" s="48"/>
      <c r="B91" s="51"/>
      <c r="G91" s="21"/>
      <c r="H91" s="21"/>
      <c r="I91" s="21"/>
      <c r="J91" s="21"/>
      <c r="K91" s="21"/>
      <c r="L91" s="21"/>
      <c r="M91" s="21"/>
      <c r="N91" s="21"/>
      <c r="O91" s="21"/>
      <c r="P91" s="52"/>
      <c r="Q91" s="53"/>
      <c r="R91" s="53"/>
      <c r="S91" s="54"/>
    </row>
    <row r="92" spans="1:19" x14ac:dyDescent="0.2">
      <c r="A92" s="48" t="s">
        <v>70</v>
      </c>
      <c r="B92" s="51" t="s">
        <v>68</v>
      </c>
      <c r="G92" s="21"/>
      <c r="H92" s="21"/>
      <c r="I92" s="21"/>
      <c r="J92" s="21"/>
      <c r="K92" s="21"/>
      <c r="L92" s="21"/>
      <c r="M92" s="21"/>
      <c r="N92" s="21"/>
      <c r="O92" s="21"/>
      <c r="P92" s="55" t="s">
        <v>71</v>
      </c>
      <c r="Q92" s="56">
        <f>AVERAGE(M32:M81)</f>
        <v>1.359433189153245E-2</v>
      </c>
      <c r="R92" s="56">
        <f>AVERAGE(N32:N81)</f>
        <v>3.932802639278532E-2</v>
      </c>
      <c r="S92" s="57">
        <f>IF((R92/Q92)&gt;0,(R92/Q92),"---")</f>
        <v>2.8929723583754572</v>
      </c>
    </row>
    <row r="93" spans="1:19" x14ac:dyDescent="0.2">
      <c r="A93" s="40">
        <v>1</v>
      </c>
      <c r="B93" s="48">
        <v>365.25</v>
      </c>
      <c r="G93" s="21"/>
      <c r="H93" s="21"/>
      <c r="I93" s="21"/>
      <c r="J93" s="21"/>
      <c r="K93" s="21"/>
      <c r="L93" s="21"/>
      <c r="M93" s="21"/>
      <c r="N93" s="21"/>
      <c r="O93" s="21"/>
      <c r="P93" s="27"/>
      <c r="Q93" s="27"/>
      <c r="R93" s="27"/>
      <c r="S93" s="27"/>
    </row>
    <row r="94" spans="1:19" x14ac:dyDescent="0.2">
      <c r="A94" s="48"/>
      <c r="B94" s="58"/>
      <c r="G94" s="21"/>
      <c r="H94" s="21"/>
      <c r="I94" s="21"/>
      <c r="J94" s="21"/>
      <c r="K94" s="21"/>
      <c r="L94" s="21"/>
      <c r="M94" s="21"/>
      <c r="N94" s="21"/>
      <c r="O94" s="21"/>
    </row>
    <row r="95" spans="1:19" x14ac:dyDescent="0.2">
      <c r="A95" s="48" t="s">
        <v>72</v>
      </c>
      <c r="B95" s="48" t="s">
        <v>73</v>
      </c>
      <c r="G95" s="21"/>
      <c r="H95" s="21"/>
      <c r="I95" s="21"/>
      <c r="J95" s="21"/>
      <c r="K95" s="21"/>
      <c r="L95" s="21"/>
      <c r="M95" s="21"/>
      <c r="N95" s="21"/>
      <c r="O95" s="21"/>
      <c r="P95" s="59"/>
      <c r="Q95" s="59"/>
      <c r="R95" s="59"/>
      <c r="S95" s="21"/>
    </row>
    <row r="96" spans="1:19" x14ac:dyDescent="0.2">
      <c r="A96" s="48">
        <v>1</v>
      </c>
      <c r="B96" s="58">
        <v>3.6</v>
      </c>
      <c r="G96" s="21"/>
      <c r="H96" s="18"/>
      <c r="I96" s="18"/>
      <c r="J96" s="18"/>
      <c r="K96" s="18"/>
      <c r="L96" s="18"/>
      <c r="M96" s="18"/>
      <c r="N96" s="18"/>
      <c r="O96" s="18"/>
      <c r="P96" s="60"/>
      <c r="Q96" s="60"/>
      <c r="R96" s="60"/>
      <c r="S96" s="61"/>
    </row>
    <row r="97" spans="1:19" x14ac:dyDescent="0.2">
      <c r="A97" s="18"/>
      <c r="G97" s="21"/>
      <c r="H97" s="18"/>
      <c r="I97" s="18"/>
      <c r="J97" s="18"/>
      <c r="K97" s="18"/>
      <c r="L97" s="18"/>
      <c r="M97" s="18"/>
      <c r="N97" s="18"/>
      <c r="O97" s="18"/>
      <c r="P97" s="60"/>
      <c r="Q97" s="60"/>
      <c r="R97" s="60"/>
      <c r="S97" s="61"/>
    </row>
    <row r="98" spans="1:19" x14ac:dyDescent="0.2">
      <c r="A98" s="18"/>
      <c r="G98" s="21"/>
      <c r="H98" s="18"/>
      <c r="I98" s="18"/>
      <c r="J98" s="18"/>
      <c r="K98" s="18"/>
      <c r="L98" s="18"/>
      <c r="M98" s="18"/>
      <c r="N98" s="18"/>
      <c r="O98" s="18"/>
      <c r="P98" s="60"/>
      <c r="Q98" s="60"/>
      <c r="R98" s="60"/>
      <c r="S98" s="61"/>
    </row>
    <row r="99" spans="1:19" x14ac:dyDescent="0.2">
      <c r="A99" s="62" t="s">
        <v>74</v>
      </c>
      <c r="B99" s="63"/>
      <c r="G99" s="21"/>
      <c r="H99" s="18"/>
      <c r="I99" s="18"/>
      <c r="J99" s="18"/>
      <c r="K99" s="18"/>
      <c r="L99" s="18"/>
      <c r="M99" s="18"/>
      <c r="N99" s="18"/>
      <c r="O99" s="18"/>
      <c r="P99" s="60"/>
      <c r="Q99" s="60"/>
      <c r="R99" s="60"/>
      <c r="S99" s="61"/>
    </row>
    <row r="100" spans="1:19" x14ac:dyDescent="0.2">
      <c r="A100" s="64" t="s">
        <v>75</v>
      </c>
      <c r="B100" s="63"/>
      <c r="G100" s="21"/>
      <c r="H100" s="18"/>
      <c r="I100" s="18"/>
      <c r="J100" s="18"/>
      <c r="K100" s="18"/>
      <c r="L100" s="18"/>
      <c r="M100" s="18"/>
      <c r="N100" s="18"/>
      <c r="O100" s="18"/>
      <c r="P100" s="60"/>
      <c r="Q100" s="60"/>
      <c r="R100" s="60"/>
      <c r="S100" s="61"/>
    </row>
    <row r="101" spans="1:19" x14ac:dyDescent="0.2">
      <c r="A101" s="64"/>
      <c r="B101" s="24" t="s">
        <v>76</v>
      </c>
      <c r="G101" s="21"/>
      <c r="H101" s="18"/>
      <c r="I101" s="18"/>
      <c r="J101" s="18"/>
      <c r="K101" s="18"/>
      <c r="L101" s="18"/>
      <c r="M101" s="18"/>
      <c r="N101" s="18"/>
      <c r="O101" s="18"/>
      <c r="P101" s="60"/>
      <c r="Q101" s="60"/>
      <c r="R101" s="60"/>
      <c r="S101" s="61"/>
    </row>
    <row r="102" spans="1:19" x14ac:dyDescent="0.2">
      <c r="A102" s="64"/>
      <c r="B102" s="24" t="s">
        <v>77</v>
      </c>
      <c r="G102" s="21"/>
      <c r="H102" s="18"/>
      <c r="I102" s="18"/>
      <c r="J102" s="18"/>
      <c r="K102" s="18"/>
      <c r="L102" s="18"/>
      <c r="M102" s="18"/>
      <c r="N102" s="18"/>
      <c r="O102" s="18"/>
      <c r="P102" s="18"/>
      <c r="Q102" s="18"/>
      <c r="R102" s="18"/>
      <c r="S102" s="61"/>
    </row>
    <row r="103" spans="1:19" x14ac:dyDescent="0.2">
      <c r="A103" s="64"/>
      <c r="B103" s="24" t="s">
        <v>78</v>
      </c>
      <c r="G103" s="21"/>
      <c r="H103" s="18"/>
      <c r="I103" s="18"/>
      <c r="J103" s="18"/>
      <c r="K103" s="18"/>
      <c r="L103" s="18"/>
      <c r="M103" s="18"/>
      <c r="N103" s="18"/>
      <c r="O103" s="18"/>
      <c r="P103" s="18"/>
      <c r="Q103" s="18"/>
      <c r="R103" s="18"/>
      <c r="S103" s="18"/>
    </row>
    <row r="104" spans="1:19" x14ac:dyDescent="0.2">
      <c r="A104" s="64"/>
      <c r="B104" s="24" t="s">
        <v>79</v>
      </c>
      <c r="G104" s="21"/>
      <c r="H104" s="18"/>
      <c r="I104" s="18"/>
      <c r="J104" s="18"/>
      <c r="K104" s="18"/>
      <c r="L104" s="18"/>
      <c r="M104" s="18"/>
      <c r="N104" s="18"/>
      <c r="O104" s="18"/>
      <c r="P104" s="18"/>
      <c r="Q104" s="18"/>
      <c r="R104" s="18"/>
      <c r="S104" s="18"/>
    </row>
    <row r="105" spans="1:19" x14ac:dyDescent="0.2">
      <c r="A105" s="64"/>
      <c r="B105" s="24" t="s">
        <v>80</v>
      </c>
      <c r="G105" s="21"/>
      <c r="H105" s="18"/>
      <c r="I105" s="18"/>
      <c r="J105" s="18"/>
      <c r="K105" s="18"/>
      <c r="L105" s="18"/>
      <c r="M105" s="18"/>
      <c r="N105" s="18"/>
      <c r="O105" s="18"/>
      <c r="P105" s="18"/>
      <c r="Q105" s="18"/>
      <c r="R105" s="18"/>
      <c r="S105" s="18"/>
    </row>
    <row r="106" spans="1:19" x14ac:dyDescent="0.2">
      <c r="A106" s="65"/>
      <c r="B106" s="24" t="s">
        <v>81</v>
      </c>
      <c r="G106" s="21"/>
      <c r="H106" s="18"/>
      <c r="I106" s="18"/>
      <c r="J106" s="18"/>
      <c r="K106" s="18"/>
      <c r="L106" s="18"/>
      <c r="M106" s="18"/>
      <c r="N106" s="18"/>
      <c r="O106" s="18"/>
      <c r="P106" s="18"/>
      <c r="Q106" s="18"/>
      <c r="R106" s="18"/>
      <c r="S106" s="18"/>
    </row>
    <row r="107" spans="1:19" x14ac:dyDescent="0.2">
      <c r="A107" s="64" t="s">
        <v>82</v>
      </c>
      <c r="G107" s="21"/>
      <c r="H107" s="18"/>
      <c r="I107" s="18"/>
      <c r="J107" s="18"/>
      <c r="K107" s="18"/>
      <c r="L107" s="18"/>
      <c r="M107" s="18"/>
      <c r="N107" s="18"/>
      <c r="O107" s="18"/>
      <c r="P107" s="18"/>
      <c r="Q107" s="18"/>
      <c r="R107" s="18"/>
      <c r="S107" s="18"/>
    </row>
    <row r="108" spans="1:19" x14ac:dyDescent="0.2">
      <c r="B108" s="24" t="s">
        <v>83</v>
      </c>
      <c r="G108" s="21"/>
      <c r="H108" s="18"/>
      <c r="I108" s="18"/>
      <c r="J108" s="18"/>
      <c r="K108" s="18"/>
      <c r="L108" s="18"/>
      <c r="M108" s="18"/>
      <c r="N108" s="18"/>
      <c r="O108" s="18"/>
      <c r="P108" s="18"/>
      <c r="Q108" s="18"/>
      <c r="R108" s="18"/>
      <c r="S108" s="18"/>
    </row>
    <row r="109" spans="1:19" x14ac:dyDescent="0.2">
      <c r="B109" s="24" t="s">
        <v>84</v>
      </c>
      <c r="F109" s="27"/>
      <c r="G109" s="21"/>
      <c r="H109" s="18"/>
      <c r="I109" s="18"/>
      <c r="J109" s="18"/>
      <c r="K109" s="18"/>
      <c r="L109" s="18"/>
      <c r="M109" s="18"/>
      <c r="N109" s="18"/>
      <c r="O109" s="18"/>
      <c r="P109" s="18"/>
      <c r="Q109" s="18"/>
      <c r="R109" s="18"/>
      <c r="S109" s="18"/>
    </row>
    <row r="110" spans="1:19" x14ac:dyDescent="0.2">
      <c r="B110" s="24" t="s">
        <v>85</v>
      </c>
      <c r="F110" s="27"/>
      <c r="G110" s="21"/>
      <c r="H110" s="18"/>
      <c r="I110" s="18"/>
      <c r="J110" s="18"/>
      <c r="K110" s="18"/>
      <c r="L110" s="18"/>
      <c r="M110" s="18"/>
      <c r="N110" s="18"/>
      <c r="O110" s="18"/>
      <c r="P110" s="18"/>
      <c r="Q110" s="18"/>
      <c r="R110" s="18"/>
      <c r="S110" s="18"/>
    </row>
    <row r="111" spans="1:19" x14ac:dyDescent="0.2">
      <c r="A111" s="24" t="s">
        <v>86</v>
      </c>
      <c r="F111" s="27"/>
      <c r="G111" s="21"/>
      <c r="H111" s="18"/>
      <c r="I111" s="18"/>
      <c r="J111" s="18"/>
      <c r="K111" s="18"/>
      <c r="L111" s="18"/>
      <c r="M111" s="18"/>
      <c r="N111" s="18"/>
      <c r="O111" s="18"/>
      <c r="P111" s="18"/>
      <c r="Q111" s="18"/>
      <c r="R111" s="18"/>
      <c r="S111" s="18"/>
    </row>
    <row r="112" spans="1:19" x14ac:dyDescent="0.2">
      <c r="A112" s="18"/>
      <c r="B112" s="24" t="s">
        <v>77</v>
      </c>
      <c r="F112" s="27"/>
      <c r="G112" s="21"/>
      <c r="H112" s="18"/>
      <c r="I112" s="18"/>
      <c r="J112" s="18"/>
      <c r="K112" s="18"/>
      <c r="L112" s="18"/>
      <c r="M112" s="18"/>
      <c r="N112" s="18"/>
      <c r="O112" s="18"/>
      <c r="P112" s="18"/>
      <c r="Q112" s="18"/>
      <c r="R112" s="18"/>
      <c r="S112" s="18"/>
    </row>
    <row r="113" spans="1:19" x14ac:dyDescent="0.2">
      <c r="B113" s="24" t="s">
        <v>78</v>
      </c>
      <c r="F113" s="27"/>
      <c r="G113" s="21"/>
      <c r="H113" s="18"/>
      <c r="I113" s="18"/>
      <c r="J113" s="18"/>
      <c r="K113" s="18"/>
      <c r="L113" s="18"/>
      <c r="M113" s="18"/>
      <c r="N113" s="18"/>
      <c r="O113" s="18"/>
      <c r="P113" s="18"/>
      <c r="Q113" s="18"/>
      <c r="R113" s="18"/>
      <c r="S113" s="18"/>
    </row>
    <row r="114" spans="1:19" x14ac:dyDescent="0.2">
      <c r="A114" s="18"/>
      <c r="B114" s="24" t="s">
        <v>79</v>
      </c>
      <c r="G114" s="21"/>
      <c r="H114" s="18"/>
      <c r="I114" s="18"/>
      <c r="J114" s="18"/>
      <c r="K114" s="18"/>
      <c r="L114" s="18"/>
      <c r="M114" s="18"/>
      <c r="N114" s="18"/>
      <c r="O114" s="18"/>
      <c r="P114" s="18"/>
      <c r="Q114" s="18"/>
      <c r="R114" s="18"/>
      <c r="S114" s="18"/>
    </row>
    <row r="115" spans="1:19" x14ac:dyDescent="0.2">
      <c r="A115" s="18"/>
      <c r="B115" s="24" t="s">
        <v>80</v>
      </c>
      <c r="C115" s="27"/>
      <c r="D115" s="27"/>
      <c r="E115" s="27"/>
      <c r="G115" s="21"/>
      <c r="H115" s="18"/>
      <c r="I115" s="18"/>
      <c r="J115" s="18"/>
      <c r="K115" s="18"/>
      <c r="L115" s="18"/>
      <c r="M115" s="18"/>
      <c r="N115" s="18"/>
      <c r="O115" s="18"/>
      <c r="P115" s="18"/>
      <c r="Q115" s="18"/>
      <c r="R115" s="18"/>
      <c r="S115" s="18"/>
    </row>
    <row r="116" spans="1:19" x14ac:dyDescent="0.2">
      <c r="B116" s="24" t="s">
        <v>81</v>
      </c>
      <c r="C116" s="27"/>
      <c r="D116" s="27"/>
      <c r="E116" s="27"/>
      <c r="G116" s="21"/>
      <c r="H116" s="18"/>
      <c r="I116" s="18"/>
      <c r="J116" s="18"/>
      <c r="K116" s="18"/>
      <c r="L116" s="18"/>
      <c r="M116" s="18"/>
      <c r="N116" s="18"/>
      <c r="O116" s="18"/>
      <c r="P116" s="18"/>
      <c r="Q116" s="18"/>
      <c r="R116" s="18"/>
      <c r="S116" s="18"/>
    </row>
    <row r="117" spans="1:19" x14ac:dyDescent="0.2">
      <c r="A117" s="64" t="s">
        <v>87</v>
      </c>
      <c r="B117" s="66"/>
      <c r="C117" s="27"/>
      <c r="D117" s="27"/>
      <c r="E117" s="27"/>
      <c r="G117" s="21"/>
      <c r="H117" s="18"/>
      <c r="I117" s="18"/>
      <c r="J117" s="18"/>
      <c r="K117" s="18"/>
      <c r="L117" s="18"/>
      <c r="M117" s="18"/>
      <c r="N117" s="18"/>
      <c r="O117" s="18"/>
      <c r="P117" s="18"/>
      <c r="Q117" s="18"/>
      <c r="R117" s="18"/>
      <c r="S117" s="18"/>
    </row>
    <row r="118" spans="1:19" x14ac:dyDescent="0.2">
      <c r="A118" s="64"/>
      <c r="B118" s="24" t="s">
        <v>88</v>
      </c>
      <c r="C118" s="27"/>
      <c r="D118" s="27"/>
      <c r="E118" s="27"/>
      <c r="G118" s="21"/>
      <c r="H118" s="18"/>
      <c r="I118" s="18"/>
      <c r="J118" s="18"/>
      <c r="K118" s="18"/>
      <c r="L118" s="18"/>
      <c r="M118" s="18"/>
      <c r="N118" s="18"/>
      <c r="O118" s="18"/>
      <c r="P118" s="18"/>
      <c r="Q118" s="18"/>
      <c r="R118" s="18"/>
      <c r="S118" s="18"/>
    </row>
    <row r="119" spans="1:19" x14ac:dyDescent="0.2">
      <c r="A119" s="64"/>
      <c r="B119" s="24" t="s">
        <v>89</v>
      </c>
      <c r="C119" s="27"/>
      <c r="D119" s="27"/>
      <c r="E119" s="27"/>
      <c r="G119" s="21"/>
      <c r="H119" s="18"/>
      <c r="I119" s="18"/>
      <c r="J119" s="18"/>
      <c r="K119" s="18"/>
      <c r="L119" s="18"/>
      <c r="M119" s="18"/>
      <c r="N119" s="18"/>
      <c r="O119" s="18"/>
      <c r="P119" s="18"/>
      <c r="Q119" s="18"/>
      <c r="R119" s="18"/>
      <c r="S119" s="18"/>
    </row>
    <row r="120" spans="1:19" x14ac:dyDescent="0.2">
      <c r="A120" s="64"/>
      <c r="B120" s="24" t="s">
        <v>90</v>
      </c>
      <c r="G120" s="21"/>
      <c r="H120" s="18"/>
      <c r="I120" s="18"/>
      <c r="J120" s="18"/>
      <c r="K120" s="18"/>
      <c r="L120" s="18"/>
      <c r="M120" s="18"/>
      <c r="N120" s="18"/>
      <c r="O120" s="18"/>
      <c r="P120" s="18"/>
      <c r="Q120" s="18"/>
      <c r="R120" s="18"/>
      <c r="S120" s="18"/>
    </row>
    <row r="121" spans="1:19" x14ac:dyDescent="0.2">
      <c r="A121" s="18"/>
      <c r="B121" s="67" t="s">
        <v>91</v>
      </c>
      <c r="G121" s="21"/>
      <c r="H121" s="18"/>
      <c r="I121" s="18"/>
      <c r="J121" s="18"/>
      <c r="K121" s="18"/>
      <c r="L121" s="18"/>
      <c r="M121" s="18"/>
      <c r="N121" s="18"/>
      <c r="O121" s="18"/>
      <c r="P121" s="18"/>
      <c r="Q121" s="18"/>
      <c r="R121" s="18"/>
      <c r="S121" s="18"/>
    </row>
    <row r="122" spans="1:19" x14ac:dyDescent="0.2">
      <c r="A122" s="18"/>
      <c r="B122" s="24" t="s">
        <v>92</v>
      </c>
      <c r="G122" s="21"/>
      <c r="H122" s="18"/>
      <c r="I122" s="18"/>
      <c r="J122" s="18"/>
      <c r="K122" s="18"/>
      <c r="L122" s="18"/>
      <c r="M122" s="18"/>
      <c r="N122" s="18"/>
      <c r="O122" s="18"/>
      <c r="P122" s="18"/>
      <c r="Q122" s="18"/>
      <c r="R122" s="18"/>
      <c r="S122" s="18"/>
    </row>
    <row r="123" spans="1:19" x14ac:dyDescent="0.2">
      <c r="G123" s="21"/>
      <c r="H123" s="18"/>
      <c r="I123" s="18"/>
      <c r="J123" s="18"/>
      <c r="K123" s="18"/>
      <c r="L123" s="18"/>
      <c r="M123" s="18"/>
      <c r="N123" s="18"/>
      <c r="O123" s="18"/>
      <c r="P123" s="18"/>
      <c r="Q123" s="18"/>
      <c r="R123" s="18"/>
      <c r="S123" s="18"/>
    </row>
    <row r="124" spans="1:19" x14ac:dyDescent="0.2">
      <c r="G124" s="21"/>
      <c r="H124" s="18"/>
      <c r="I124" s="18"/>
      <c r="J124" s="18"/>
      <c r="K124" s="18"/>
      <c r="L124" s="18"/>
      <c r="M124" s="18"/>
      <c r="N124" s="18"/>
      <c r="O124" s="18"/>
      <c r="P124" s="18"/>
      <c r="Q124" s="18"/>
      <c r="R124" s="18"/>
      <c r="S124" s="18"/>
    </row>
    <row r="125" spans="1:19" x14ac:dyDescent="0.2">
      <c r="G125" s="21"/>
      <c r="H125" s="18"/>
      <c r="I125" s="18"/>
      <c r="J125" s="18"/>
      <c r="K125" s="18"/>
      <c r="L125" s="18"/>
      <c r="M125" s="18"/>
      <c r="N125" s="18"/>
      <c r="O125" s="18"/>
      <c r="P125" s="18"/>
      <c r="Q125" s="18"/>
      <c r="R125" s="18"/>
      <c r="S125" s="18"/>
    </row>
    <row r="126" spans="1:19" x14ac:dyDescent="0.2">
      <c r="A126" s="18"/>
      <c r="G126" s="21"/>
      <c r="H126" s="18"/>
      <c r="I126" s="18"/>
      <c r="J126" s="18"/>
      <c r="K126" s="18"/>
      <c r="L126" s="18"/>
      <c r="M126" s="18"/>
      <c r="N126" s="18"/>
      <c r="O126" s="18"/>
      <c r="P126" s="18"/>
      <c r="Q126" s="18"/>
      <c r="R126" s="18"/>
      <c r="S126" s="18"/>
    </row>
    <row r="127" spans="1:19" x14ac:dyDescent="0.2">
      <c r="G127" s="21"/>
      <c r="H127" s="18"/>
      <c r="I127" s="18"/>
      <c r="J127" s="18"/>
      <c r="K127" s="18"/>
      <c r="L127" s="18"/>
      <c r="M127" s="18"/>
      <c r="N127" s="18"/>
      <c r="O127" s="18"/>
      <c r="P127" s="18"/>
      <c r="Q127" s="18"/>
      <c r="R127" s="18"/>
      <c r="S127" s="18"/>
    </row>
    <row r="128" spans="1:19" x14ac:dyDescent="0.2">
      <c r="A128" s="18"/>
      <c r="B128" s="18"/>
      <c r="G128" s="21"/>
      <c r="H128" s="18"/>
      <c r="I128" s="18"/>
      <c r="J128" s="18"/>
      <c r="K128" s="18"/>
      <c r="L128" s="18"/>
      <c r="M128" s="18"/>
      <c r="N128" s="18"/>
      <c r="O128" s="18"/>
      <c r="P128" s="18"/>
      <c r="Q128" s="18"/>
      <c r="R128" s="18"/>
      <c r="S128" s="18"/>
    </row>
    <row r="129" spans="1:19" x14ac:dyDescent="0.2">
      <c r="A129" s="68"/>
      <c r="B129" s="18"/>
      <c r="G129" s="21"/>
      <c r="H129" s="18"/>
      <c r="I129" s="18"/>
      <c r="J129" s="18"/>
      <c r="K129" s="18"/>
      <c r="L129" s="18"/>
      <c r="M129" s="18"/>
      <c r="N129" s="18"/>
      <c r="O129" s="18"/>
      <c r="P129" s="18"/>
      <c r="Q129" s="18"/>
      <c r="R129" s="18"/>
      <c r="S129" s="18"/>
    </row>
    <row r="130" spans="1:19" x14ac:dyDescent="0.2">
      <c r="B130" s="18"/>
      <c r="G130" s="21"/>
      <c r="H130" s="18"/>
      <c r="I130" s="18"/>
      <c r="J130" s="18"/>
      <c r="K130" s="18"/>
      <c r="L130" s="18"/>
      <c r="M130" s="18"/>
      <c r="N130" s="18"/>
      <c r="O130" s="18"/>
      <c r="P130" s="18"/>
      <c r="Q130" s="18"/>
      <c r="R130" s="18"/>
      <c r="S130" s="18"/>
    </row>
    <row r="131" spans="1:19" x14ac:dyDescent="0.2">
      <c r="A131" s="68"/>
      <c r="G131" s="21"/>
      <c r="H131" s="18"/>
      <c r="I131" s="18"/>
      <c r="J131" s="18"/>
      <c r="K131" s="18"/>
      <c r="L131" s="18"/>
      <c r="M131" s="18"/>
      <c r="N131" s="18"/>
      <c r="O131" s="18"/>
      <c r="P131" s="18"/>
      <c r="Q131" s="18"/>
      <c r="R131" s="18"/>
      <c r="S131" s="18"/>
    </row>
    <row r="132" spans="1:19" x14ac:dyDescent="0.2">
      <c r="G132" s="21"/>
      <c r="H132" s="18"/>
      <c r="I132" s="18"/>
      <c r="J132" s="18"/>
      <c r="K132" s="18"/>
      <c r="L132" s="18"/>
      <c r="M132" s="18"/>
      <c r="N132" s="18"/>
      <c r="O132" s="18"/>
      <c r="P132" s="18"/>
      <c r="Q132" s="18"/>
      <c r="R132" s="18"/>
      <c r="S132" s="18"/>
    </row>
    <row r="133" spans="1:19" x14ac:dyDescent="0.2">
      <c r="A133" s="18"/>
      <c r="G133" s="21"/>
      <c r="H133" s="18"/>
      <c r="I133" s="18"/>
      <c r="J133" s="18"/>
      <c r="K133" s="18"/>
      <c r="L133" s="18"/>
      <c r="M133" s="18"/>
      <c r="N133" s="18"/>
      <c r="O133" s="18"/>
      <c r="P133" s="18"/>
      <c r="Q133" s="18"/>
      <c r="R133" s="18"/>
      <c r="S133" s="18"/>
    </row>
    <row r="134" spans="1:19" x14ac:dyDescent="0.2">
      <c r="A134" s="68"/>
      <c r="G134" s="21"/>
      <c r="H134" s="18"/>
      <c r="I134" s="18"/>
      <c r="J134" s="18"/>
      <c r="K134" s="18"/>
      <c r="L134" s="18"/>
      <c r="M134" s="18"/>
      <c r="N134" s="18"/>
      <c r="O134" s="18"/>
      <c r="P134" s="18"/>
      <c r="Q134" s="18"/>
      <c r="R134" s="18"/>
      <c r="S134" s="18"/>
    </row>
    <row r="135" spans="1:19" x14ac:dyDescent="0.2">
      <c r="G135" s="21"/>
      <c r="H135" s="18"/>
      <c r="I135" s="18"/>
      <c r="J135" s="18"/>
      <c r="K135" s="18"/>
      <c r="L135" s="18"/>
      <c r="M135" s="18"/>
      <c r="N135" s="18"/>
      <c r="O135" s="18"/>
      <c r="P135" s="18"/>
      <c r="Q135" s="18"/>
      <c r="R135" s="18"/>
      <c r="S135" s="18"/>
    </row>
    <row r="136" spans="1:19" x14ac:dyDescent="0.2">
      <c r="A136" s="18"/>
      <c r="G136" s="21"/>
      <c r="H136" s="18"/>
      <c r="I136" s="18"/>
      <c r="J136" s="18"/>
      <c r="K136" s="18"/>
      <c r="L136" s="18"/>
      <c r="M136" s="18"/>
      <c r="N136" s="18"/>
      <c r="O136" s="18"/>
      <c r="P136" s="18"/>
      <c r="Q136" s="18"/>
      <c r="R136" s="18"/>
      <c r="S136" s="18"/>
    </row>
    <row r="137" spans="1:19" x14ac:dyDescent="0.2">
      <c r="A137" s="68"/>
      <c r="G137" s="21"/>
      <c r="H137" s="18"/>
      <c r="I137" s="18"/>
      <c r="J137" s="18"/>
      <c r="K137" s="18"/>
      <c r="L137" s="18"/>
      <c r="M137" s="18"/>
      <c r="N137" s="18"/>
      <c r="O137" s="18"/>
      <c r="P137" s="18"/>
      <c r="Q137" s="18"/>
      <c r="R137" s="18"/>
      <c r="S137" s="18"/>
    </row>
    <row r="138" spans="1:19" x14ac:dyDescent="0.2">
      <c r="G138" s="21"/>
      <c r="H138" s="18"/>
      <c r="I138" s="18"/>
      <c r="J138" s="18"/>
      <c r="K138" s="18"/>
      <c r="L138" s="18"/>
      <c r="M138" s="18"/>
      <c r="N138" s="18"/>
      <c r="O138" s="18"/>
      <c r="P138" s="18"/>
      <c r="Q138" s="18"/>
      <c r="R138" s="18"/>
      <c r="S138" s="18"/>
    </row>
    <row r="139" spans="1:19" x14ac:dyDescent="0.2">
      <c r="A139" s="18"/>
      <c r="G139" s="21"/>
      <c r="H139" s="18"/>
      <c r="I139" s="18"/>
      <c r="J139" s="18"/>
      <c r="K139" s="18"/>
      <c r="L139" s="18"/>
      <c r="M139" s="18"/>
      <c r="N139" s="18"/>
      <c r="O139" s="18"/>
      <c r="P139" s="18"/>
      <c r="Q139" s="18"/>
      <c r="R139" s="18"/>
      <c r="S139" s="18"/>
    </row>
    <row r="140" spans="1:19" x14ac:dyDescent="0.2">
      <c r="A140" s="68"/>
      <c r="G140" s="21"/>
      <c r="H140" s="18"/>
      <c r="I140" s="18"/>
      <c r="J140" s="18"/>
      <c r="K140" s="18"/>
      <c r="L140" s="18"/>
      <c r="M140" s="18"/>
      <c r="N140" s="18"/>
      <c r="O140" s="18"/>
      <c r="P140" s="18"/>
      <c r="Q140" s="18"/>
      <c r="R140" s="18"/>
      <c r="S140" s="18"/>
    </row>
    <row r="141" spans="1:19" x14ac:dyDescent="0.2">
      <c r="G141" s="21"/>
      <c r="H141" s="18"/>
      <c r="I141" s="18"/>
      <c r="J141" s="18"/>
      <c r="K141" s="18"/>
      <c r="L141" s="18"/>
      <c r="M141" s="18"/>
      <c r="N141" s="18"/>
      <c r="O141" s="18"/>
      <c r="P141" s="18"/>
      <c r="Q141" s="18"/>
      <c r="R141" s="18"/>
      <c r="S141" s="18"/>
    </row>
    <row r="142" spans="1:19" x14ac:dyDescent="0.2">
      <c r="A142" s="18"/>
      <c r="G142" s="21"/>
      <c r="H142" s="18"/>
      <c r="I142" s="18"/>
      <c r="J142" s="18"/>
      <c r="K142" s="18"/>
      <c r="L142" s="18"/>
      <c r="M142" s="18"/>
      <c r="N142" s="18"/>
      <c r="O142" s="18"/>
      <c r="P142" s="18"/>
      <c r="Q142" s="18"/>
      <c r="R142" s="18"/>
      <c r="S142" s="18"/>
    </row>
    <row r="143" spans="1:19" x14ac:dyDescent="0.2">
      <c r="A143" s="18"/>
      <c r="G143" s="21"/>
      <c r="H143" s="18"/>
      <c r="I143" s="18"/>
      <c r="J143" s="18"/>
      <c r="K143" s="18"/>
      <c r="L143" s="18"/>
      <c r="M143" s="18"/>
      <c r="N143" s="18"/>
      <c r="O143" s="18"/>
      <c r="P143" s="18"/>
      <c r="Q143" s="18"/>
      <c r="R143" s="18"/>
      <c r="S143" s="18"/>
    </row>
    <row r="144" spans="1:19" x14ac:dyDescent="0.2">
      <c r="G144" s="21"/>
      <c r="H144" s="18"/>
      <c r="I144" s="18"/>
      <c r="J144" s="18"/>
      <c r="K144" s="18"/>
      <c r="L144" s="18"/>
      <c r="M144" s="18"/>
      <c r="N144" s="18"/>
      <c r="O144" s="18"/>
      <c r="P144" s="18"/>
      <c r="Q144" s="18"/>
      <c r="R144" s="18"/>
      <c r="S144" s="18"/>
    </row>
    <row r="145" spans="7:19" x14ac:dyDescent="0.2">
      <c r="G145" s="21"/>
      <c r="H145" s="18"/>
      <c r="I145" s="18"/>
      <c r="J145" s="18"/>
      <c r="K145" s="18"/>
      <c r="L145" s="18"/>
      <c r="M145" s="18"/>
      <c r="N145" s="18"/>
      <c r="O145" s="18"/>
      <c r="P145" s="18"/>
      <c r="Q145" s="18"/>
      <c r="R145" s="18"/>
      <c r="S145" s="18"/>
    </row>
    <row r="146" spans="7:19" x14ac:dyDescent="0.2">
      <c r="G146" s="21"/>
      <c r="H146" s="18"/>
      <c r="I146" s="18"/>
      <c r="J146" s="18"/>
      <c r="K146" s="18"/>
      <c r="L146" s="18"/>
      <c r="M146" s="18"/>
      <c r="N146" s="18"/>
      <c r="O146" s="18"/>
      <c r="P146" s="18"/>
      <c r="Q146" s="18"/>
      <c r="R146" s="18"/>
      <c r="S146" s="18"/>
    </row>
    <row r="147" spans="7:19" x14ac:dyDescent="0.2">
      <c r="G147" s="21"/>
      <c r="H147" s="18"/>
      <c r="I147" s="18"/>
      <c r="J147" s="18"/>
      <c r="K147" s="18"/>
      <c r="L147" s="18"/>
      <c r="M147" s="18"/>
      <c r="N147" s="18"/>
      <c r="O147" s="18"/>
      <c r="P147" s="18"/>
      <c r="Q147" s="18"/>
      <c r="R147" s="18"/>
      <c r="S147" s="18"/>
    </row>
    <row r="148" spans="7:19" x14ac:dyDescent="0.2">
      <c r="G148" s="21"/>
      <c r="H148" s="18"/>
      <c r="I148" s="18"/>
      <c r="J148" s="18"/>
      <c r="K148" s="18"/>
      <c r="L148" s="18"/>
      <c r="M148" s="18"/>
      <c r="N148" s="18"/>
      <c r="O148" s="18"/>
      <c r="P148" s="18"/>
      <c r="Q148" s="18"/>
      <c r="R148" s="18"/>
      <c r="S148" s="18"/>
    </row>
    <row r="149" spans="7:19" x14ac:dyDescent="0.2">
      <c r="G149" s="21"/>
      <c r="H149" s="18"/>
      <c r="I149" s="18"/>
      <c r="J149" s="18"/>
      <c r="K149" s="18"/>
      <c r="L149" s="18"/>
      <c r="M149" s="18"/>
      <c r="N149" s="18"/>
      <c r="O149" s="18"/>
      <c r="P149" s="18"/>
      <c r="Q149" s="18"/>
      <c r="R149" s="18"/>
      <c r="S149" s="18"/>
    </row>
    <row r="150" spans="7:19" x14ac:dyDescent="0.2">
      <c r="G150" s="21"/>
      <c r="H150" s="18"/>
      <c r="I150" s="18"/>
      <c r="J150" s="18"/>
      <c r="K150" s="18"/>
      <c r="L150" s="18"/>
      <c r="M150" s="18"/>
      <c r="N150" s="18"/>
      <c r="O150" s="18"/>
      <c r="P150" s="18"/>
      <c r="Q150" s="18"/>
      <c r="R150" s="18"/>
      <c r="S150" s="18"/>
    </row>
    <row r="151" spans="7:19" x14ac:dyDescent="0.2">
      <c r="G151" s="21"/>
      <c r="H151" s="18"/>
      <c r="I151" s="18"/>
      <c r="J151" s="18"/>
      <c r="K151" s="18"/>
      <c r="L151" s="18"/>
      <c r="M151" s="18"/>
      <c r="N151" s="18"/>
      <c r="O151" s="18"/>
      <c r="P151" s="18"/>
      <c r="Q151" s="18"/>
      <c r="R151" s="18"/>
      <c r="S151" s="18"/>
    </row>
    <row r="152" spans="7:19" x14ac:dyDescent="0.2">
      <c r="G152" s="21"/>
      <c r="H152" s="18"/>
      <c r="I152" s="18"/>
      <c r="J152" s="18"/>
      <c r="K152" s="18"/>
      <c r="L152" s="18"/>
      <c r="M152" s="18"/>
      <c r="N152" s="18"/>
      <c r="O152" s="18"/>
      <c r="P152" s="18"/>
      <c r="Q152" s="18"/>
      <c r="R152" s="18"/>
      <c r="S152" s="18"/>
    </row>
    <row r="153" spans="7:19" x14ac:dyDescent="0.2">
      <c r="G153" s="21"/>
      <c r="H153" s="18"/>
      <c r="I153" s="18"/>
      <c r="J153" s="18"/>
      <c r="K153" s="18"/>
      <c r="L153" s="18"/>
      <c r="M153" s="18"/>
      <c r="N153" s="18"/>
      <c r="O153" s="18"/>
      <c r="P153" s="18"/>
      <c r="Q153" s="18"/>
      <c r="R153" s="18"/>
      <c r="S153" s="18"/>
    </row>
    <row r="154" spans="7:19" x14ac:dyDescent="0.2">
      <c r="G154" s="21"/>
      <c r="L154" s="18"/>
      <c r="M154" s="18"/>
      <c r="N154" s="18"/>
      <c r="O154" s="18"/>
      <c r="P154" s="18"/>
      <c r="Q154" s="18"/>
      <c r="R154" s="18"/>
      <c r="S154" s="18"/>
    </row>
    <row r="155" spans="7:19" x14ac:dyDescent="0.2">
      <c r="G155" s="21"/>
      <c r="L155" s="18"/>
      <c r="M155" s="18"/>
      <c r="N155" s="18"/>
      <c r="O155" s="18"/>
      <c r="P155" s="18"/>
      <c r="Q155" s="18"/>
      <c r="R155" s="18"/>
      <c r="S155" s="18"/>
    </row>
    <row r="156" spans="7:19" x14ac:dyDescent="0.2">
      <c r="G156" s="21"/>
      <c r="L156" s="18"/>
      <c r="M156" s="18"/>
      <c r="N156" s="18"/>
      <c r="O156" s="18"/>
      <c r="P156" s="18"/>
      <c r="Q156" s="18"/>
      <c r="R156" s="18"/>
      <c r="S156" s="18"/>
    </row>
    <row r="157" spans="7:19" x14ac:dyDescent="0.2">
      <c r="G157" s="21"/>
      <c r="L157" s="18"/>
      <c r="M157" s="18"/>
      <c r="N157" s="18"/>
      <c r="O157" s="18"/>
      <c r="P157" s="18"/>
      <c r="Q157" s="18"/>
      <c r="R157" s="18"/>
      <c r="S157" s="18"/>
    </row>
    <row r="158" spans="7:19" x14ac:dyDescent="0.2">
      <c r="G158" s="21"/>
      <c r="L158" s="18"/>
      <c r="M158" s="18"/>
      <c r="N158" s="18"/>
      <c r="O158" s="18"/>
      <c r="P158" s="18"/>
      <c r="Q158" s="18"/>
      <c r="R158" s="18"/>
      <c r="S158" s="18"/>
    </row>
    <row r="159" spans="7:19" x14ac:dyDescent="0.2">
      <c r="G159" s="21"/>
      <c r="L159" s="18"/>
      <c r="M159" s="18"/>
      <c r="N159" s="18"/>
      <c r="O159" s="18"/>
      <c r="P159" s="18"/>
      <c r="Q159" s="18"/>
      <c r="R159" s="18"/>
      <c r="S159" s="18"/>
    </row>
    <row r="160" spans="7:19" x14ac:dyDescent="0.2">
      <c r="G160" s="21"/>
      <c r="L160" s="18"/>
      <c r="M160" s="18"/>
      <c r="N160" s="18"/>
      <c r="O160" s="18"/>
      <c r="P160" s="18"/>
      <c r="Q160" s="18"/>
      <c r="R160" s="18"/>
      <c r="S160" s="18"/>
    </row>
    <row r="161" spans="1:19" x14ac:dyDescent="0.2">
      <c r="G161" s="21"/>
      <c r="L161" s="18"/>
      <c r="M161" s="18"/>
      <c r="N161" s="18"/>
      <c r="O161" s="18"/>
      <c r="P161" s="18"/>
      <c r="Q161" s="18"/>
      <c r="R161" s="18"/>
      <c r="S161" s="18"/>
    </row>
    <row r="162" spans="1:19" x14ac:dyDescent="0.2">
      <c r="G162" s="21"/>
      <c r="L162" s="18"/>
      <c r="M162" s="18"/>
      <c r="N162" s="18"/>
      <c r="O162" s="18"/>
      <c r="P162" s="18"/>
      <c r="Q162" s="18"/>
      <c r="R162" s="18"/>
      <c r="S162" s="18"/>
    </row>
    <row r="163" spans="1:19" x14ac:dyDescent="0.2">
      <c r="A163" s="18"/>
      <c r="G163" s="21"/>
      <c r="H163" s="18"/>
      <c r="I163" s="18"/>
      <c r="J163" s="18"/>
      <c r="K163" s="18"/>
      <c r="L163" s="18"/>
      <c r="M163" s="18"/>
      <c r="N163" s="18"/>
      <c r="O163" s="18"/>
      <c r="P163" s="18"/>
      <c r="Q163" s="18"/>
      <c r="R163" s="18"/>
      <c r="S163" s="18"/>
    </row>
    <row r="164" spans="1:19" x14ac:dyDescent="0.2">
      <c r="A164" s="18"/>
      <c r="G164" s="21"/>
      <c r="H164" s="18"/>
      <c r="I164" s="18"/>
      <c r="J164" s="18"/>
      <c r="K164" s="18"/>
      <c r="L164" s="18"/>
      <c r="M164" s="18"/>
      <c r="N164" s="18"/>
      <c r="O164" s="18"/>
      <c r="P164" s="18"/>
      <c r="Q164" s="18"/>
      <c r="R164" s="18"/>
      <c r="S164" s="18"/>
    </row>
    <row r="165" spans="1:19" x14ac:dyDescent="0.2">
      <c r="A165" s="18"/>
      <c r="G165" s="21"/>
      <c r="H165" s="18"/>
      <c r="I165" s="18"/>
      <c r="J165" s="18"/>
      <c r="K165" s="18"/>
      <c r="L165" s="18"/>
      <c r="M165" s="18"/>
      <c r="N165" s="18"/>
      <c r="O165" s="18"/>
      <c r="P165" s="18"/>
      <c r="Q165" s="18"/>
      <c r="R165" s="18"/>
      <c r="S165" s="18"/>
    </row>
    <row r="166" spans="1:19" x14ac:dyDescent="0.2">
      <c r="A166" s="18"/>
      <c r="G166" s="21"/>
      <c r="H166" s="18"/>
      <c r="I166" s="18"/>
      <c r="J166" s="18"/>
      <c r="K166" s="18"/>
      <c r="L166" s="18"/>
      <c r="M166" s="18"/>
      <c r="N166" s="18"/>
      <c r="O166" s="18"/>
      <c r="P166" s="18"/>
      <c r="Q166" s="18"/>
      <c r="R166" s="18"/>
      <c r="S166" s="18"/>
    </row>
    <row r="167" spans="1:19" x14ac:dyDescent="0.2">
      <c r="A167" s="18"/>
      <c r="G167" s="21"/>
      <c r="H167" s="18"/>
      <c r="I167" s="18"/>
      <c r="J167" s="18"/>
      <c r="K167" s="18"/>
      <c r="L167" s="18"/>
      <c r="M167" s="18"/>
      <c r="N167" s="18"/>
      <c r="O167" s="18"/>
      <c r="P167" s="18"/>
      <c r="Q167" s="18"/>
      <c r="R167" s="18"/>
      <c r="S167" s="18"/>
    </row>
    <row r="168" spans="1:19" x14ac:dyDescent="0.2">
      <c r="A168" s="18"/>
      <c r="G168" s="21"/>
      <c r="H168" s="18"/>
      <c r="I168" s="18"/>
      <c r="J168" s="18"/>
      <c r="K168" s="18"/>
      <c r="L168" s="18"/>
      <c r="M168" s="18"/>
      <c r="N168" s="18"/>
      <c r="O168" s="18"/>
      <c r="P168" s="18"/>
      <c r="Q168" s="18"/>
      <c r="R168" s="18"/>
      <c r="S168" s="18"/>
    </row>
    <row r="169" spans="1:19" x14ac:dyDescent="0.2">
      <c r="A169" s="18"/>
      <c r="G169" s="21"/>
      <c r="H169" s="18"/>
      <c r="I169" s="18"/>
      <c r="J169" s="18"/>
      <c r="K169" s="18"/>
      <c r="L169" s="18"/>
      <c r="M169" s="18"/>
      <c r="N169" s="18"/>
      <c r="O169" s="18"/>
      <c r="P169" s="18"/>
      <c r="Q169" s="18"/>
      <c r="R169" s="18"/>
      <c r="S169" s="18"/>
    </row>
    <row r="170" spans="1:19" x14ac:dyDescent="0.2">
      <c r="A170" s="18"/>
      <c r="G170" s="21"/>
      <c r="H170" s="18"/>
      <c r="I170" s="18"/>
      <c r="J170" s="18"/>
      <c r="K170" s="18"/>
      <c r="L170" s="18"/>
      <c r="M170" s="18"/>
      <c r="N170" s="18"/>
      <c r="O170" s="18"/>
      <c r="P170" s="18"/>
      <c r="Q170" s="18"/>
      <c r="R170" s="18"/>
      <c r="S170" s="18"/>
    </row>
    <row r="171" spans="1:19" x14ac:dyDescent="0.2">
      <c r="A171" s="18"/>
      <c r="G171" s="21"/>
      <c r="H171" s="18"/>
      <c r="I171" s="18"/>
      <c r="J171" s="18"/>
      <c r="K171" s="18"/>
      <c r="L171" s="18"/>
      <c r="M171" s="18"/>
      <c r="N171" s="18"/>
      <c r="O171" s="18"/>
      <c r="P171" s="18"/>
      <c r="Q171" s="18"/>
      <c r="R171" s="18"/>
      <c r="S171" s="18"/>
    </row>
    <row r="172" spans="1:19" x14ac:dyDescent="0.2">
      <c r="A172" s="18"/>
      <c r="G172" s="21"/>
      <c r="H172" s="18"/>
      <c r="I172" s="18"/>
      <c r="J172" s="18"/>
      <c r="K172" s="18"/>
      <c r="L172" s="18"/>
      <c r="M172" s="18"/>
      <c r="N172" s="18"/>
      <c r="O172" s="18"/>
      <c r="P172" s="18"/>
      <c r="Q172" s="18"/>
      <c r="R172" s="18"/>
      <c r="S172" s="18"/>
    </row>
    <row r="173" spans="1:19" x14ac:dyDescent="0.2">
      <c r="A173" s="18"/>
      <c r="G173" s="21"/>
      <c r="H173" s="18"/>
      <c r="I173" s="18"/>
      <c r="J173" s="18"/>
      <c r="K173" s="18"/>
      <c r="L173" s="18"/>
      <c r="M173" s="18"/>
      <c r="N173" s="18"/>
      <c r="O173" s="18"/>
      <c r="P173" s="18"/>
      <c r="Q173" s="18"/>
      <c r="R173" s="18"/>
      <c r="S173" s="18"/>
    </row>
    <row r="174" spans="1:19" x14ac:dyDescent="0.2">
      <c r="A174" s="18"/>
      <c r="G174" s="21"/>
      <c r="H174" s="18"/>
      <c r="I174" s="18"/>
      <c r="J174" s="18"/>
      <c r="K174" s="18"/>
      <c r="L174" s="18"/>
      <c r="M174" s="18"/>
      <c r="N174" s="18"/>
      <c r="O174" s="18"/>
      <c r="P174" s="18"/>
      <c r="Q174" s="18"/>
      <c r="R174" s="18"/>
      <c r="S174" s="18"/>
    </row>
    <row r="175" spans="1:19" x14ac:dyDescent="0.2">
      <c r="A175" s="18"/>
      <c r="G175" s="21"/>
      <c r="H175" s="18"/>
      <c r="I175" s="18"/>
      <c r="J175" s="18"/>
      <c r="K175" s="18"/>
      <c r="L175" s="18"/>
      <c r="M175" s="18"/>
      <c r="N175" s="18"/>
      <c r="O175" s="18"/>
      <c r="P175" s="18"/>
      <c r="Q175" s="18"/>
      <c r="R175" s="18"/>
      <c r="S175" s="18"/>
    </row>
    <row r="176" spans="1:19" x14ac:dyDescent="0.2">
      <c r="A176" s="18"/>
      <c r="G176" s="21"/>
      <c r="H176" s="18"/>
      <c r="I176" s="18"/>
      <c r="J176" s="18"/>
      <c r="K176" s="18"/>
      <c r="L176" s="18"/>
      <c r="M176" s="18"/>
      <c r="N176" s="18"/>
      <c r="O176" s="18"/>
      <c r="P176" s="18"/>
      <c r="Q176" s="18"/>
      <c r="R176" s="18"/>
      <c r="S176" s="18"/>
    </row>
    <row r="177" spans="1:19" x14ac:dyDescent="0.2">
      <c r="A177" s="18"/>
      <c r="G177" s="21"/>
      <c r="H177" s="18"/>
      <c r="I177" s="18"/>
      <c r="J177" s="18"/>
      <c r="K177" s="18"/>
      <c r="L177" s="18"/>
      <c r="M177" s="18"/>
      <c r="N177" s="18"/>
      <c r="O177" s="18"/>
      <c r="P177" s="18"/>
      <c r="Q177" s="18"/>
      <c r="R177" s="18"/>
      <c r="S177" s="18"/>
    </row>
    <row r="178" spans="1:19" x14ac:dyDescent="0.2">
      <c r="A178" s="18"/>
      <c r="G178" s="21"/>
      <c r="H178" s="18"/>
      <c r="I178" s="18"/>
      <c r="J178" s="18"/>
      <c r="K178" s="18"/>
      <c r="L178" s="18"/>
      <c r="M178" s="18"/>
      <c r="N178" s="18"/>
      <c r="O178" s="18"/>
      <c r="P178" s="18"/>
      <c r="Q178" s="18"/>
      <c r="R178" s="18"/>
      <c r="S178" s="18"/>
    </row>
    <row r="179" spans="1:19" x14ac:dyDescent="0.2">
      <c r="A179" s="18"/>
      <c r="G179" s="21"/>
      <c r="H179" s="18"/>
      <c r="I179" s="18"/>
      <c r="J179" s="18"/>
      <c r="K179" s="18"/>
      <c r="L179" s="18"/>
      <c r="M179" s="18"/>
      <c r="N179" s="18"/>
      <c r="O179" s="18"/>
      <c r="P179" s="18"/>
      <c r="Q179" s="18"/>
      <c r="R179" s="18"/>
      <c r="S179" s="18"/>
    </row>
    <row r="180" spans="1:19" x14ac:dyDescent="0.2">
      <c r="A180" s="18"/>
      <c r="G180" s="21"/>
      <c r="H180" s="18"/>
      <c r="I180" s="18"/>
      <c r="J180" s="18"/>
      <c r="K180" s="18"/>
      <c r="L180" s="18"/>
      <c r="M180" s="18"/>
      <c r="N180" s="18"/>
      <c r="O180" s="18"/>
      <c r="P180" s="18"/>
      <c r="Q180" s="18"/>
      <c r="R180" s="18"/>
      <c r="S180" s="18"/>
    </row>
    <row r="181" spans="1:19" x14ac:dyDescent="0.2">
      <c r="A181" s="18"/>
      <c r="G181" s="21"/>
      <c r="H181" s="18"/>
      <c r="I181" s="18"/>
      <c r="J181" s="18"/>
      <c r="K181" s="18"/>
      <c r="L181" s="18"/>
      <c r="M181" s="18"/>
      <c r="N181" s="18"/>
      <c r="O181" s="18"/>
      <c r="P181" s="18"/>
      <c r="Q181" s="18"/>
      <c r="R181" s="18"/>
      <c r="S181" s="18"/>
    </row>
    <row r="182" spans="1:19" x14ac:dyDescent="0.2">
      <c r="A182" s="18"/>
      <c r="G182" s="21"/>
      <c r="H182" s="18"/>
      <c r="I182" s="18"/>
      <c r="J182" s="18"/>
      <c r="K182" s="18"/>
      <c r="L182" s="18"/>
      <c r="M182" s="18"/>
      <c r="N182" s="18"/>
      <c r="O182" s="18"/>
      <c r="P182" s="18"/>
      <c r="Q182" s="18"/>
      <c r="R182" s="18"/>
      <c r="S182" s="18"/>
    </row>
    <row r="183" spans="1:19" x14ac:dyDescent="0.2">
      <c r="A183" s="18"/>
      <c r="G183" s="21"/>
      <c r="H183" s="18"/>
      <c r="I183" s="18"/>
      <c r="J183" s="18"/>
      <c r="K183" s="18"/>
      <c r="L183" s="18"/>
      <c r="M183" s="18"/>
      <c r="N183" s="18"/>
      <c r="O183" s="18"/>
      <c r="P183" s="18"/>
      <c r="Q183" s="18"/>
      <c r="R183" s="18"/>
      <c r="S183" s="18"/>
    </row>
    <row r="184" spans="1:19" x14ac:dyDescent="0.2">
      <c r="A184" s="18"/>
      <c r="G184" s="21"/>
      <c r="H184" s="18"/>
      <c r="I184" s="18"/>
      <c r="J184" s="18"/>
      <c r="K184" s="18"/>
      <c r="L184" s="18"/>
      <c r="M184" s="18"/>
      <c r="N184" s="18"/>
      <c r="O184" s="18"/>
      <c r="P184" s="18"/>
      <c r="Q184" s="18"/>
      <c r="R184" s="18"/>
      <c r="S184" s="18"/>
    </row>
    <row r="185" spans="1:19" x14ac:dyDescent="0.2">
      <c r="A185" s="18"/>
      <c r="G185" s="21"/>
      <c r="H185" s="18"/>
      <c r="I185" s="18"/>
      <c r="J185" s="18"/>
      <c r="K185" s="18"/>
      <c r="L185" s="18"/>
      <c r="M185" s="18"/>
      <c r="N185" s="18"/>
      <c r="O185" s="18"/>
      <c r="P185" s="18"/>
      <c r="Q185" s="18"/>
      <c r="R185" s="18"/>
      <c r="S185" s="18"/>
    </row>
    <row r="186" spans="1:19" x14ac:dyDescent="0.2">
      <c r="A186" s="18"/>
      <c r="G186" s="21"/>
      <c r="H186" s="18"/>
      <c r="I186" s="18"/>
      <c r="J186" s="18"/>
      <c r="K186" s="18"/>
      <c r="L186" s="18"/>
      <c r="M186" s="18"/>
      <c r="N186" s="18"/>
      <c r="O186" s="18"/>
      <c r="P186" s="18"/>
      <c r="Q186" s="18"/>
      <c r="R186" s="18"/>
      <c r="S186" s="18"/>
    </row>
    <row r="187" spans="1:19" x14ac:dyDescent="0.2">
      <c r="A187" s="18"/>
      <c r="G187" s="21"/>
      <c r="H187" s="18"/>
      <c r="I187" s="18"/>
      <c r="J187" s="18"/>
      <c r="K187" s="18"/>
      <c r="L187" s="18"/>
      <c r="M187" s="18"/>
      <c r="N187" s="18"/>
      <c r="O187" s="18"/>
      <c r="P187" s="18"/>
      <c r="Q187" s="18"/>
      <c r="R187" s="18"/>
      <c r="S187" s="18"/>
    </row>
    <row r="188" spans="1:19" x14ac:dyDescent="0.2">
      <c r="A188" s="18"/>
      <c r="G188" s="21"/>
      <c r="H188" s="18"/>
      <c r="I188" s="18"/>
      <c r="J188" s="18"/>
      <c r="K188" s="18"/>
      <c r="L188" s="18"/>
      <c r="M188" s="18"/>
      <c r="N188" s="18"/>
      <c r="O188" s="18"/>
      <c r="P188" s="18"/>
      <c r="Q188" s="18"/>
      <c r="R188" s="18"/>
      <c r="S188" s="18"/>
    </row>
    <row r="189" spans="1:19" x14ac:dyDescent="0.2">
      <c r="A189" s="18"/>
      <c r="G189" s="21"/>
      <c r="H189" s="18"/>
      <c r="I189" s="18"/>
      <c r="J189" s="18"/>
      <c r="K189" s="18"/>
      <c r="L189" s="18"/>
      <c r="M189" s="18"/>
      <c r="N189" s="18"/>
      <c r="O189" s="18"/>
      <c r="P189" s="18"/>
      <c r="Q189" s="18"/>
      <c r="R189" s="18"/>
      <c r="S189" s="18"/>
    </row>
    <row r="190" spans="1:19" x14ac:dyDescent="0.2">
      <c r="A190" s="18"/>
      <c r="G190" s="21"/>
      <c r="H190" s="18"/>
      <c r="I190" s="18"/>
      <c r="J190" s="18"/>
      <c r="K190" s="18"/>
      <c r="L190" s="18"/>
      <c r="M190" s="18"/>
      <c r="N190" s="18"/>
      <c r="O190" s="18"/>
      <c r="P190" s="18"/>
      <c r="Q190" s="18"/>
      <c r="R190" s="18"/>
      <c r="S190" s="18"/>
    </row>
    <row r="191" spans="1:19" x14ac:dyDescent="0.2">
      <c r="A191" s="18"/>
      <c r="G191" s="21"/>
      <c r="H191" s="18"/>
      <c r="I191" s="18"/>
      <c r="J191" s="18"/>
      <c r="K191" s="18"/>
      <c r="L191" s="18"/>
      <c r="M191" s="18"/>
      <c r="N191" s="18"/>
      <c r="O191" s="18"/>
      <c r="P191" s="18"/>
      <c r="Q191" s="18"/>
      <c r="R191" s="18"/>
      <c r="S191" s="18"/>
    </row>
    <row r="192" spans="1:19" x14ac:dyDescent="0.2">
      <c r="A192" s="18"/>
      <c r="G192" s="21"/>
      <c r="H192" s="18"/>
      <c r="I192" s="18"/>
      <c r="J192" s="18"/>
      <c r="K192" s="18"/>
      <c r="L192" s="18"/>
      <c r="M192" s="18"/>
      <c r="N192" s="18"/>
      <c r="O192" s="18"/>
      <c r="P192" s="18"/>
      <c r="Q192" s="18"/>
      <c r="R192" s="18"/>
      <c r="S192" s="18"/>
    </row>
    <row r="193" spans="1:19" x14ac:dyDescent="0.2">
      <c r="A193" s="18"/>
      <c r="G193" s="21"/>
      <c r="H193" s="18"/>
      <c r="I193" s="18"/>
      <c r="J193" s="18"/>
      <c r="K193" s="18"/>
      <c r="L193" s="18"/>
      <c r="M193" s="18"/>
      <c r="N193" s="18"/>
      <c r="O193" s="18"/>
      <c r="P193" s="18"/>
      <c r="Q193" s="18"/>
      <c r="R193" s="18"/>
      <c r="S193" s="18"/>
    </row>
    <row r="194" spans="1:19" x14ac:dyDescent="0.2">
      <c r="A194" s="18"/>
      <c r="G194" s="21"/>
      <c r="H194" s="18"/>
      <c r="I194" s="18"/>
      <c r="J194" s="18"/>
      <c r="K194" s="18"/>
      <c r="L194" s="18"/>
      <c r="M194" s="18"/>
      <c r="N194" s="18"/>
      <c r="O194" s="18"/>
      <c r="P194" s="18"/>
      <c r="Q194" s="18"/>
      <c r="R194" s="18"/>
      <c r="S194" s="18"/>
    </row>
    <row r="195" spans="1:19" x14ac:dyDescent="0.2">
      <c r="A195" s="18"/>
      <c r="G195" s="21"/>
      <c r="H195" s="18"/>
      <c r="I195" s="18"/>
      <c r="J195" s="18"/>
      <c r="K195" s="18"/>
      <c r="L195" s="18"/>
      <c r="M195" s="18"/>
      <c r="N195" s="18"/>
      <c r="O195" s="18"/>
      <c r="P195" s="18"/>
      <c r="Q195" s="18"/>
      <c r="R195" s="18"/>
      <c r="S195" s="18"/>
    </row>
    <row r="196" spans="1:19" x14ac:dyDescent="0.2">
      <c r="A196" s="18"/>
      <c r="G196" s="21"/>
      <c r="H196" s="18"/>
      <c r="I196" s="18"/>
      <c r="J196" s="18"/>
      <c r="K196" s="18"/>
      <c r="L196" s="18"/>
      <c r="M196" s="18"/>
      <c r="N196" s="18"/>
      <c r="O196" s="18"/>
      <c r="P196" s="18"/>
      <c r="Q196" s="18"/>
      <c r="R196" s="18"/>
      <c r="S196" s="18"/>
    </row>
    <row r="197" spans="1:19" x14ac:dyDescent="0.2">
      <c r="A197" s="18"/>
      <c r="G197" s="21"/>
      <c r="H197" s="18"/>
      <c r="I197" s="18"/>
      <c r="J197" s="18"/>
      <c r="K197" s="18"/>
      <c r="L197" s="18"/>
      <c r="M197" s="18"/>
      <c r="N197" s="18"/>
      <c r="O197" s="18"/>
      <c r="P197" s="18"/>
      <c r="Q197" s="18"/>
      <c r="R197" s="18"/>
      <c r="S197" s="18"/>
    </row>
    <row r="198" spans="1:19" x14ac:dyDescent="0.2">
      <c r="A198" s="18"/>
      <c r="G198" s="21"/>
      <c r="H198" s="18"/>
      <c r="I198" s="18"/>
      <c r="J198" s="18"/>
      <c r="K198" s="18"/>
      <c r="L198" s="18"/>
      <c r="M198" s="18"/>
      <c r="N198" s="18"/>
      <c r="O198" s="18"/>
      <c r="P198" s="18"/>
      <c r="Q198" s="18"/>
      <c r="R198" s="18"/>
      <c r="S198" s="18"/>
    </row>
    <row r="199" spans="1:19" x14ac:dyDescent="0.2">
      <c r="A199" s="18"/>
      <c r="G199" s="21"/>
      <c r="H199" s="18"/>
      <c r="I199" s="18"/>
      <c r="J199" s="18"/>
      <c r="K199" s="18"/>
      <c r="L199" s="18"/>
      <c r="M199" s="18"/>
      <c r="N199" s="18"/>
      <c r="O199" s="18"/>
      <c r="P199" s="18"/>
      <c r="Q199" s="18"/>
      <c r="R199" s="18"/>
      <c r="S199" s="18"/>
    </row>
    <row r="200" spans="1:19" x14ac:dyDescent="0.2">
      <c r="A200" s="18"/>
      <c r="G200" s="21"/>
      <c r="H200" s="18"/>
      <c r="I200" s="18"/>
      <c r="J200" s="18"/>
      <c r="K200" s="18"/>
      <c r="L200" s="18"/>
      <c r="M200" s="18"/>
      <c r="N200" s="18"/>
      <c r="O200" s="18"/>
      <c r="P200" s="18"/>
      <c r="Q200" s="18"/>
      <c r="R200" s="18"/>
      <c r="S200" s="18"/>
    </row>
    <row r="201" spans="1:19" x14ac:dyDescent="0.2">
      <c r="A201" s="18"/>
      <c r="G201" s="21"/>
      <c r="H201" s="18"/>
      <c r="I201" s="18"/>
      <c r="J201" s="18"/>
      <c r="K201" s="18"/>
      <c r="L201" s="18"/>
      <c r="M201" s="18"/>
      <c r="N201" s="18"/>
      <c r="O201" s="18"/>
      <c r="P201" s="18"/>
      <c r="Q201" s="18"/>
      <c r="R201" s="18"/>
      <c r="S201" s="18"/>
    </row>
    <row r="202" spans="1:19" x14ac:dyDescent="0.2">
      <c r="A202" s="18"/>
      <c r="G202" s="21"/>
      <c r="H202" s="18"/>
      <c r="I202" s="18"/>
      <c r="J202" s="18"/>
      <c r="K202" s="18"/>
      <c r="L202" s="18"/>
      <c r="M202" s="18"/>
      <c r="N202" s="18"/>
      <c r="O202" s="18"/>
      <c r="P202" s="18"/>
      <c r="Q202" s="18"/>
      <c r="R202" s="18"/>
      <c r="S202" s="18"/>
    </row>
    <row r="203" spans="1:19" x14ac:dyDescent="0.2">
      <c r="A203" s="18"/>
      <c r="G203" s="21"/>
      <c r="H203" s="18"/>
      <c r="I203" s="18"/>
      <c r="J203" s="18"/>
      <c r="K203" s="18"/>
      <c r="L203" s="18"/>
      <c r="M203" s="18"/>
      <c r="N203" s="18"/>
      <c r="O203" s="18"/>
      <c r="P203" s="18"/>
      <c r="Q203" s="18"/>
      <c r="R203" s="18"/>
      <c r="S203" s="18"/>
    </row>
    <row r="204" spans="1:19" x14ac:dyDescent="0.2">
      <c r="A204" s="18"/>
      <c r="G204" s="21"/>
      <c r="H204" s="18"/>
      <c r="I204" s="18"/>
      <c r="J204" s="18"/>
      <c r="K204" s="18"/>
      <c r="L204" s="18"/>
      <c r="M204" s="18"/>
      <c r="N204" s="18"/>
      <c r="O204" s="18"/>
      <c r="P204" s="18"/>
      <c r="Q204" s="18"/>
      <c r="R204" s="18"/>
      <c r="S204" s="18"/>
    </row>
    <row r="205" spans="1:19" x14ac:dyDescent="0.2">
      <c r="A205" s="18"/>
      <c r="G205" s="21"/>
      <c r="H205" s="18"/>
      <c r="I205" s="18"/>
      <c r="J205" s="18"/>
      <c r="K205" s="18"/>
      <c r="L205" s="18"/>
      <c r="M205" s="18"/>
      <c r="N205" s="18"/>
      <c r="O205" s="18"/>
      <c r="P205" s="18"/>
      <c r="Q205" s="18"/>
      <c r="R205" s="18"/>
      <c r="S205" s="18"/>
    </row>
    <row r="206" spans="1:19" x14ac:dyDescent="0.2">
      <c r="A206" s="18"/>
      <c r="G206" s="21"/>
      <c r="H206" s="18"/>
      <c r="I206" s="18"/>
      <c r="J206" s="18"/>
      <c r="K206" s="18"/>
      <c r="L206" s="18"/>
      <c r="M206" s="18"/>
      <c r="N206" s="18"/>
      <c r="O206" s="18"/>
      <c r="P206" s="18"/>
      <c r="Q206" s="18"/>
      <c r="R206" s="18"/>
      <c r="S206" s="18"/>
    </row>
    <row r="207" spans="1:19" x14ac:dyDescent="0.2">
      <c r="A207" s="18"/>
      <c r="G207" s="21"/>
      <c r="H207" s="18"/>
      <c r="I207" s="18"/>
      <c r="J207" s="18"/>
      <c r="K207" s="18"/>
      <c r="L207" s="18"/>
      <c r="M207" s="18"/>
      <c r="N207" s="18"/>
      <c r="O207" s="18"/>
      <c r="P207" s="18"/>
      <c r="Q207" s="18"/>
      <c r="R207" s="18"/>
      <c r="S207" s="18"/>
    </row>
    <row r="208" spans="1:19" x14ac:dyDescent="0.2">
      <c r="A208" s="18"/>
      <c r="G208" s="21"/>
      <c r="H208" s="18"/>
      <c r="I208" s="18"/>
      <c r="J208" s="18"/>
      <c r="K208" s="18"/>
      <c r="L208" s="18"/>
      <c r="M208" s="18"/>
      <c r="N208" s="18"/>
      <c r="O208" s="18"/>
      <c r="P208" s="18"/>
      <c r="Q208" s="18"/>
      <c r="R208" s="18"/>
      <c r="S208" s="18"/>
    </row>
    <row r="209" spans="1:19" x14ac:dyDescent="0.2">
      <c r="A209" s="18"/>
      <c r="G209" s="21"/>
      <c r="H209" s="18"/>
      <c r="I209" s="18"/>
      <c r="J209" s="18"/>
      <c r="K209" s="18"/>
      <c r="L209" s="18"/>
      <c r="M209" s="18"/>
      <c r="N209" s="18"/>
      <c r="O209" s="18"/>
      <c r="P209" s="18"/>
      <c r="Q209" s="18"/>
      <c r="R209" s="18"/>
      <c r="S209" s="18"/>
    </row>
    <row r="210" spans="1:19" x14ac:dyDescent="0.2">
      <c r="A210" s="18"/>
      <c r="G210" s="21"/>
      <c r="H210" s="18"/>
      <c r="I210" s="18"/>
      <c r="J210" s="18"/>
      <c r="K210" s="18"/>
      <c r="L210" s="18"/>
      <c r="M210" s="18"/>
      <c r="N210" s="18"/>
      <c r="O210" s="18"/>
      <c r="P210" s="18"/>
      <c r="Q210" s="18"/>
      <c r="R210" s="18"/>
      <c r="S210" s="18"/>
    </row>
    <row r="211" spans="1:19" x14ac:dyDescent="0.2">
      <c r="A211" s="18"/>
      <c r="G211" s="21"/>
      <c r="H211" s="18"/>
      <c r="I211" s="18"/>
      <c r="J211" s="18"/>
      <c r="K211" s="18"/>
      <c r="L211" s="18"/>
      <c r="M211" s="18"/>
      <c r="N211" s="18"/>
      <c r="O211" s="18"/>
      <c r="P211" s="18"/>
      <c r="Q211" s="18"/>
      <c r="R211" s="18"/>
      <c r="S211" s="18"/>
    </row>
    <row r="212" spans="1:19" x14ac:dyDescent="0.2">
      <c r="A212" s="18"/>
      <c r="G212" s="21"/>
      <c r="H212" s="18"/>
      <c r="I212" s="18"/>
      <c r="J212" s="18"/>
      <c r="K212" s="18"/>
      <c r="L212" s="18"/>
      <c r="M212" s="18"/>
      <c r="N212" s="18"/>
      <c r="O212" s="18"/>
      <c r="P212" s="18"/>
      <c r="Q212" s="18"/>
      <c r="R212" s="18"/>
      <c r="S212" s="18"/>
    </row>
    <row r="213" spans="1:19" x14ac:dyDescent="0.2">
      <c r="A213" s="18"/>
      <c r="G213" s="21"/>
      <c r="H213" s="18"/>
      <c r="I213" s="18"/>
      <c r="J213" s="18"/>
      <c r="K213" s="18"/>
      <c r="L213" s="18"/>
      <c r="M213" s="18"/>
      <c r="N213" s="18"/>
      <c r="O213" s="18"/>
      <c r="P213" s="18"/>
      <c r="Q213" s="18"/>
      <c r="R213" s="18"/>
      <c r="S213" s="18"/>
    </row>
    <row r="214" spans="1:19" x14ac:dyDescent="0.2">
      <c r="A214" s="18"/>
      <c r="G214" s="21"/>
      <c r="H214" s="18"/>
      <c r="I214" s="18"/>
      <c r="J214" s="18"/>
      <c r="K214" s="18"/>
      <c r="L214" s="18"/>
      <c r="M214" s="18"/>
      <c r="N214" s="18"/>
      <c r="O214" s="18"/>
      <c r="P214" s="18"/>
      <c r="Q214" s="18"/>
      <c r="R214" s="18"/>
      <c r="S214" s="18"/>
    </row>
    <row r="215" spans="1:19" x14ac:dyDescent="0.2">
      <c r="A215" s="18"/>
      <c r="G215" s="21"/>
      <c r="H215" s="18"/>
      <c r="I215" s="18"/>
      <c r="J215" s="18"/>
      <c r="K215" s="18"/>
      <c r="L215" s="18"/>
      <c r="M215" s="18"/>
      <c r="N215" s="18"/>
      <c r="O215" s="18"/>
      <c r="P215" s="18"/>
      <c r="Q215" s="18"/>
      <c r="R215" s="18"/>
      <c r="S215" s="18"/>
    </row>
    <row r="216" spans="1:19" x14ac:dyDescent="0.2">
      <c r="A216" s="18"/>
      <c r="G216" s="21"/>
      <c r="H216" s="18"/>
      <c r="I216" s="18"/>
      <c r="J216" s="18"/>
      <c r="K216" s="18"/>
      <c r="L216" s="18"/>
      <c r="M216" s="18"/>
      <c r="N216" s="18"/>
      <c r="O216" s="18"/>
      <c r="P216" s="18"/>
      <c r="Q216" s="18"/>
      <c r="R216" s="18"/>
      <c r="S216" s="18"/>
    </row>
    <row r="217" spans="1:19" x14ac:dyDescent="0.2">
      <c r="A217" s="18"/>
      <c r="G217" s="21"/>
      <c r="H217" s="18"/>
      <c r="I217" s="18"/>
      <c r="J217" s="18"/>
      <c r="K217" s="18"/>
      <c r="L217" s="18"/>
      <c r="M217" s="18"/>
      <c r="N217" s="18"/>
      <c r="O217" s="18"/>
      <c r="P217" s="18"/>
      <c r="Q217" s="18"/>
      <c r="R217" s="18"/>
      <c r="S217" s="18"/>
    </row>
    <row r="218" spans="1:19" x14ac:dyDescent="0.2">
      <c r="A218" s="18"/>
      <c r="G218" s="21"/>
      <c r="H218" s="18"/>
      <c r="I218" s="18"/>
      <c r="J218" s="18"/>
      <c r="K218" s="18"/>
      <c r="L218" s="18"/>
      <c r="M218" s="18"/>
      <c r="N218" s="18"/>
      <c r="O218" s="18"/>
      <c r="P218" s="18"/>
      <c r="Q218" s="18"/>
      <c r="R218" s="18"/>
      <c r="S218" s="18"/>
    </row>
    <row r="219" spans="1:19" x14ac:dyDescent="0.2">
      <c r="A219" s="18"/>
      <c r="G219" s="21"/>
      <c r="H219" s="18"/>
      <c r="I219" s="18"/>
      <c r="J219" s="18"/>
      <c r="K219" s="18"/>
      <c r="L219" s="18"/>
      <c r="M219" s="18"/>
      <c r="N219" s="18"/>
      <c r="O219" s="18"/>
      <c r="P219" s="18"/>
      <c r="Q219" s="18"/>
      <c r="R219" s="18"/>
      <c r="S219" s="18"/>
    </row>
    <row r="220" spans="1:19" x14ac:dyDescent="0.2">
      <c r="A220" s="18"/>
      <c r="G220" s="21"/>
      <c r="H220" s="18"/>
      <c r="I220" s="18"/>
      <c r="J220" s="18"/>
      <c r="K220" s="18"/>
      <c r="L220" s="18"/>
      <c r="M220" s="18"/>
      <c r="N220" s="18"/>
      <c r="O220" s="18"/>
      <c r="P220" s="18"/>
      <c r="Q220" s="18"/>
      <c r="R220" s="18"/>
      <c r="S220" s="18"/>
    </row>
    <row r="221" spans="1:19" x14ac:dyDescent="0.2">
      <c r="A221" s="18"/>
      <c r="G221" s="21"/>
      <c r="H221" s="18"/>
      <c r="I221" s="18"/>
      <c r="J221" s="18"/>
      <c r="K221" s="18"/>
      <c r="L221" s="18"/>
      <c r="M221" s="18"/>
      <c r="N221" s="18"/>
      <c r="O221" s="18"/>
      <c r="P221" s="18"/>
      <c r="Q221" s="18"/>
      <c r="R221" s="18"/>
      <c r="S221" s="18"/>
    </row>
    <row r="222" spans="1:19" x14ac:dyDescent="0.2">
      <c r="A222" s="18"/>
      <c r="G222" s="21"/>
      <c r="H222" s="18"/>
      <c r="I222" s="18"/>
      <c r="J222" s="18"/>
      <c r="K222" s="18"/>
      <c r="L222" s="18"/>
      <c r="M222" s="18"/>
      <c r="N222" s="18"/>
      <c r="O222" s="18"/>
      <c r="P222" s="18"/>
      <c r="Q222" s="18"/>
      <c r="R222" s="18"/>
      <c r="S222" s="18"/>
    </row>
    <row r="223" spans="1:19" x14ac:dyDescent="0.2">
      <c r="A223" s="18"/>
      <c r="G223" s="21"/>
      <c r="H223" s="18"/>
      <c r="I223" s="18"/>
      <c r="J223" s="18"/>
      <c r="K223" s="18"/>
      <c r="L223" s="18"/>
      <c r="M223" s="18"/>
      <c r="N223" s="18"/>
      <c r="O223" s="18"/>
      <c r="P223" s="18"/>
      <c r="Q223" s="18"/>
      <c r="R223" s="18"/>
      <c r="S223" s="18"/>
    </row>
    <row r="224" spans="1:19" x14ac:dyDescent="0.2">
      <c r="A224" s="18"/>
      <c r="G224" s="21"/>
      <c r="H224" s="18"/>
      <c r="I224" s="18"/>
      <c r="J224" s="18"/>
      <c r="K224" s="18"/>
      <c r="L224" s="18"/>
      <c r="M224" s="18"/>
      <c r="N224" s="18"/>
      <c r="O224" s="18"/>
      <c r="P224" s="18"/>
      <c r="Q224" s="18"/>
      <c r="R224" s="18"/>
      <c r="S224" s="18"/>
    </row>
    <row r="225" spans="1:19" x14ac:dyDescent="0.2">
      <c r="A225" s="18"/>
      <c r="G225" s="21"/>
      <c r="H225" s="18"/>
      <c r="I225" s="18"/>
      <c r="J225" s="18"/>
      <c r="K225" s="18"/>
      <c r="L225" s="18"/>
      <c r="M225" s="18"/>
      <c r="N225" s="18"/>
      <c r="O225" s="18"/>
      <c r="P225" s="18"/>
      <c r="Q225" s="18"/>
      <c r="R225" s="18"/>
      <c r="S225" s="18"/>
    </row>
    <row r="226" spans="1:19" x14ac:dyDescent="0.2">
      <c r="A226" s="18"/>
      <c r="G226" s="21"/>
      <c r="H226" s="18"/>
      <c r="I226" s="18"/>
      <c r="J226" s="18"/>
      <c r="K226" s="18"/>
      <c r="L226" s="18"/>
      <c r="M226" s="18"/>
      <c r="N226" s="18"/>
      <c r="O226" s="18"/>
      <c r="P226" s="18"/>
      <c r="Q226" s="18"/>
      <c r="R226" s="18"/>
      <c r="S226" s="18"/>
    </row>
    <row r="227" spans="1:19" x14ac:dyDescent="0.2">
      <c r="A227" s="18"/>
      <c r="G227" s="21"/>
      <c r="H227" s="18"/>
      <c r="I227" s="18"/>
      <c r="J227" s="18"/>
      <c r="K227" s="18"/>
      <c r="L227" s="18"/>
      <c r="M227" s="18"/>
      <c r="N227" s="18"/>
      <c r="O227" s="18"/>
      <c r="P227" s="18"/>
      <c r="Q227" s="18"/>
      <c r="R227" s="18"/>
      <c r="S227" s="18"/>
    </row>
    <row r="228" spans="1:19" x14ac:dyDescent="0.2">
      <c r="A228" s="18"/>
      <c r="G228" s="21"/>
      <c r="H228" s="18"/>
      <c r="I228" s="18"/>
      <c r="J228" s="18"/>
      <c r="K228" s="18"/>
      <c r="L228" s="18"/>
      <c r="M228" s="18"/>
      <c r="N228" s="18"/>
      <c r="O228" s="18"/>
      <c r="P228" s="18"/>
      <c r="Q228" s="18"/>
      <c r="R228" s="18"/>
      <c r="S228" s="18"/>
    </row>
    <row r="229" spans="1:19" x14ac:dyDescent="0.2">
      <c r="A229" s="18"/>
      <c r="G229" s="21"/>
      <c r="H229" s="18"/>
      <c r="I229" s="18"/>
      <c r="J229" s="18"/>
      <c r="K229" s="18"/>
      <c r="L229" s="18"/>
      <c r="M229" s="18"/>
      <c r="N229" s="18"/>
      <c r="O229" s="18"/>
      <c r="P229" s="18"/>
      <c r="Q229" s="18"/>
      <c r="R229" s="18"/>
      <c r="S229" s="18"/>
    </row>
    <row r="230" spans="1:19" x14ac:dyDescent="0.2">
      <c r="A230" s="18"/>
      <c r="G230" s="21"/>
      <c r="H230" s="18"/>
      <c r="I230" s="18"/>
      <c r="J230" s="18"/>
      <c r="K230" s="18"/>
      <c r="L230" s="18"/>
      <c r="M230" s="18"/>
      <c r="N230" s="18"/>
      <c r="O230" s="18"/>
      <c r="P230" s="18"/>
      <c r="Q230" s="18"/>
      <c r="R230" s="18"/>
      <c r="S230" s="18"/>
    </row>
    <row r="231" spans="1:19" x14ac:dyDescent="0.2">
      <c r="A231" s="18"/>
      <c r="G231" s="21"/>
      <c r="H231" s="18"/>
      <c r="I231" s="18"/>
      <c r="J231" s="18"/>
      <c r="K231" s="18"/>
      <c r="L231" s="18"/>
      <c r="M231" s="18"/>
      <c r="N231" s="18"/>
      <c r="O231" s="18"/>
      <c r="P231" s="18"/>
      <c r="Q231" s="18"/>
      <c r="R231" s="18"/>
      <c r="S231" s="18"/>
    </row>
    <row r="232" spans="1:19" x14ac:dyDescent="0.2">
      <c r="A232" s="18"/>
      <c r="G232" s="21"/>
      <c r="H232" s="18"/>
      <c r="I232" s="18"/>
      <c r="J232" s="18"/>
      <c r="K232" s="18"/>
      <c r="L232" s="18"/>
      <c r="M232" s="18"/>
      <c r="N232" s="18"/>
      <c r="O232" s="18"/>
      <c r="P232" s="18"/>
      <c r="Q232" s="18"/>
      <c r="R232" s="18"/>
      <c r="S232" s="18"/>
    </row>
    <row r="233" spans="1:19" x14ac:dyDescent="0.2">
      <c r="A233" s="18"/>
      <c r="G233" s="21"/>
      <c r="H233" s="18"/>
      <c r="I233" s="18"/>
      <c r="J233" s="18"/>
      <c r="K233" s="18"/>
      <c r="L233" s="18"/>
      <c r="M233" s="18"/>
      <c r="N233" s="18"/>
      <c r="O233" s="18"/>
      <c r="P233" s="18"/>
      <c r="Q233" s="18"/>
      <c r="R233" s="18"/>
      <c r="S233" s="18"/>
    </row>
    <row r="234" spans="1:19" x14ac:dyDescent="0.2">
      <c r="A234" s="18"/>
      <c r="G234" s="21"/>
      <c r="H234" s="18"/>
      <c r="I234" s="18"/>
      <c r="J234" s="18"/>
      <c r="K234" s="18"/>
      <c r="L234" s="18"/>
      <c r="M234" s="18"/>
      <c r="N234" s="18"/>
      <c r="O234" s="18"/>
      <c r="P234" s="18"/>
      <c r="Q234" s="18"/>
      <c r="R234" s="18"/>
      <c r="S234" s="18"/>
    </row>
    <row r="235" spans="1:19" x14ac:dyDescent="0.2">
      <c r="A235" s="18"/>
      <c r="G235" s="21"/>
      <c r="H235" s="18"/>
      <c r="I235" s="18"/>
      <c r="J235" s="18"/>
      <c r="K235" s="18"/>
      <c r="L235" s="18"/>
      <c r="M235" s="18"/>
      <c r="N235" s="18"/>
      <c r="O235" s="18"/>
      <c r="P235" s="18"/>
      <c r="Q235" s="18"/>
      <c r="R235" s="18"/>
      <c r="S235" s="18"/>
    </row>
    <row r="236" spans="1:19" x14ac:dyDescent="0.2">
      <c r="A236" s="18"/>
      <c r="G236" s="21"/>
      <c r="H236" s="18"/>
      <c r="I236" s="18"/>
      <c r="J236" s="18"/>
      <c r="K236" s="18"/>
      <c r="L236" s="18"/>
      <c r="M236" s="18"/>
      <c r="N236" s="18"/>
      <c r="O236" s="18"/>
      <c r="P236" s="18"/>
      <c r="Q236" s="18"/>
      <c r="R236" s="18"/>
      <c r="S236" s="18"/>
    </row>
    <row r="237" spans="1:19" x14ac:dyDescent="0.2">
      <c r="A237" s="18"/>
      <c r="G237" s="21"/>
      <c r="H237" s="18"/>
      <c r="I237" s="18"/>
      <c r="J237" s="18"/>
      <c r="K237" s="18"/>
      <c r="L237" s="18"/>
      <c r="M237" s="18"/>
      <c r="N237" s="18"/>
      <c r="O237" s="18"/>
      <c r="P237" s="18"/>
      <c r="Q237" s="18"/>
      <c r="R237" s="18"/>
      <c r="S237" s="18"/>
    </row>
    <row r="238" spans="1:19" x14ac:dyDescent="0.2">
      <c r="A238" s="18"/>
      <c r="G238" s="21"/>
      <c r="H238" s="18"/>
      <c r="I238" s="18"/>
      <c r="J238" s="18"/>
      <c r="K238" s="18"/>
      <c r="L238" s="18"/>
      <c r="M238" s="18"/>
      <c r="N238" s="18"/>
      <c r="O238" s="18"/>
      <c r="P238" s="18"/>
      <c r="Q238" s="18"/>
      <c r="R238" s="18"/>
      <c r="S238" s="18"/>
    </row>
    <row r="239" spans="1:19" x14ac:dyDescent="0.2">
      <c r="A239" s="18"/>
      <c r="G239" s="21"/>
      <c r="H239" s="18"/>
      <c r="I239" s="18"/>
      <c r="J239" s="18"/>
      <c r="K239" s="18"/>
      <c r="L239" s="18"/>
      <c r="M239" s="18"/>
      <c r="N239" s="18"/>
      <c r="O239" s="18"/>
      <c r="P239" s="18"/>
      <c r="Q239" s="18"/>
      <c r="R239" s="18"/>
      <c r="S239" s="18"/>
    </row>
    <row r="240" spans="1:19" x14ac:dyDescent="0.2">
      <c r="A240" s="18"/>
      <c r="G240" s="21"/>
      <c r="H240" s="18"/>
      <c r="I240" s="18"/>
      <c r="J240" s="18"/>
      <c r="K240" s="18"/>
      <c r="L240" s="18"/>
      <c r="M240" s="18"/>
      <c r="N240" s="18"/>
      <c r="O240" s="18"/>
      <c r="P240" s="18"/>
      <c r="Q240" s="18"/>
      <c r="R240" s="18"/>
      <c r="S240" s="18"/>
    </row>
    <row r="241" spans="1:19" x14ac:dyDescent="0.2">
      <c r="A241" s="18"/>
      <c r="G241" s="21"/>
      <c r="H241" s="18"/>
      <c r="I241" s="18"/>
      <c r="J241" s="18"/>
      <c r="K241" s="18"/>
      <c r="L241" s="18"/>
      <c r="M241" s="18"/>
      <c r="N241" s="18"/>
      <c r="O241" s="18"/>
      <c r="P241" s="18"/>
      <c r="Q241" s="18"/>
      <c r="R241" s="18"/>
      <c r="S241" s="18"/>
    </row>
    <row r="242" spans="1:19" x14ac:dyDescent="0.2">
      <c r="A242" s="18"/>
      <c r="G242" s="21"/>
      <c r="H242" s="18"/>
      <c r="I242" s="18"/>
      <c r="J242" s="18"/>
      <c r="K242" s="18"/>
      <c r="L242" s="18"/>
      <c r="M242" s="18"/>
      <c r="N242" s="18"/>
      <c r="O242" s="18"/>
      <c r="P242" s="18"/>
      <c r="Q242" s="18"/>
      <c r="R242" s="18"/>
      <c r="S242" s="18"/>
    </row>
    <row r="243" spans="1:19" x14ac:dyDescent="0.2">
      <c r="A243" s="18"/>
      <c r="G243" s="21"/>
      <c r="H243" s="18"/>
      <c r="I243" s="18"/>
      <c r="J243" s="18"/>
      <c r="K243" s="18"/>
      <c r="L243" s="18"/>
      <c r="M243" s="18"/>
      <c r="N243" s="18"/>
      <c r="O243" s="18"/>
      <c r="P243" s="18"/>
      <c r="Q243" s="18"/>
      <c r="R243" s="18"/>
      <c r="S243" s="18"/>
    </row>
    <row r="244" spans="1:19" x14ac:dyDescent="0.2">
      <c r="A244" s="18"/>
      <c r="G244" s="21"/>
      <c r="H244" s="18"/>
      <c r="I244" s="18"/>
      <c r="J244" s="18"/>
      <c r="K244" s="18"/>
      <c r="L244" s="18"/>
      <c r="M244" s="18"/>
      <c r="N244" s="18"/>
      <c r="O244" s="18"/>
      <c r="P244" s="18"/>
      <c r="Q244" s="18"/>
      <c r="R244" s="18"/>
      <c r="S244" s="18"/>
    </row>
    <row r="245" spans="1:19" x14ac:dyDescent="0.2">
      <c r="A245" s="18"/>
      <c r="G245" s="21"/>
      <c r="H245" s="18"/>
      <c r="I245" s="18"/>
      <c r="J245" s="18"/>
      <c r="K245" s="18"/>
      <c r="L245" s="18"/>
      <c r="M245" s="18"/>
      <c r="N245" s="18"/>
      <c r="O245" s="18"/>
      <c r="P245" s="18"/>
      <c r="Q245" s="18"/>
      <c r="R245" s="18"/>
      <c r="S245" s="18"/>
    </row>
    <row r="246" spans="1:19" x14ac:dyDescent="0.2">
      <c r="A246" s="18"/>
      <c r="G246" s="21"/>
      <c r="H246" s="18"/>
      <c r="I246" s="18"/>
      <c r="J246" s="18"/>
      <c r="K246" s="18"/>
      <c r="L246" s="18"/>
      <c r="M246" s="18"/>
      <c r="N246" s="18"/>
      <c r="O246" s="18"/>
      <c r="P246" s="18"/>
      <c r="Q246" s="18"/>
      <c r="R246" s="18"/>
      <c r="S246" s="18"/>
    </row>
    <row r="247" spans="1:19" x14ac:dyDescent="0.2">
      <c r="A247" s="18"/>
      <c r="G247" s="21"/>
      <c r="H247" s="18"/>
      <c r="I247" s="18"/>
      <c r="J247" s="18"/>
      <c r="K247" s="18"/>
      <c r="L247" s="18"/>
      <c r="M247" s="18"/>
      <c r="N247" s="18"/>
      <c r="O247" s="18"/>
      <c r="P247" s="18"/>
      <c r="Q247" s="18"/>
      <c r="R247" s="18"/>
      <c r="S247" s="18"/>
    </row>
    <row r="248" spans="1:19" x14ac:dyDescent="0.2">
      <c r="A248" s="18"/>
      <c r="G248" s="21"/>
      <c r="H248" s="18"/>
      <c r="I248" s="18"/>
      <c r="J248" s="18"/>
      <c r="K248" s="18"/>
      <c r="L248" s="18"/>
      <c r="M248" s="18"/>
      <c r="N248" s="18"/>
      <c r="O248" s="18"/>
      <c r="P248" s="18"/>
      <c r="Q248" s="18"/>
      <c r="R248" s="18"/>
      <c r="S248" s="18"/>
    </row>
    <row r="249" spans="1:19" x14ac:dyDescent="0.2">
      <c r="A249" s="18"/>
      <c r="G249" s="21"/>
      <c r="H249" s="18"/>
      <c r="I249" s="18"/>
      <c r="J249" s="18"/>
      <c r="K249" s="18"/>
      <c r="L249" s="18"/>
      <c r="M249" s="18"/>
      <c r="N249" s="18"/>
      <c r="O249" s="18"/>
      <c r="P249" s="18"/>
      <c r="Q249" s="18"/>
      <c r="R249" s="18"/>
      <c r="S249" s="18"/>
    </row>
    <row r="250" spans="1:19" x14ac:dyDescent="0.2">
      <c r="A250" s="18"/>
      <c r="G250" s="21"/>
      <c r="H250" s="18"/>
      <c r="I250" s="18"/>
      <c r="J250" s="18"/>
      <c r="K250" s="18"/>
      <c r="L250" s="18"/>
      <c r="M250" s="18"/>
      <c r="N250" s="18"/>
      <c r="O250" s="18"/>
      <c r="P250" s="18"/>
      <c r="Q250" s="18"/>
      <c r="R250" s="18"/>
      <c r="S250" s="18"/>
    </row>
    <row r="251" spans="1:19" x14ac:dyDescent="0.2">
      <c r="A251" s="18"/>
      <c r="G251" s="21"/>
      <c r="H251" s="18"/>
      <c r="I251" s="18"/>
      <c r="J251" s="18"/>
      <c r="K251" s="18"/>
      <c r="L251" s="18"/>
      <c r="M251" s="18"/>
      <c r="N251" s="18"/>
      <c r="O251" s="18"/>
      <c r="P251" s="18"/>
      <c r="Q251" s="18"/>
      <c r="R251" s="18"/>
      <c r="S251" s="18"/>
    </row>
    <row r="252" spans="1:19" x14ac:dyDescent="0.2">
      <c r="A252" s="18"/>
      <c r="G252" s="21"/>
      <c r="H252" s="18"/>
      <c r="I252" s="18"/>
      <c r="J252" s="18"/>
      <c r="K252" s="18"/>
      <c r="L252" s="18"/>
      <c r="M252" s="18"/>
      <c r="N252" s="18"/>
      <c r="O252" s="18"/>
      <c r="P252" s="18"/>
      <c r="Q252" s="18"/>
      <c r="R252" s="18"/>
      <c r="S252" s="18"/>
    </row>
    <row r="253" spans="1:19" x14ac:dyDescent="0.2">
      <c r="A253" s="18"/>
      <c r="G253" s="21"/>
      <c r="H253" s="18"/>
      <c r="I253" s="18"/>
      <c r="J253" s="18"/>
      <c r="K253" s="18"/>
      <c r="L253" s="18"/>
      <c r="M253" s="18"/>
      <c r="N253" s="18"/>
      <c r="O253" s="18"/>
      <c r="P253" s="18"/>
      <c r="Q253" s="18"/>
      <c r="R253" s="18"/>
      <c r="S253" s="18"/>
    </row>
    <row r="254" spans="1:19" x14ac:dyDescent="0.2">
      <c r="A254" s="18"/>
      <c r="G254" s="21"/>
      <c r="H254" s="18"/>
      <c r="I254" s="18"/>
      <c r="J254" s="18"/>
      <c r="K254" s="18"/>
      <c r="L254" s="18"/>
      <c r="M254" s="18"/>
      <c r="N254" s="18"/>
      <c r="O254" s="18"/>
      <c r="P254" s="18"/>
      <c r="Q254" s="18"/>
      <c r="R254" s="18"/>
      <c r="S254" s="18"/>
    </row>
    <row r="255" spans="1:19" x14ac:dyDescent="0.2">
      <c r="A255" s="18"/>
      <c r="G255" s="21"/>
      <c r="H255" s="18"/>
      <c r="I255" s="18"/>
      <c r="J255" s="18"/>
      <c r="K255" s="18"/>
      <c r="L255" s="18"/>
      <c r="M255" s="18"/>
      <c r="N255" s="18"/>
      <c r="O255" s="18"/>
      <c r="P255" s="18"/>
      <c r="Q255" s="18"/>
      <c r="R255" s="18"/>
      <c r="S255" s="18"/>
    </row>
    <row r="256" spans="1:19" x14ac:dyDescent="0.2">
      <c r="A256" s="18"/>
      <c r="G256" s="21"/>
      <c r="H256" s="18"/>
      <c r="I256" s="18"/>
      <c r="J256" s="18"/>
      <c r="K256" s="18"/>
      <c r="L256" s="18"/>
      <c r="M256" s="18"/>
      <c r="N256" s="18"/>
      <c r="O256" s="18"/>
      <c r="P256" s="18"/>
      <c r="Q256" s="18"/>
      <c r="R256" s="18"/>
      <c r="S256" s="18"/>
    </row>
    <row r="257" spans="1:19" x14ac:dyDescent="0.2">
      <c r="A257" s="18"/>
      <c r="G257" s="21"/>
      <c r="H257" s="18"/>
      <c r="I257" s="18"/>
      <c r="J257" s="18"/>
      <c r="K257" s="18"/>
      <c r="L257" s="18"/>
      <c r="M257" s="18"/>
      <c r="N257" s="18"/>
      <c r="O257" s="18"/>
      <c r="P257" s="18"/>
      <c r="Q257" s="18"/>
      <c r="R257" s="18"/>
      <c r="S257" s="18"/>
    </row>
    <row r="258" spans="1:19" x14ac:dyDescent="0.2">
      <c r="A258" s="18"/>
      <c r="G258" s="21"/>
      <c r="H258" s="18"/>
      <c r="I258" s="18"/>
      <c r="J258" s="18"/>
      <c r="K258" s="18"/>
      <c r="L258" s="18"/>
      <c r="M258" s="18"/>
      <c r="N258" s="18"/>
      <c r="O258" s="18"/>
      <c r="P258" s="18"/>
      <c r="Q258" s="18"/>
      <c r="R258" s="18"/>
      <c r="S258" s="18"/>
    </row>
    <row r="259" spans="1:19" x14ac:dyDescent="0.2">
      <c r="A259" s="18"/>
      <c r="G259" s="21"/>
      <c r="H259" s="18"/>
      <c r="I259" s="18"/>
      <c r="J259" s="18"/>
      <c r="K259" s="18"/>
      <c r="L259" s="18"/>
      <c r="M259" s="18"/>
      <c r="N259" s="18"/>
      <c r="O259" s="18"/>
      <c r="P259" s="18"/>
      <c r="Q259" s="18"/>
      <c r="R259" s="18"/>
      <c r="S259" s="18"/>
    </row>
    <row r="260" spans="1:19" x14ac:dyDescent="0.2">
      <c r="A260" s="18"/>
      <c r="G260" s="21"/>
      <c r="H260" s="18"/>
      <c r="I260" s="18"/>
      <c r="J260" s="18"/>
      <c r="K260" s="18"/>
      <c r="L260" s="18"/>
      <c r="M260" s="18"/>
      <c r="N260" s="18"/>
      <c r="O260" s="18"/>
      <c r="P260" s="18"/>
      <c r="Q260" s="18"/>
      <c r="R260" s="18"/>
      <c r="S260" s="18"/>
    </row>
    <row r="261" spans="1:19" x14ac:dyDescent="0.2">
      <c r="A261" s="18"/>
      <c r="G261" s="21"/>
      <c r="H261" s="18"/>
      <c r="I261" s="18"/>
      <c r="J261" s="18"/>
      <c r="K261" s="18"/>
      <c r="L261" s="18"/>
      <c r="M261" s="18"/>
      <c r="N261" s="18"/>
      <c r="O261" s="18"/>
      <c r="P261" s="18"/>
      <c r="Q261" s="18"/>
      <c r="R261" s="18"/>
      <c r="S261" s="18"/>
    </row>
    <row r="262" spans="1:19" x14ac:dyDescent="0.2">
      <c r="A262" s="18"/>
      <c r="G262" s="21"/>
      <c r="H262" s="18"/>
      <c r="I262" s="18"/>
      <c r="J262" s="18"/>
      <c r="K262" s="18"/>
      <c r="L262" s="18"/>
      <c r="M262" s="18"/>
      <c r="N262" s="18"/>
      <c r="O262" s="18"/>
      <c r="P262" s="18"/>
      <c r="Q262" s="18"/>
      <c r="R262" s="18"/>
      <c r="S262" s="18"/>
    </row>
    <row r="263" spans="1:19" x14ac:dyDescent="0.2">
      <c r="A263" s="18"/>
      <c r="G263" s="21"/>
      <c r="H263" s="18"/>
      <c r="I263" s="18"/>
      <c r="J263" s="18"/>
      <c r="K263" s="18"/>
      <c r="L263" s="18"/>
      <c r="M263" s="18"/>
      <c r="N263" s="18"/>
      <c r="O263" s="18"/>
      <c r="P263" s="18"/>
      <c r="Q263" s="18"/>
      <c r="R263" s="18"/>
      <c r="S263" s="18"/>
    </row>
    <row r="264" spans="1:19" x14ac:dyDescent="0.2">
      <c r="A264" s="18"/>
      <c r="G264" s="21"/>
      <c r="H264" s="18"/>
      <c r="I264" s="18"/>
      <c r="J264" s="18"/>
      <c r="K264" s="18"/>
      <c r="L264" s="18"/>
      <c r="M264" s="18"/>
      <c r="N264" s="18"/>
      <c r="O264" s="18"/>
      <c r="P264" s="18"/>
      <c r="Q264" s="18"/>
      <c r="R264" s="18"/>
      <c r="S264" s="18"/>
    </row>
    <row r="265" spans="1:19" x14ac:dyDescent="0.2">
      <c r="A265" s="18"/>
      <c r="G265" s="21"/>
      <c r="H265" s="18"/>
      <c r="I265" s="18"/>
      <c r="J265" s="18"/>
      <c r="K265" s="18"/>
      <c r="L265" s="18"/>
      <c r="M265" s="18"/>
      <c r="N265" s="18"/>
      <c r="O265" s="18"/>
      <c r="P265" s="18"/>
      <c r="Q265" s="18"/>
      <c r="R265" s="18"/>
      <c r="S265" s="18"/>
    </row>
    <row r="266" spans="1:19" x14ac:dyDescent="0.2">
      <c r="A266" s="18"/>
      <c r="G266" s="21"/>
      <c r="H266" s="18"/>
      <c r="I266" s="18"/>
      <c r="J266" s="18"/>
      <c r="K266" s="18"/>
      <c r="L266" s="18"/>
      <c r="M266" s="18"/>
      <c r="N266" s="18"/>
      <c r="O266" s="18"/>
      <c r="P266" s="18"/>
      <c r="Q266" s="18"/>
      <c r="R266" s="18"/>
      <c r="S266" s="18"/>
    </row>
    <row r="267" spans="1:19" x14ac:dyDescent="0.2">
      <c r="A267" s="18"/>
      <c r="G267" s="21"/>
      <c r="H267" s="18"/>
      <c r="I267" s="18"/>
      <c r="J267" s="18"/>
      <c r="K267" s="18"/>
      <c r="L267" s="18"/>
      <c r="M267" s="18"/>
      <c r="N267" s="18"/>
      <c r="O267" s="18"/>
      <c r="P267" s="18"/>
      <c r="Q267" s="18"/>
      <c r="R267" s="18"/>
      <c r="S267" s="18"/>
    </row>
    <row r="268" spans="1:19" x14ac:dyDescent="0.2">
      <c r="A268" s="18"/>
      <c r="G268" s="21"/>
      <c r="H268" s="18"/>
      <c r="I268" s="18"/>
      <c r="J268" s="18"/>
      <c r="K268" s="18"/>
      <c r="L268" s="18"/>
      <c r="M268" s="18"/>
      <c r="N268" s="18"/>
      <c r="O268" s="18"/>
      <c r="P268" s="18"/>
      <c r="Q268" s="18"/>
      <c r="R268" s="18"/>
      <c r="S268" s="18"/>
    </row>
    <row r="269" spans="1:19" x14ac:dyDescent="0.2">
      <c r="A269" s="18"/>
      <c r="G269" s="21"/>
      <c r="H269" s="18"/>
      <c r="I269" s="18"/>
      <c r="J269" s="18"/>
      <c r="K269" s="18"/>
      <c r="L269" s="18"/>
      <c r="M269" s="18"/>
      <c r="N269" s="18"/>
      <c r="O269" s="18"/>
      <c r="P269" s="18"/>
      <c r="Q269" s="18"/>
      <c r="R269" s="18"/>
      <c r="S269" s="18"/>
    </row>
    <row r="270" spans="1:19" x14ac:dyDescent="0.2">
      <c r="A270" s="18"/>
      <c r="G270" s="21"/>
      <c r="H270" s="18"/>
      <c r="I270" s="18"/>
      <c r="J270" s="18"/>
      <c r="K270" s="18"/>
      <c r="L270" s="18"/>
      <c r="M270" s="18"/>
      <c r="N270" s="18"/>
      <c r="O270" s="18"/>
      <c r="P270" s="18"/>
      <c r="Q270" s="18"/>
      <c r="R270" s="18"/>
      <c r="S270" s="18"/>
    </row>
    <row r="271" spans="1:19" x14ac:dyDescent="0.2">
      <c r="A271" s="18"/>
      <c r="G271" s="21"/>
      <c r="H271" s="18"/>
      <c r="I271" s="18"/>
      <c r="J271" s="18"/>
      <c r="K271" s="18"/>
      <c r="L271" s="18"/>
      <c r="M271" s="18"/>
      <c r="N271" s="18"/>
      <c r="O271" s="18"/>
      <c r="P271" s="18"/>
      <c r="Q271" s="18"/>
      <c r="R271" s="18"/>
      <c r="S271" s="18"/>
    </row>
    <row r="272" spans="1:19" x14ac:dyDescent="0.2">
      <c r="A272" s="18"/>
      <c r="G272" s="21"/>
      <c r="H272" s="18"/>
      <c r="I272" s="18"/>
      <c r="J272" s="18"/>
      <c r="K272" s="18"/>
      <c r="L272" s="18"/>
      <c r="M272" s="18"/>
      <c r="N272" s="18"/>
      <c r="O272" s="18"/>
      <c r="P272" s="18"/>
      <c r="Q272" s="18"/>
      <c r="R272" s="18"/>
      <c r="S272" s="18"/>
    </row>
    <row r="273" spans="1:19" x14ac:dyDescent="0.2">
      <c r="A273" s="18"/>
      <c r="G273" s="21"/>
      <c r="H273" s="18"/>
      <c r="I273" s="18"/>
      <c r="J273" s="18"/>
      <c r="K273" s="18"/>
      <c r="L273" s="18"/>
      <c r="M273" s="18"/>
      <c r="N273" s="18"/>
      <c r="O273" s="18"/>
      <c r="P273" s="18"/>
      <c r="Q273" s="18"/>
      <c r="R273" s="18"/>
      <c r="S273" s="18"/>
    </row>
    <row r="274" spans="1:19" x14ac:dyDescent="0.2">
      <c r="A274" s="18"/>
      <c r="G274" s="21"/>
      <c r="H274" s="18"/>
      <c r="I274" s="18"/>
      <c r="J274" s="18"/>
      <c r="K274" s="18"/>
      <c r="L274" s="18"/>
      <c r="M274" s="18"/>
      <c r="N274" s="18"/>
      <c r="O274" s="18"/>
      <c r="P274" s="18"/>
      <c r="Q274" s="18"/>
      <c r="R274" s="18"/>
      <c r="S274" s="18"/>
    </row>
    <row r="275" spans="1:19" x14ac:dyDescent="0.2">
      <c r="A275" s="18"/>
      <c r="G275" s="21"/>
      <c r="H275" s="18"/>
      <c r="I275" s="18"/>
      <c r="J275" s="18"/>
      <c r="K275" s="18"/>
      <c r="L275" s="18"/>
      <c r="M275" s="18"/>
      <c r="N275" s="18"/>
      <c r="O275" s="18"/>
      <c r="P275" s="18"/>
      <c r="Q275" s="18"/>
      <c r="R275" s="18"/>
      <c r="S275" s="18"/>
    </row>
    <row r="276" spans="1:19" x14ac:dyDescent="0.2">
      <c r="A276" s="18"/>
      <c r="G276" s="21"/>
      <c r="H276" s="18"/>
      <c r="I276" s="18"/>
      <c r="J276" s="18"/>
      <c r="K276" s="18"/>
      <c r="L276" s="18"/>
      <c r="M276" s="18"/>
      <c r="N276" s="18"/>
      <c r="O276" s="18"/>
      <c r="P276" s="18"/>
      <c r="Q276" s="18"/>
      <c r="R276" s="18"/>
      <c r="S276" s="18"/>
    </row>
    <row r="277" spans="1:19" x14ac:dyDescent="0.2">
      <c r="A277" s="18"/>
      <c r="G277" s="21"/>
      <c r="H277" s="18"/>
      <c r="I277" s="18"/>
      <c r="J277" s="18"/>
      <c r="K277" s="18"/>
      <c r="L277" s="18"/>
      <c r="M277" s="18"/>
      <c r="N277" s="18"/>
      <c r="O277" s="18"/>
      <c r="P277" s="18"/>
      <c r="Q277" s="18"/>
      <c r="R277" s="18"/>
      <c r="S277" s="18"/>
    </row>
    <row r="278" spans="1:19" x14ac:dyDescent="0.2">
      <c r="A278" s="18"/>
      <c r="G278" s="21"/>
      <c r="H278" s="18"/>
      <c r="I278" s="18"/>
      <c r="J278" s="18"/>
      <c r="K278" s="18"/>
      <c r="L278" s="18"/>
      <c r="M278" s="18"/>
      <c r="N278" s="18"/>
      <c r="O278" s="18"/>
      <c r="P278" s="18"/>
      <c r="Q278" s="18"/>
      <c r="R278" s="18"/>
      <c r="S278" s="18"/>
    </row>
    <row r="279" spans="1:19" x14ac:dyDescent="0.2">
      <c r="A279" s="18"/>
      <c r="G279" s="21"/>
      <c r="H279" s="18"/>
      <c r="I279" s="18"/>
      <c r="J279" s="18"/>
      <c r="K279" s="18"/>
      <c r="L279" s="18"/>
      <c r="M279" s="18"/>
      <c r="N279" s="18"/>
      <c r="O279" s="18"/>
      <c r="P279" s="18"/>
      <c r="Q279" s="18"/>
      <c r="R279" s="18"/>
      <c r="S279" s="18"/>
    </row>
    <row r="280" spans="1:19" x14ac:dyDescent="0.2">
      <c r="A280" s="18"/>
      <c r="G280" s="21"/>
      <c r="H280" s="18"/>
      <c r="I280" s="18"/>
      <c r="J280" s="18"/>
      <c r="K280" s="18"/>
      <c r="L280" s="18"/>
      <c r="M280" s="18"/>
      <c r="N280" s="18"/>
      <c r="O280" s="18"/>
      <c r="P280" s="18"/>
      <c r="Q280" s="18"/>
      <c r="R280" s="18"/>
      <c r="S280" s="18"/>
    </row>
    <row r="281" spans="1:19" x14ac:dyDescent="0.2">
      <c r="A281" s="18"/>
      <c r="G281" s="21"/>
      <c r="H281" s="18"/>
      <c r="I281" s="18"/>
      <c r="J281" s="18"/>
      <c r="K281" s="18"/>
      <c r="L281" s="18"/>
      <c r="M281" s="18"/>
      <c r="N281" s="18"/>
      <c r="O281" s="18"/>
      <c r="P281" s="18"/>
      <c r="Q281" s="18"/>
      <c r="R281" s="18"/>
      <c r="S281" s="18"/>
    </row>
    <row r="282" spans="1:19" x14ac:dyDescent="0.2">
      <c r="A282" s="18"/>
      <c r="G282" s="21"/>
      <c r="H282" s="18"/>
      <c r="I282" s="18"/>
      <c r="J282" s="18"/>
      <c r="K282" s="18"/>
      <c r="L282" s="18"/>
      <c r="M282" s="18"/>
      <c r="N282" s="18"/>
      <c r="O282" s="18"/>
      <c r="P282" s="18"/>
      <c r="Q282" s="18"/>
      <c r="R282" s="18"/>
      <c r="S282" s="18"/>
    </row>
    <row r="283" spans="1:19" x14ac:dyDescent="0.2">
      <c r="A283" s="18"/>
      <c r="G283" s="21"/>
      <c r="H283" s="18"/>
      <c r="I283" s="18"/>
      <c r="J283" s="18"/>
      <c r="K283" s="18"/>
      <c r="L283" s="18"/>
      <c r="M283" s="18"/>
      <c r="N283" s="18"/>
      <c r="O283" s="18"/>
      <c r="P283" s="18"/>
      <c r="Q283" s="18"/>
      <c r="R283" s="18"/>
      <c r="S283" s="18"/>
    </row>
    <row r="284" spans="1:19" x14ac:dyDescent="0.2">
      <c r="A284" s="18"/>
      <c r="G284" s="21"/>
      <c r="H284" s="18"/>
      <c r="I284" s="18"/>
      <c r="J284" s="18"/>
      <c r="K284" s="18"/>
      <c r="L284" s="18"/>
      <c r="M284" s="18"/>
      <c r="N284" s="18"/>
      <c r="O284" s="18"/>
      <c r="P284" s="18"/>
      <c r="Q284" s="18"/>
      <c r="R284" s="18"/>
      <c r="S284" s="18"/>
    </row>
    <row r="285" spans="1:19" x14ac:dyDescent="0.2">
      <c r="A285" s="18"/>
      <c r="G285" s="21"/>
      <c r="H285" s="18"/>
      <c r="I285" s="18"/>
      <c r="J285" s="18"/>
      <c r="K285" s="18"/>
      <c r="L285" s="18"/>
      <c r="M285" s="18"/>
      <c r="N285" s="18"/>
      <c r="O285" s="18"/>
      <c r="P285" s="18"/>
      <c r="Q285" s="18"/>
      <c r="R285" s="18"/>
      <c r="S285" s="18"/>
    </row>
    <row r="286" spans="1:19" x14ac:dyDescent="0.2">
      <c r="A286" s="18"/>
      <c r="G286" s="21"/>
      <c r="H286" s="18"/>
      <c r="I286" s="18"/>
      <c r="J286" s="18"/>
      <c r="K286" s="18"/>
      <c r="L286" s="18"/>
      <c r="M286" s="18"/>
      <c r="N286" s="18"/>
      <c r="O286" s="18"/>
      <c r="P286" s="18"/>
      <c r="Q286" s="18"/>
      <c r="R286" s="18"/>
      <c r="S286" s="18"/>
    </row>
    <row r="287" spans="1:19" x14ac:dyDescent="0.2">
      <c r="A287" s="18"/>
      <c r="G287" s="21"/>
      <c r="H287" s="18"/>
      <c r="I287" s="18"/>
      <c r="J287" s="18"/>
      <c r="K287" s="18"/>
      <c r="L287" s="18"/>
      <c r="M287" s="18"/>
      <c r="N287" s="18"/>
      <c r="O287" s="18"/>
      <c r="P287" s="18"/>
      <c r="Q287" s="18"/>
      <c r="R287" s="18"/>
      <c r="S287" s="18"/>
    </row>
    <row r="288" spans="1:19" x14ac:dyDescent="0.2">
      <c r="A288" s="18"/>
      <c r="G288" s="21"/>
      <c r="H288" s="18"/>
      <c r="I288" s="18"/>
      <c r="J288" s="18"/>
      <c r="K288" s="18"/>
      <c r="L288" s="18"/>
      <c r="M288" s="18"/>
      <c r="N288" s="18"/>
      <c r="O288" s="18"/>
      <c r="P288" s="18"/>
      <c r="Q288" s="18"/>
      <c r="R288" s="18"/>
      <c r="S288" s="18"/>
    </row>
    <row r="289" spans="1:19" x14ac:dyDescent="0.2">
      <c r="A289" s="18"/>
      <c r="G289" s="21"/>
      <c r="H289" s="18"/>
      <c r="I289" s="18"/>
      <c r="J289" s="18"/>
      <c r="K289" s="18"/>
      <c r="L289" s="18"/>
      <c r="M289" s="18"/>
      <c r="N289" s="18"/>
      <c r="O289" s="18"/>
      <c r="P289" s="18"/>
      <c r="Q289" s="18"/>
      <c r="R289" s="18"/>
      <c r="S289" s="18"/>
    </row>
    <row r="290" spans="1:19" x14ac:dyDescent="0.2">
      <c r="A290" s="18"/>
      <c r="G290" s="21"/>
      <c r="H290" s="18"/>
      <c r="I290" s="18"/>
      <c r="J290" s="18"/>
      <c r="K290" s="18"/>
      <c r="L290" s="18"/>
      <c r="M290" s="18"/>
      <c r="N290" s="18"/>
      <c r="O290" s="18"/>
      <c r="P290" s="18"/>
      <c r="Q290" s="18"/>
      <c r="R290" s="18"/>
      <c r="S290" s="18"/>
    </row>
    <row r="291" spans="1:19" x14ac:dyDescent="0.2">
      <c r="A291" s="18"/>
      <c r="G291" s="21"/>
      <c r="H291" s="18"/>
      <c r="I291" s="18"/>
      <c r="J291" s="18"/>
      <c r="K291" s="18"/>
      <c r="L291" s="18"/>
      <c r="M291" s="18"/>
      <c r="N291" s="18"/>
      <c r="O291" s="18"/>
      <c r="P291" s="18"/>
      <c r="Q291" s="18"/>
      <c r="R291" s="18"/>
      <c r="S291" s="18"/>
    </row>
    <row r="292" spans="1:19" x14ac:dyDescent="0.2">
      <c r="A292" s="18"/>
      <c r="G292" s="21"/>
      <c r="H292" s="18"/>
      <c r="I292" s="18"/>
      <c r="J292" s="18"/>
      <c r="K292" s="18"/>
      <c r="L292" s="18"/>
      <c r="M292" s="18"/>
      <c r="N292" s="18"/>
      <c r="O292" s="18"/>
      <c r="P292" s="18"/>
      <c r="Q292" s="18"/>
      <c r="R292" s="18"/>
      <c r="S292" s="18"/>
    </row>
    <row r="293" spans="1:19" x14ac:dyDescent="0.2">
      <c r="A293" s="18"/>
      <c r="G293" s="21"/>
      <c r="H293" s="18"/>
      <c r="I293" s="18"/>
      <c r="J293" s="18"/>
      <c r="K293" s="18"/>
      <c r="L293" s="18"/>
      <c r="M293" s="18"/>
      <c r="N293" s="18"/>
      <c r="O293" s="18"/>
      <c r="P293" s="18"/>
      <c r="Q293" s="18"/>
      <c r="R293" s="18"/>
      <c r="S293" s="18"/>
    </row>
    <row r="294" spans="1:19" x14ac:dyDescent="0.2">
      <c r="A294" s="18"/>
      <c r="G294" s="21"/>
      <c r="H294" s="18"/>
      <c r="I294" s="18"/>
      <c r="J294" s="18"/>
      <c r="K294" s="18"/>
      <c r="L294" s="18"/>
      <c r="M294" s="18"/>
      <c r="N294" s="18"/>
      <c r="O294" s="18"/>
      <c r="P294" s="18"/>
      <c r="Q294" s="18"/>
      <c r="R294" s="18"/>
      <c r="S294" s="18"/>
    </row>
    <row r="295" spans="1:19" x14ac:dyDescent="0.2">
      <c r="A295" s="18"/>
      <c r="G295" s="21"/>
      <c r="H295" s="18"/>
      <c r="I295" s="18"/>
      <c r="J295" s="18"/>
      <c r="K295" s="18"/>
      <c r="L295" s="18"/>
      <c r="M295" s="18"/>
      <c r="N295" s="18"/>
      <c r="O295" s="18"/>
      <c r="P295" s="18"/>
      <c r="Q295" s="18"/>
      <c r="R295" s="18"/>
      <c r="S295" s="18"/>
    </row>
    <row r="296" spans="1:19" x14ac:dyDescent="0.2">
      <c r="A296" s="18"/>
      <c r="G296" s="21"/>
      <c r="H296" s="18"/>
      <c r="I296" s="18"/>
      <c r="J296" s="18"/>
      <c r="K296" s="18"/>
      <c r="L296" s="18"/>
      <c r="M296" s="18"/>
      <c r="N296" s="18"/>
      <c r="O296" s="18"/>
      <c r="P296" s="18"/>
      <c r="Q296" s="18"/>
      <c r="R296" s="18"/>
      <c r="S296" s="18"/>
    </row>
    <row r="297" spans="1:19" x14ac:dyDescent="0.2">
      <c r="A297" s="18"/>
      <c r="G297" s="21"/>
      <c r="H297" s="18"/>
      <c r="I297" s="18"/>
      <c r="J297" s="18"/>
      <c r="K297" s="18"/>
      <c r="L297" s="18"/>
      <c r="M297" s="18"/>
      <c r="N297" s="18"/>
      <c r="O297" s="18"/>
      <c r="P297" s="18"/>
      <c r="Q297" s="18"/>
      <c r="R297" s="18"/>
      <c r="S297" s="18"/>
    </row>
    <row r="298" spans="1:19" x14ac:dyDescent="0.2">
      <c r="A298" s="18"/>
      <c r="G298" s="21"/>
      <c r="H298" s="18"/>
      <c r="I298" s="18"/>
      <c r="J298" s="18"/>
      <c r="K298" s="18"/>
      <c r="L298" s="18"/>
      <c r="M298" s="18"/>
      <c r="N298" s="18"/>
      <c r="O298" s="18"/>
      <c r="P298" s="18"/>
      <c r="Q298" s="18"/>
      <c r="R298" s="18"/>
      <c r="S298" s="18"/>
    </row>
    <row r="299" spans="1:19" x14ac:dyDescent="0.2">
      <c r="A299" s="18"/>
      <c r="G299" s="21"/>
      <c r="H299" s="18"/>
      <c r="I299" s="18"/>
      <c r="J299" s="18"/>
      <c r="K299" s="18"/>
      <c r="L299" s="18"/>
      <c r="M299" s="18"/>
      <c r="N299" s="18"/>
      <c r="O299" s="18"/>
      <c r="P299" s="18"/>
      <c r="Q299" s="18"/>
      <c r="R299" s="18"/>
      <c r="S299" s="18"/>
    </row>
    <row r="300" spans="1:19" x14ac:dyDescent="0.2">
      <c r="A300" s="18"/>
      <c r="G300" s="21"/>
      <c r="H300" s="18"/>
      <c r="I300" s="18"/>
      <c r="J300" s="18"/>
      <c r="K300" s="18"/>
      <c r="L300" s="18"/>
      <c r="M300" s="18"/>
      <c r="N300" s="18"/>
      <c r="O300" s="18"/>
      <c r="P300" s="18"/>
      <c r="Q300" s="18"/>
      <c r="R300" s="18"/>
      <c r="S300" s="18"/>
    </row>
    <row r="301" spans="1:19" x14ac:dyDescent="0.2">
      <c r="A301" s="18"/>
      <c r="G301" s="21"/>
      <c r="H301" s="18"/>
      <c r="I301" s="18"/>
      <c r="J301" s="18"/>
      <c r="K301" s="18"/>
      <c r="L301" s="18"/>
      <c r="M301" s="18"/>
      <c r="N301" s="18"/>
      <c r="O301" s="18"/>
      <c r="P301" s="18"/>
      <c r="Q301" s="18"/>
      <c r="R301" s="18"/>
      <c r="S301" s="18"/>
    </row>
    <row r="302" spans="1:19" x14ac:dyDescent="0.2">
      <c r="A302" s="18"/>
      <c r="G302" s="21"/>
      <c r="H302" s="18"/>
      <c r="I302" s="18"/>
      <c r="J302" s="18"/>
      <c r="K302" s="18"/>
      <c r="L302" s="18"/>
      <c r="M302" s="18"/>
      <c r="N302" s="18"/>
      <c r="O302" s="18"/>
      <c r="P302" s="18"/>
      <c r="Q302" s="18"/>
      <c r="R302" s="18"/>
      <c r="S302" s="18"/>
    </row>
    <row r="303" spans="1:19" x14ac:dyDescent="0.2">
      <c r="A303" s="18"/>
      <c r="G303" s="21"/>
      <c r="H303" s="18"/>
      <c r="I303" s="18"/>
      <c r="J303" s="18"/>
      <c r="K303" s="18"/>
      <c r="L303" s="18"/>
      <c r="M303" s="18"/>
      <c r="N303" s="18"/>
      <c r="O303" s="18"/>
      <c r="P303" s="18"/>
      <c r="Q303" s="18"/>
      <c r="R303" s="18"/>
      <c r="S303" s="18"/>
    </row>
    <row r="304" spans="1:19" x14ac:dyDescent="0.2">
      <c r="A304" s="18"/>
      <c r="G304" s="21"/>
      <c r="H304" s="18"/>
      <c r="I304" s="18"/>
      <c r="J304" s="18"/>
      <c r="K304" s="18"/>
      <c r="L304" s="18"/>
      <c r="M304" s="18"/>
      <c r="N304" s="18"/>
      <c r="O304" s="18"/>
      <c r="P304" s="18"/>
      <c r="Q304" s="18"/>
      <c r="R304" s="18"/>
      <c r="S304" s="18"/>
    </row>
    <row r="305" spans="1:19" x14ac:dyDescent="0.2">
      <c r="A305" s="18"/>
      <c r="G305" s="21"/>
      <c r="H305" s="18"/>
      <c r="I305" s="18"/>
      <c r="J305" s="18"/>
      <c r="K305" s="18"/>
      <c r="L305" s="18"/>
      <c r="M305" s="18"/>
      <c r="N305" s="18"/>
      <c r="O305" s="18"/>
      <c r="P305" s="18"/>
      <c r="Q305" s="18"/>
      <c r="R305" s="18"/>
      <c r="S305" s="18"/>
    </row>
    <row r="306" spans="1:19" x14ac:dyDescent="0.2">
      <c r="A306" s="18"/>
      <c r="G306" s="21"/>
      <c r="H306" s="18"/>
      <c r="I306" s="18"/>
      <c r="J306" s="18"/>
      <c r="K306" s="18"/>
      <c r="L306" s="18"/>
      <c r="M306" s="18"/>
      <c r="N306" s="18"/>
      <c r="O306" s="18"/>
      <c r="P306" s="18"/>
      <c r="Q306" s="18"/>
      <c r="R306" s="18"/>
      <c r="S306" s="18"/>
    </row>
    <row r="307" spans="1:19" x14ac:dyDescent="0.2">
      <c r="A307" s="18"/>
      <c r="G307" s="21"/>
      <c r="H307" s="18"/>
      <c r="I307" s="18"/>
      <c r="J307" s="18"/>
      <c r="K307" s="18"/>
      <c r="L307" s="18"/>
      <c r="M307" s="18"/>
      <c r="N307" s="18"/>
      <c r="O307" s="18"/>
      <c r="P307" s="18"/>
      <c r="Q307" s="18"/>
      <c r="R307" s="18"/>
      <c r="S307" s="18"/>
    </row>
    <row r="308" spans="1:19" x14ac:dyDescent="0.2">
      <c r="A308" s="18"/>
      <c r="G308" s="21"/>
      <c r="H308" s="18"/>
      <c r="I308" s="18"/>
      <c r="J308" s="18"/>
      <c r="K308" s="18"/>
      <c r="L308" s="18"/>
      <c r="M308" s="18"/>
      <c r="N308" s="18"/>
      <c r="O308" s="18"/>
      <c r="P308" s="18"/>
      <c r="Q308" s="18"/>
      <c r="R308" s="18"/>
      <c r="S308" s="18"/>
    </row>
    <row r="309" spans="1:19" x14ac:dyDescent="0.2">
      <c r="A309" s="18"/>
      <c r="G309" s="21"/>
      <c r="H309" s="18"/>
      <c r="I309" s="18"/>
      <c r="J309" s="18"/>
      <c r="K309" s="18"/>
      <c r="L309" s="18"/>
      <c r="M309" s="18"/>
      <c r="N309" s="18"/>
      <c r="O309" s="18"/>
      <c r="P309" s="18"/>
      <c r="Q309" s="18"/>
      <c r="R309" s="18"/>
      <c r="S309" s="18"/>
    </row>
    <row r="310" spans="1:19" x14ac:dyDescent="0.2">
      <c r="A310" s="18"/>
      <c r="G310" s="21"/>
      <c r="H310" s="18"/>
      <c r="I310" s="18"/>
      <c r="J310" s="18"/>
      <c r="K310" s="18"/>
      <c r="L310" s="18"/>
      <c r="M310" s="18"/>
      <c r="N310" s="18"/>
      <c r="O310" s="18"/>
      <c r="P310" s="18"/>
      <c r="Q310" s="18"/>
      <c r="R310" s="18"/>
      <c r="S310" s="18"/>
    </row>
    <row r="311" spans="1:19" x14ac:dyDescent="0.2">
      <c r="A311" s="18"/>
      <c r="G311" s="21"/>
      <c r="H311" s="18"/>
      <c r="I311" s="18"/>
      <c r="J311" s="18"/>
      <c r="K311" s="18"/>
      <c r="L311" s="18"/>
      <c r="M311" s="18"/>
      <c r="N311" s="18"/>
      <c r="O311" s="18"/>
      <c r="P311" s="18"/>
      <c r="Q311" s="18"/>
      <c r="R311" s="18"/>
      <c r="S311" s="18"/>
    </row>
    <row r="312" spans="1:19" x14ac:dyDescent="0.2">
      <c r="A312" s="18"/>
      <c r="G312" s="21"/>
      <c r="H312" s="18"/>
      <c r="I312" s="18"/>
      <c r="J312" s="18"/>
      <c r="K312" s="18"/>
      <c r="L312" s="18"/>
      <c r="M312" s="18"/>
      <c r="N312" s="18"/>
      <c r="O312" s="18"/>
      <c r="P312" s="18"/>
      <c r="Q312" s="18"/>
      <c r="R312" s="18"/>
      <c r="S312" s="18"/>
    </row>
    <row r="313" spans="1:19" x14ac:dyDescent="0.2">
      <c r="A313" s="18"/>
      <c r="G313" s="21"/>
      <c r="H313" s="18"/>
      <c r="I313" s="18"/>
      <c r="J313" s="18"/>
      <c r="K313" s="18"/>
      <c r="L313" s="18"/>
      <c r="M313" s="18"/>
      <c r="N313" s="18"/>
      <c r="O313" s="18"/>
      <c r="P313" s="18"/>
      <c r="Q313" s="18"/>
      <c r="R313" s="18"/>
      <c r="S313" s="18"/>
    </row>
    <row r="314" spans="1:19" x14ac:dyDescent="0.2">
      <c r="A314" s="18"/>
      <c r="G314" s="21"/>
      <c r="H314" s="18"/>
      <c r="I314" s="18"/>
      <c r="J314" s="18"/>
      <c r="K314" s="18"/>
      <c r="L314" s="18"/>
      <c r="M314" s="18"/>
      <c r="N314" s="18"/>
      <c r="O314" s="18"/>
      <c r="P314" s="18"/>
      <c r="Q314" s="18"/>
      <c r="R314" s="18"/>
      <c r="S314" s="18"/>
    </row>
    <row r="315" spans="1:19" x14ac:dyDescent="0.2">
      <c r="A315" s="18"/>
      <c r="G315" s="21"/>
      <c r="H315" s="18"/>
      <c r="I315" s="18"/>
      <c r="J315" s="18"/>
      <c r="K315" s="18"/>
      <c r="L315" s="18"/>
      <c r="M315" s="18"/>
      <c r="N315" s="18"/>
      <c r="O315" s="18"/>
      <c r="P315" s="18"/>
      <c r="Q315" s="18"/>
      <c r="R315" s="18"/>
      <c r="S315" s="18"/>
    </row>
    <row r="316" spans="1:19" x14ac:dyDescent="0.2">
      <c r="A316" s="18"/>
      <c r="G316" s="21"/>
      <c r="H316" s="18"/>
      <c r="I316" s="18"/>
      <c r="J316" s="18"/>
      <c r="K316" s="18"/>
      <c r="L316" s="18"/>
      <c r="M316" s="18"/>
      <c r="N316" s="18"/>
      <c r="O316" s="18"/>
      <c r="P316" s="18"/>
      <c r="Q316" s="18"/>
      <c r="R316" s="18"/>
      <c r="S316" s="18"/>
    </row>
    <row r="317" spans="1:19" x14ac:dyDescent="0.2">
      <c r="A317" s="18"/>
      <c r="G317" s="21"/>
      <c r="H317" s="18"/>
      <c r="I317" s="18"/>
      <c r="J317" s="18"/>
      <c r="K317" s="18"/>
      <c r="L317" s="18"/>
      <c r="M317" s="18"/>
      <c r="N317" s="18"/>
      <c r="O317" s="18"/>
      <c r="P317" s="18"/>
      <c r="Q317" s="18"/>
      <c r="R317" s="18"/>
      <c r="S317" s="18"/>
    </row>
    <row r="318" spans="1:19" x14ac:dyDescent="0.2">
      <c r="A318" s="18"/>
      <c r="G318" s="21"/>
      <c r="H318" s="18"/>
      <c r="I318" s="18"/>
      <c r="J318" s="18"/>
      <c r="K318" s="18"/>
      <c r="L318" s="18"/>
      <c r="M318" s="18"/>
      <c r="N318" s="18"/>
      <c r="O318" s="18"/>
      <c r="P318" s="18"/>
      <c r="Q318" s="18"/>
      <c r="R318" s="18"/>
      <c r="S318" s="18"/>
    </row>
    <row r="319" spans="1:19" x14ac:dyDescent="0.2">
      <c r="A319" s="18"/>
      <c r="G319" s="21"/>
      <c r="H319" s="18"/>
      <c r="I319" s="18"/>
      <c r="J319" s="18"/>
      <c r="K319" s="18"/>
      <c r="L319" s="18"/>
      <c r="M319" s="18"/>
      <c r="N319" s="18"/>
      <c r="O319" s="18"/>
      <c r="P319" s="18"/>
      <c r="Q319" s="18"/>
      <c r="R319" s="18"/>
      <c r="S319" s="18"/>
    </row>
    <row r="320" spans="1:19" x14ac:dyDescent="0.2">
      <c r="A320" s="18"/>
      <c r="G320" s="21"/>
      <c r="H320" s="18"/>
      <c r="I320" s="18"/>
      <c r="J320" s="18"/>
      <c r="K320" s="18"/>
      <c r="L320" s="18"/>
      <c r="M320" s="18"/>
      <c r="N320" s="18"/>
      <c r="O320" s="18"/>
      <c r="P320" s="18"/>
      <c r="Q320" s="18"/>
      <c r="R320" s="18"/>
      <c r="S320" s="18"/>
    </row>
    <row r="321" spans="1:19" x14ac:dyDescent="0.2">
      <c r="A321" s="18"/>
      <c r="G321" s="21"/>
      <c r="H321" s="18"/>
      <c r="I321" s="18"/>
      <c r="J321" s="18"/>
      <c r="K321" s="18"/>
      <c r="L321" s="18"/>
      <c r="M321" s="18"/>
      <c r="N321" s="18"/>
      <c r="O321" s="18"/>
      <c r="P321" s="18"/>
      <c r="Q321" s="18"/>
      <c r="R321" s="18"/>
      <c r="S321" s="18"/>
    </row>
    <row r="322" spans="1:19" x14ac:dyDescent="0.2">
      <c r="A322" s="18"/>
      <c r="G322" s="21"/>
      <c r="H322" s="18"/>
      <c r="I322" s="18"/>
      <c r="J322" s="18"/>
      <c r="K322" s="18"/>
      <c r="L322" s="18"/>
      <c r="M322" s="18"/>
      <c r="N322" s="18"/>
      <c r="O322" s="18"/>
      <c r="P322" s="18"/>
      <c r="Q322" s="18"/>
      <c r="R322" s="18"/>
      <c r="S322" s="18"/>
    </row>
    <row r="323" spans="1:19" x14ac:dyDescent="0.2">
      <c r="A323" s="18"/>
      <c r="G323" s="21"/>
      <c r="H323" s="18"/>
      <c r="I323" s="18"/>
      <c r="J323" s="18"/>
      <c r="K323" s="18"/>
      <c r="L323" s="18"/>
      <c r="M323" s="18"/>
      <c r="N323" s="18"/>
      <c r="O323" s="18"/>
      <c r="P323" s="18"/>
      <c r="Q323" s="18"/>
      <c r="R323" s="18"/>
      <c r="S323" s="18"/>
    </row>
    <row r="324" spans="1:19" x14ac:dyDescent="0.2">
      <c r="A324" s="18"/>
      <c r="G324" s="21"/>
      <c r="H324" s="18"/>
      <c r="I324" s="18"/>
      <c r="J324" s="18"/>
      <c r="K324" s="18"/>
      <c r="L324" s="18"/>
      <c r="M324" s="18"/>
      <c r="N324" s="18"/>
      <c r="O324" s="18"/>
      <c r="P324" s="18"/>
      <c r="Q324" s="18"/>
      <c r="R324" s="18"/>
      <c r="S324" s="18"/>
    </row>
    <row r="325" spans="1:19" x14ac:dyDescent="0.2">
      <c r="A325" s="18"/>
      <c r="G325" s="21"/>
      <c r="H325" s="18"/>
      <c r="I325" s="18"/>
      <c r="J325" s="18"/>
      <c r="K325" s="18"/>
      <c r="L325" s="18"/>
      <c r="M325" s="18"/>
      <c r="N325" s="18"/>
      <c r="O325" s="18"/>
      <c r="P325" s="18"/>
      <c r="Q325" s="18"/>
      <c r="R325" s="18"/>
      <c r="S325" s="18"/>
    </row>
    <row r="326" spans="1:19" x14ac:dyDescent="0.2">
      <c r="A326" s="18"/>
      <c r="G326" s="21"/>
      <c r="H326" s="18"/>
      <c r="I326" s="18"/>
      <c r="J326" s="18"/>
      <c r="K326" s="18"/>
      <c r="L326" s="18"/>
      <c r="M326" s="18"/>
      <c r="N326" s="18"/>
      <c r="O326" s="18"/>
      <c r="P326" s="18"/>
      <c r="Q326" s="18"/>
      <c r="R326" s="18"/>
      <c r="S326" s="18"/>
    </row>
    <row r="327" spans="1:19" x14ac:dyDescent="0.2">
      <c r="A327" s="18"/>
      <c r="G327" s="21"/>
      <c r="H327" s="18"/>
      <c r="I327" s="18"/>
      <c r="J327" s="18"/>
      <c r="K327" s="18"/>
      <c r="L327" s="18"/>
      <c r="M327" s="18"/>
      <c r="N327" s="18"/>
      <c r="O327" s="18"/>
      <c r="P327" s="18"/>
      <c r="Q327" s="18"/>
      <c r="R327" s="18"/>
      <c r="S327" s="18"/>
    </row>
    <row r="328" spans="1:19" x14ac:dyDescent="0.2">
      <c r="A328" s="18"/>
      <c r="G328" s="21"/>
      <c r="H328" s="18"/>
      <c r="I328" s="18"/>
      <c r="J328" s="18"/>
      <c r="K328" s="18"/>
      <c r="L328" s="18"/>
      <c r="M328" s="18"/>
      <c r="N328" s="18"/>
      <c r="O328" s="18"/>
      <c r="P328" s="18"/>
      <c r="Q328" s="18"/>
      <c r="R328" s="18"/>
      <c r="S328" s="18"/>
    </row>
    <row r="329" spans="1:19" x14ac:dyDescent="0.2">
      <c r="A329" s="18"/>
      <c r="G329" s="21"/>
      <c r="H329" s="18"/>
      <c r="I329" s="18"/>
      <c r="J329" s="18"/>
      <c r="K329" s="18"/>
      <c r="L329" s="18"/>
      <c r="M329" s="18"/>
      <c r="N329" s="18"/>
      <c r="O329" s="18"/>
      <c r="P329" s="18"/>
      <c r="Q329" s="18"/>
      <c r="R329" s="18"/>
      <c r="S329" s="18"/>
    </row>
    <row r="330" spans="1:19" x14ac:dyDescent="0.2">
      <c r="A330" s="18"/>
      <c r="G330" s="21"/>
      <c r="H330" s="18"/>
      <c r="I330" s="18"/>
      <c r="J330" s="18"/>
      <c r="K330" s="18"/>
      <c r="L330" s="18"/>
      <c r="M330" s="18"/>
      <c r="N330" s="18"/>
      <c r="O330" s="18"/>
      <c r="P330" s="18"/>
      <c r="Q330" s="18"/>
      <c r="R330" s="18"/>
      <c r="S330" s="18"/>
    </row>
    <row r="331" spans="1:19" x14ac:dyDescent="0.2">
      <c r="A331" s="18"/>
      <c r="G331" s="21"/>
      <c r="H331" s="18"/>
      <c r="I331" s="18"/>
      <c r="J331" s="18"/>
      <c r="K331" s="18"/>
      <c r="L331" s="18"/>
      <c r="M331" s="18"/>
      <c r="N331" s="18"/>
      <c r="O331" s="18"/>
      <c r="P331" s="18"/>
      <c r="Q331" s="18"/>
      <c r="R331" s="18"/>
      <c r="S331" s="18"/>
    </row>
    <row r="332" spans="1:19" x14ac:dyDescent="0.2">
      <c r="A332" s="18"/>
      <c r="G332" s="21"/>
      <c r="H332" s="18"/>
      <c r="I332" s="18"/>
      <c r="J332" s="18"/>
      <c r="K332" s="18"/>
      <c r="L332" s="18"/>
      <c r="M332" s="18"/>
      <c r="N332" s="18"/>
      <c r="O332" s="18"/>
      <c r="P332" s="18"/>
      <c r="Q332" s="18"/>
      <c r="R332" s="18"/>
      <c r="S332" s="18"/>
    </row>
    <row r="333" spans="1:19" x14ac:dyDescent="0.2">
      <c r="A333" s="18"/>
      <c r="G333" s="21"/>
      <c r="H333" s="18"/>
      <c r="I333" s="18"/>
      <c r="J333" s="18"/>
      <c r="K333" s="18"/>
      <c r="L333" s="18"/>
      <c r="M333" s="18"/>
      <c r="N333" s="18"/>
      <c r="O333" s="18"/>
      <c r="P333" s="18"/>
      <c r="Q333" s="18"/>
      <c r="R333" s="18"/>
      <c r="S333" s="18"/>
    </row>
    <row r="334" spans="1:19" x14ac:dyDescent="0.2">
      <c r="A334" s="18"/>
      <c r="G334" s="21"/>
      <c r="H334" s="18"/>
      <c r="I334" s="18"/>
      <c r="J334" s="18"/>
      <c r="K334" s="18"/>
      <c r="L334" s="18"/>
      <c r="M334" s="18"/>
      <c r="N334" s="18"/>
      <c r="O334" s="18"/>
      <c r="P334" s="18"/>
      <c r="Q334" s="18"/>
      <c r="R334" s="18"/>
      <c r="S334" s="18"/>
    </row>
    <row r="335" spans="1:19" x14ac:dyDescent="0.2">
      <c r="A335" s="18"/>
      <c r="G335" s="21"/>
      <c r="H335" s="18"/>
      <c r="I335" s="18"/>
      <c r="J335" s="18"/>
      <c r="K335" s="18"/>
      <c r="L335" s="18"/>
      <c r="M335" s="18"/>
      <c r="N335" s="18"/>
      <c r="O335" s="18"/>
      <c r="P335" s="18"/>
      <c r="Q335" s="18"/>
      <c r="R335" s="18"/>
      <c r="S335" s="18"/>
    </row>
    <row r="336" spans="1:19" x14ac:dyDescent="0.2">
      <c r="A336" s="18"/>
      <c r="G336" s="21"/>
      <c r="H336" s="18"/>
      <c r="I336" s="18"/>
      <c r="J336" s="18"/>
      <c r="K336" s="18"/>
      <c r="L336" s="18"/>
      <c r="M336" s="18"/>
      <c r="N336" s="18"/>
      <c r="O336" s="18"/>
      <c r="P336" s="18"/>
      <c r="Q336" s="18"/>
      <c r="R336" s="18"/>
      <c r="S336" s="18"/>
    </row>
    <row r="337" spans="1:19" x14ac:dyDescent="0.2">
      <c r="A337" s="18"/>
      <c r="G337" s="21"/>
      <c r="H337" s="18"/>
      <c r="I337" s="18"/>
      <c r="J337" s="18"/>
      <c r="K337" s="18"/>
      <c r="L337" s="18"/>
      <c r="M337" s="18"/>
      <c r="N337" s="18"/>
      <c r="O337" s="18"/>
      <c r="P337" s="18"/>
      <c r="Q337" s="18"/>
      <c r="R337" s="18"/>
      <c r="S337" s="18"/>
    </row>
    <row r="338" spans="1:19" x14ac:dyDescent="0.2">
      <c r="A338" s="18"/>
      <c r="G338" s="21"/>
      <c r="H338" s="18"/>
      <c r="I338" s="18"/>
      <c r="J338" s="18"/>
      <c r="K338" s="18"/>
      <c r="L338" s="18"/>
      <c r="M338" s="18"/>
      <c r="N338" s="18"/>
      <c r="O338" s="18"/>
      <c r="P338" s="18"/>
      <c r="Q338" s="18"/>
      <c r="R338" s="18"/>
      <c r="S338" s="18"/>
    </row>
    <row r="339" spans="1:19" x14ac:dyDescent="0.2">
      <c r="A339" s="18"/>
      <c r="G339" s="21"/>
      <c r="H339" s="18"/>
      <c r="I339" s="18"/>
      <c r="J339" s="18"/>
      <c r="K339" s="18"/>
      <c r="L339" s="18"/>
      <c r="M339" s="18"/>
      <c r="N339" s="18"/>
      <c r="O339" s="18"/>
      <c r="P339" s="18"/>
      <c r="Q339" s="18"/>
      <c r="R339" s="18"/>
      <c r="S339" s="18"/>
    </row>
    <row r="340" spans="1:19" x14ac:dyDescent="0.2">
      <c r="A340" s="18"/>
      <c r="G340" s="21"/>
      <c r="H340" s="18"/>
      <c r="I340" s="18"/>
      <c r="J340" s="18"/>
      <c r="K340" s="18"/>
      <c r="L340" s="18"/>
      <c r="M340" s="18"/>
      <c r="N340" s="18"/>
      <c r="O340" s="18"/>
      <c r="P340" s="18"/>
      <c r="Q340" s="18"/>
      <c r="R340" s="18"/>
      <c r="S340" s="18"/>
    </row>
    <row r="341" spans="1:19" x14ac:dyDescent="0.2">
      <c r="A341" s="18"/>
      <c r="G341" s="21"/>
      <c r="H341" s="18"/>
      <c r="I341" s="18"/>
      <c r="J341" s="18"/>
      <c r="K341" s="18"/>
      <c r="L341" s="18"/>
      <c r="M341" s="18"/>
      <c r="N341" s="18"/>
      <c r="O341" s="18"/>
      <c r="P341" s="18"/>
      <c r="Q341" s="18"/>
      <c r="R341" s="18"/>
      <c r="S341" s="18"/>
    </row>
    <row r="342" spans="1:19" x14ac:dyDescent="0.2">
      <c r="A342" s="18"/>
      <c r="G342" s="21"/>
      <c r="H342" s="18"/>
      <c r="I342" s="18"/>
      <c r="J342" s="18"/>
      <c r="K342" s="18"/>
      <c r="L342" s="18"/>
      <c r="M342" s="18"/>
      <c r="N342" s="18"/>
      <c r="O342" s="18"/>
      <c r="P342" s="18"/>
      <c r="Q342" s="18"/>
      <c r="R342" s="18"/>
      <c r="S342" s="18"/>
    </row>
    <row r="343" spans="1:19" x14ac:dyDescent="0.2">
      <c r="A343" s="18"/>
      <c r="G343" s="21"/>
      <c r="H343" s="18"/>
      <c r="I343" s="18"/>
      <c r="J343" s="18"/>
      <c r="K343" s="18"/>
      <c r="L343" s="18"/>
      <c r="M343" s="18"/>
      <c r="N343" s="18"/>
      <c r="O343" s="18"/>
      <c r="P343" s="18"/>
      <c r="Q343" s="18"/>
      <c r="R343" s="18"/>
      <c r="S343" s="18"/>
    </row>
    <row r="344" spans="1:19" x14ac:dyDescent="0.2">
      <c r="A344" s="18"/>
      <c r="G344" s="21"/>
      <c r="H344" s="18"/>
      <c r="I344" s="18"/>
      <c r="J344" s="18"/>
      <c r="K344" s="18"/>
      <c r="L344" s="18"/>
      <c r="M344" s="18"/>
      <c r="N344" s="18"/>
      <c r="O344" s="18"/>
      <c r="P344" s="18"/>
      <c r="Q344" s="18"/>
      <c r="R344" s="18"/>
      <c r="S344" s="18"/>
    </row>
    <row r="345" spans="1:19" x14ac:dyDescent="0.2">
      <c r="A345" s="18"/>
      <c r="G345" s="21"/>
      <c r="H345" s="18"/>
      <c r="I345" s="18"/>
      <c r="J345" s="18"/>
      <c r="K345" s="18"/>
      <c r="L345" s="18"/>
      <c r="M345" s="18"/>
      <c r="N345" s="18"/>
      <c r="O345" s="18"/>
      <c r="P345" s="18"/>
      <c r="Q345" s="18"/>
      <c r="R345" s="18"/>
      <c r="S345" s="18"/>
    </row>
    <row r="346" spans="1:19" x14ac:dyDescent="0.2">
      <c r="A346" s="18"/>
      <c r="G346" s="21"/>
      <c r="H346" s="18"/>
      <c r="I346" s="18"/>
      <c r="J346" s="18"/>
      <c r="K346" s="18"/>
      <c r="L346" s="18"/>
      <c r="M346" s="18"/>
      <c r="N346" s="18"/>
      <c r="O346" s="18"/>
      <c r="P346" s="18"/>
      <c r="Q346" s="18"/>
      <c r="R346" s="18"/>
      <c r="S346" s="18"/>
    </row>
    <row r="347" spans="1:19" x14ac:dyDescent="0.2">
      <c r="A347" s="18"/>
      <c r="G347" s="21"/>
      <c r="H347" s="18"/>
      <c r="I347" s="18"/>
      <c r="J347" s="18"/>
      <c r="K347" s="18"/>
      <c r="L347" s="18"/>
      <c r="M347" s="18"/>
      <c r="N347" s="18"/>
      <c r="O347" s="18"/>
      <c r="P347" s="18"/>
      <c r="Q347" s="18"/>
      <c r="R347" s="18"/>
      <c r="S347" s="18"/>
    </row>
    <row r="348" spans="1:19" x14ac:dyDescent="0.2">
      <c r="A348" s="18"/>
      <c r="G348" s="21"/>
      <c r="H348" s="18"/>
      <c r="I348" s="18"/>
      <c r="J348" s="18"/>
      <c r="K348" s="18"/>
      <c r="L348" s="18"/>
      <c r="M348" s="18"/>
      <c r="N348" s="18"/>
      <c r="O348" s="18"/>
      <c r="P348" s="18"/>
      <c r="Q348" s="18"/>
      <c r="R348" s="18"/>
      <c r="S348" s="18"/>
    </row>
    <row r="349" spans="1:19" x14ac:dyDescent="0.2">
      <c r="A349" s="18"/>
      <c r="G349" s="21"/>
      <c r="H349" s="18"/>
      <c r="I349" s="18"/>
      <c r="J349" s="18"/>
      <c r="K349" s="18"/>
      <c r="L349" s="18"/>
      <c r="M349" s="18"/>
      <c r="N349" s="18"/>
      <c r="O349" s="18"/>
      <c r="P349" s="18"/>
      <c r="Q349" s="18"/>
      <c r="R349" s="18"/>
      <c r="S349" s="18"/>
    </row>
    <row r="350" spans="1:19" x14ac:dyDescent="0.2">
      <c r="A350" s="18"/>
      <c r="G350" s="21"/>
      <c r="H350" s="18"/>
      <c r="I350" s="18"/>
      <c r="J350" s="18"/>
      <c r="K350" s="18"/>
      <c r="L350" s="18"/>
      <c r="M350" s="18"/>
      <c r="N350" s="18"/>
      <c r="O350" s="18"/>
      <c r="P350" s="18"/>
      <c r="Q350" s="18"/>
      <c r="R350" s="18"/>
      <c r="S350" s="18"/>
    </row>
    <row r="351" spans="1:19" x14ac:dyDescent="0.2">
      <c r="A351" s="18"/>
      <c r="G351" s="21"/>
      <c r="H351" s="18"/>
      <c r="I351" s="18"/>
      <c r="J351" s="18"/>
      <c r="K351" s="18"/>
      <c r="L351" s="18"/>
      <c r="M351" s="18"/>
      <c r="N351" s="18"/>
      <c r="O351" s="18"/>
      <c r="P351" s="18"/>
      <c r="Q351" s="18"/>
      <c r="R351" s="18"/>
      <c r="S351" s="18"/>
    </row>
    <row r="352" spans="1:19" x14ac:dyDescent="0.2">
      <c r="A352" s="18"/>
      <c r="G352" s="21"/>
      <c r="H352" s="18"/>
      <c r="I352" s="18"/>
      <c r="J352" s="18"/>
      <c r="K352" s="18"/>
      <c r="L352" s="18"/>
      <c r="M352" s="18"/>
      <c r="N352" s="18"/>
      <c r="O352" s="18"/>
      <c r="P352" s="18"/>
      <c r="Q352" s="18"/>
      <c r="R352" s="18"/>
      <c r="S352" s="18"/>
    </row>
    <row r="353" spans="1:19" x14ac:dyDescent="0.2">
      <c r="A353" s="18"/>
      <c r="G353" s="21"/>
      <c r="H353" s="18"/>
      <c r="I353" s="18"/>
      <c r="J353" s="18"/>
      <c r="K353" s="18"/>
      <c r="L353" s="18"/>
      <c r="M353" s="18"/>
      <c r="N353" s="18"/>
      <c r="O353" s="18"/>
      <c r="P353" s="18"/>
      <c r="Q353" s="18"/>
      <c r="R353" s="18"/>
      <c r="S353" s="18"/>
    </row>
    <row r="354" spans="1:19" x14ac:dyDescent="0.2">
      <c r="A354" s="18"/>
      <c r="G354" s="21"/>
      <c r="H354" s="18"/>
      <c r="I354" s="18"/>
      <c r="J354" s="18"/>
      <c r="K354" s="18"/>
      <c r="L354" s="18"/>
      <c r="M354" s="18"/>
      <c r="N354" s="18"/>
      <c r="O354" s="18"/>
      <c r="P354" s="18"/>
      <c r="Q354" s="18"/>
      <c r="R354" s="18"/>
      <c r="S354" s="18"/>
    </row>
    <row r="355" spans="1:19" x14ac:dyDescent="0.2">
      <c r="A355" s="18"/>
      <c r="G355" s="21"/>
      <c r="H355" s="18"/>
      <c r="I355" s="18"/>
      <c r="J355" s="18"/>
      <c r="K355" s="18"/>
      <c r="L355" s="18"/>
      <c r="M355" s="18"/>
      <c r="N355" s="18"/>
      <c r="O355" s="18"/>
      <c r="P355" s="18"/>
      <c r="Q355" s="18"/>
      <c r="R355" s="18"/>
      <c r="S355" s="18"/>
    </row>
    <row r="356" spans="1:19" x14ac:dyDescent="0.2">
      <c r="A356" s="18"/>
      <c r="G356" s="21"/>
      <c r="H356" s="18"/>
      <c r="I356" s="18"/>
      <c r="J356" s="18"/>
      <c r="K356" s="18"/>
      <c r="L356" s="18"/>
      <c r="M356" s="18"/>
      <c r="N356" s="18"/>
      <c r="O356" s="18"/>
      <c r="P356" s="18"/>
      <c r="Q356" s="18"/>
      <c r="R356" s="18"/>
      <c r="S356" s="18"/>
    </row>
    <row r="357" spans="1:19" x14ac:dyDescent="0.2">
      <c r="A357" s="18"/>
      <c r="G357" s="21"/>
      <c r="H357" s="18"/>
      <c r="I357" s="18"/>
      <c r="J357" s="18"/>
      <c r="K357" s="18"/>
      <c r="L357" s="18"/>
      <c r="M357" s="18"/>
      <c r="N357" s="18"/>
      <c r="O357" s="18"/>
      <c r="P357" s="18"/>
      <c r="Q357" s="18"/>
      <c r="R357" s="18"/>
      <c r="S357" s="18"/>
    </row>
    <row r="358" spans="1:19" x14ac:dyDescent="0.2">
      <c r="A358" s="18"/>
      <c r="G358" s="21"/>
      <c r="H358" s="18"/>
      <c r="I358" s="18"/>
      <c r="J358" s="18"/>
      <c r="K358" s="18"/>
      <c r="L358" s="18"/>
      <c r="M358" s="18"/>
      <c r="N358" s="18"/>
      <c r="O358" s="18"/>
      <c r="P358" s="18"/>
      <c r="Q358" s="18"/>
      <c r="R358" s="18"/>
      <c r="S358" s="18"/>
    </row>
    <row r="359" spans="1:19" x14ac:dyDescent="0.2">
      <c r="A359" s="18"/>
      <c r="G359" s="21"/>
      <c r="H359" s="18"/>
      <c r="I359" s="18"/>
      <c r="J359" s="18"/>
      <c r="K359" s="18"/>
      <c r="L359" s="18"/>
      <c r="M359" s="18"/>
      <c r="N359" s="18"/>
      <c r="O359" s="18"/>
      <c r="P359" s="18"/>
      <c r="Q359" s="18"/>
      <c r="R359" s="18"/>
      <c r="S359" s="18"/>
    </row>
    <row r="360" spans="1:19" x14ac:dyDescent="0.2">
      <c r="A360" s="18"/>
      <c r="G360" s="21"/>
      <c r="H360" s="18"/>
      <c r="I360" s="18"/>
      <c r="J360" s="18"/>
      <c r="K360" s="18"/>
      <c r="L360" s="18"/>
      <c r="M360" s="18"/>
      <c r="N360" s="18"/>
      <c r="O360" s="18"/>
      <c r="P360" s="18"/>
      <c r="Q360" s="18"/>
      <c r="R360" s="18"/>
      <c r="S360" s="18"/>
    </row>
    <row r="361" spans="1:19" x14ac:dyDescent="0.2">
      <c r="A361" s="18"/>
      <c r="G361" s="21"/>
      <c r="H361" s="18"/>
      <c r="I361" s="18"/>
      <c r="J361" s="18"/>
      <c r="K361" s="18"/>
      <c r="L361" s="18"/>
      <c r="M361" s="18"/>
      <c r="N361" s="18"/>
      <c r="O361" s="18"/>
      <c r="P361" s="18"/>
      <c r="Q361" s="18"/>
      <c r="R361" s="18"/>
      <c r="S361" s="18"/>
    </row>
    <row r="362" spans="1:19" x14ac:dyDescent="0.2">
      <c r="A362" s="18"/>
      <c r="G362" s="21"/>
      <c r="H362" s="18"/>
      <c r="I362" s="18"/>
      <c r="J362" s="18"/>
      <c r="K362" s="18"/>
      <c r="L362" s="18"/>
      <c r="M362" s="18"/>
      <c r="N362" s="18"/>
      <c r="O362" s="18"/>
      <c r="P362" s="18"/>
      <c r="Q362" s="18"/>
      <c r="R362" s="18"/>
      <c r="S362" s="18"/>
    </row>
    <row r="363" spans="1:19" x14ac:dyDescent="0.2">
      <c r="A363" s="18"/>
      <c r="G363" s="21"/>
      <c r="H363" s="18"/>
      <c r="I363" s="18"/>
      <c r="J363" s="18"/>
      <c r="K363" s="18"/>
      <c r="L363" s="18"/>
      <c r="M363" s="18"/>
      <c r="N363" s="18"/>
      <c r="O363" s="18"/>
      <c r="P363" s="18"/>
      <c r="Q363" s="18"/>
      <c r="R363" s="18"/>
      <c r="S363" s="18"/>
    </row>
    <row r="364" spans="1:19" x14ac:dyDescent="0.2">
      <c r="A364" s="18"/>
      <c r="G364" s="21"/>
      <c r="H364" s="18"/>
      <c r="I364" s="18"/>
      <c r="J364" s="18"/>
      <c r="K364" s="18"/>
      <c r="L364" s="18"/>
      <c r="M364" s="18"/>
      <c r="N364" s="18"/>
      <c r="O364" s="18"/>
      <c r="P364" s="18"/>
      <c r="Q364" s="18"/>
      <c r="R364" s="18"/>
      <c r="S364" s="18"/>
    </row>
    <row r="365" spans="1:19" x14ac:dyDescent="0.2">
      <c r="A365" s="18"/>
      <c r="G365" s="21"/>
      <c r="H365" s="18"/>
      <c r="I365" s="18"/>
      <c r="J365" s="18"/>
      <c r="K365" s="18"/>
      <c r="L365" s="18"/>
      <c r="M365" s="18"/>
      <c r="N365" s="18"/>
      <c r="O365" s="18"/>
      <c r="P365" s="18"/>
      <c r="Q365" s="18"/>
      <c r="R365" s="18"/>
      <c r="S365" s="18"/>
    </row>
    <row r="366" spans="1:19" x14ac:dyDescent="0.2">
      <c r="A366" s="18"/>
      <c r="G366" s="21"/>
      <c r="H366" s="18"/>
      <c r="I366" s="18"/>
      <c r="J366" s="18"/>
      <c r="K366" s="18"/>
      <c r="L366" s="18"/>
      <c r="M366" s="18"/>
      <c r="N366" s="18"/>
      <c r="O366" s="18"/>
      <c r="P366" s="18"/>
      <c r="Q366" s="18"/>
      <c r="R366" s="18"/>
      <c r="S366" s="18"/>
    </row>
    <row r="367" spans="1:19" x14ac:dyDescent="0.2">
      <c r="A367" s="18"/>
      <c r="G367" s="21"/>
      <c r="H367" s="18"/>
      <c r="I367" s="18"/>
      <c r="J367" s="18"/>
      <c r="K367" s="18"/>
      <c r="L367" s="18"/>
      <c r="M367" s="18"/>
      <c r="N367" s="18"/>
      <c r="O367" s="18"/>
      <c r="P367" s="18"/>
      <c r="Q367" s="18"/>
      <c r="R367" s="18"/>
      <c r="S367" s="18"/>
    </row>
    <row r="368" spans="1:19" x14ac:dyDescent="0.2">
      <c r="A368" s="18"/>
      <c r="G368" s="21"/>
      <c r="H368" s="18"/>
      <c r="I368" s="18"/>
      <c r="J368" s="18"/>
      <c r="K368" s="18"/>
      <c r="L368" s="18"/>
      <c r="M368" s="18"/>
      <c r="N368" s="18"/>
      <c r="O368" s="18"/>
      <c r="P368" s="18"/>
      <c r="Q368" s="18"/>
      <c r="R368" s="18"/>
      <c r="S368" s="18"/>
    </row>
    <row r="369" spans="1:19" x14ac:dyDescent="0.2">
      <c r="A369" s="18"/>
      <c r="G369" s="21"/>
      <c r="H369" s="18"/>
      <c r="I369" s="18"/>
      <c r="J369" s="18"/>
      <c r="K369" s="18"/>
      <c r="L369" s="18"/>
      <c r="M369" s="18"/>
      <c r="N369" s="18"/>
      <c r="O369" s="18"/>
      <c r="P369" s="18"/>
      <c r="Q369" s="18"/>
      <c r="R369" s="18"/>
      <c r="S369" s="18"/>
    </row>
    <row r="370" spans="1:19" x14ac:dyDescent="0.2">
      <c r="A370" s="18"/>
      <c r="G370" s="21"/>
      <c r="H370" s="18"/>
      <c r="I370" s="18"/>
      <c r="J370" s="18"/>
      <c r="K370" s="18"/>
      <c r="L370" s="18"/>
      <c r="M370" s="18"/>
      <c r="N370" s="18"/>
      <c r="O370" s="18"/>
      <c r="P370" s="18"/>
      <c r="Q370" s="18"/>
      <c r="R370" s="18"/>
      <c r="S370" s="18"/>
    </row>
    <row r="371" spans="1:19" x14ac:dyDescent="0.2">
      <c r="A371" s="18"/>
      <c r="G371" s="21"/>
      <c r="H371" s="18"/>
      <c r="I371" s="18"/>
      <c r="J371" s="18"/>
      <c r="K371" s="18"/>
      <c r="L371" s="18"/>
      <c r="M371" s="18"/>
      <c r="N371" s="18"/>
      <c r="O371" s="18"/>
      <c r="P371" s="18"/>
      <c r="Q371" s="18"/>
      <c r="R371" s="18"/>
      <c r="S371" s="18"/>
    </row>
    <row r="372" spans="1:19" x14ac:dyDescent="0.2">
      <c r="A372" s="18"/>
      <c r="G372" s="21"/>
      <c r="H372" s="18"/>
      <c r="I372" s="18"/>
      <c r="J372" s="18"/>
      <c r="K372" s="18"/>
      <c r="L372" s="18"/>
      <c r="M372" s="18"/>
      <c r="N372" s="18"/>
      <c r="O372" s="18"/>
      <c r="P372" s="18"/>
      <c r="Q372" s="18"/>
      <c r="R372" s="18"/>
      <c r="S372" s="18"/>
    </row>
    <row r="373" spans="1:19" x14ac:dyDescent="0.2">
      <c r="A373" s="18"/>
      <c r="G373" s="21"/>
      <c r="H373" s="18"/>
      <c r="I373" s="18"/>
      <c r="J373" s="18"/>
      <c r="K373" s="18"/>
      <c r="L373" s="18"/>
      <c r="M373" s="18"/>
      <c r="N373" s="18"/>
      <c r="O373" s="18"/>
      <c r="P373" s="18"/>
      <c r="Q373" s="18"/>
      <c r="R373" s="18"/>
      <c r="S373" s="18"/>
    </row>
    <row r="374" spans="1:19" x14ac:dyDescent="0.2">
      <c r="A374" s="18"/>
      <c r="G374" s="21"/>
      <c r="H374" s="18"/>
      <c r="I374" s="18"/>
      <c r="J374" s="18"/>
      <c r="K374" s="18"/>
      <c r="L374" s="18"/>
      <c r="M374" s="18"/>
      <c r="N374" s="18"/>
      <c r="O374" s="18"/>
      <c r="P374" s="18"/>
      <c r="Q374" s="18"/>
      <c r="R374" s="18"/>
      <c r="S374" s="18"/>
    </row>
    <row r="375" spans="1:19" x14ac:dyDescent="0.2">
      <c r="A375" s="18"/>
      <c r="G375" s="21"/>
      <c r="H375" s="18"/>
      <c r="I375" s="18"/>
      <c r="J375" s="18"/>
      <c r="K375" s="18"/>
      <c r="L375" s="18"/>
      <c r="M375" s="18"/>
      <c r="N375" s="18"/>
      <c r="O375" s="18"/>
      <c r="P375" s="18"/>
      <c r="Q375" s="18"/>
      <c r="R375" s="18"/>
      <c r="S375" s="18"/>
    </row>
    <row r="376" spans="1:19" x14ac:dyDescent="0.2">
      <c r="A376" s="18"/>
      <c r="G376" s="21"/>
      <c r="H376" s="18"/>
      <c r="I376" s="18"/>
      <c r="J376" s="18"/>
      <c r="K376" s="18"/>
      <c r="L376" s="18"/>
      <c r="M376" s="18"/>
      <c r="N376" s="18"/>
      <c r="O376" s="18"/>
      <c r="P376" s="18"/>
      <c r="Q376" s="18"/>
      <c r="R376" s="18"/>
      <c r="S376" s="18"/>
    </row>
    <row r="377" spans="1:19" x14ac:dyDescent="0.2">
      <c r="A377" s="18"/>
      <c r="G377" s="21"/>
      <c r="H377" s="18"/>
      <c r="I377" s="18"/>
      <c r="J377" s="18"/>
      <c r="K377" s="18"/>
      <c r="L377" s="18"/>
      <c r="M377" s="18"/>
      <c r="N377" s="18"/>
      <c r="O377" s="18"/>
      <c r="P377" s="18"/>
      <c r="Q377" s="18"/>
      <c r="R377" s="18"/>
      <c r="S377" s="18"/>
    </row>
    <row r="378" spans="1:19" x14ac:dyDescent="0.2">
      <c r="A378" s="18"/>
      <c r="G378" s="21"/>
      <c r="H378" s="18"/>
      <c r="I378" s="18"/>
      <c r="J378" s="18"/>
      <c r="K378" s="18"/>
      <c r="L378" s="18"/>
      <c r="M378" s="18"/>
      <c r="N378" s="18"/>
      <c r="O378" s="18"/>
      <c r="P378" s="18"/>
      <c r="Q378" s="18"/>
      <c r="R378" s="18"/>
      <c r="S378" s="18"/>
    </row>
    <row r="379" spans="1:19" x14ac:dyDescent="0.2">
      <c r="A379" s="18"/>
      <c r="G379" s="21"/>
      <c r="H379" s="18"/>
      <c r="I379" s="18"/>
      <c r="J379" s="18"/>
      <c r="K379" s="18"/>
      <c r="L379" s="18"/>
      <c r="M379" s="18"/>
      <c r="N379" s="18"/>
      <c r="O379" s="18"/>
      <c r="P379" s="18"/>
      <c r="Q379" s="18"/>
      <c r="R379" s="18"/>
      <c r="S379" s="18"/>
    </row>
    <row r="380" spans="1:19" x14ac:dyDescent="0.2">
      <c r="A380" s="18"/>
      <c r="G380" s="21"/>
      <c r="H380" s="18"/>
      <c r="I380" s="18"/>
      <c r="J380" s="18"/>
      <c r="K380" s="18"/>
      <c r="L380" s="18"/>
      <c r="M380" s="18"/>
      <c r="N380" s="18"/>
      <c r="O380" s="18"/>
      <c r="P380" s="18"/>
      <c r="Q380" s="18"/>
      <c r="R380" s="18"/>
      <c r="S380" s="18"/>
    </row>
    <row r="381" spans="1:19" x14ac:dyDescent="0.2">
      <c r="A381" s="18"/>
      <c r="G381" s="21"/>
      <c r="H381" s="18"/>
      <c r="I381" s="18"/>
      <c r="J381" s="18"/>
      <c r="K381" s="18"/>
      <c r="L381" s="18"/>
      <c r="M381" s="18"/>
      <c r="N381" s="18"/>
      <c r="O381" s="18"/>
      <c r="P381" s="18"/>
      <c r="Q381" s="18"/>
      <c r="R381" s="18"/>
      <c r="S381" s="18"/>
    </row>
    <row r="382" spans="1:19" x14ac:dyDescent="0.2">
      <c r="A382" s="18"/>
      <c r="G382" s="21"/>
      <c r="H382" s="18"/>
      <c r="I382" s="18"/>
      <c r="J382" s="18"/>
      <c r="K382" s="18"/>
      <c r="L382" s="18"/>
      <c r="M382" s="18"/>
      <c r="N382" s="18"/>
      <c r="O382" s="18"/>
      <c r="P382" s="18"/>
      <c r="Q382" s="18"/>
      <c r="R382" s="18"/>
      <c r="S382" s="18"/>
    </row>
    <row r="383" spans="1:19" x14ac:dyDescent="0.2">
      <c r="A383" s="18"/>
      <c r="G383" s="21"/>
      <c r="H383" s="18"/>
      <c r="I383" s="18"/>
      <c r="J383" s="18"/>
      <c r="K383" s="18"/>
      <c r="L383" s="18"/>
      <c r="M383" s="18"/>
      <c r="N383" s="18"/>
      <c r="O383" s="18"/>
      <c r="P383" s="18"/>
      <c r="Q383" s="18"/>
      <c r="R383" s="18"/>
      <c r="S383" s="18"/>
    </row>
    <row r="384" spans="1:19" x14ac:dyDescent="0.2">
      <c r="A384" s="18"/>
      <c r="G384" s="21"/>
      <c r="H384" s="18"/>
      <c r="I384" s="18"/>
      <c r="J384" s="18"/>
      <c r="K384" s="18"/>
      <c r="L384" s="18"/>
      <c r="M384" s="18"/>
      <c r="N384" s="18"/>
      <c r="O384" s="18"/>
      <c r="P384" s="18"/>
      <c r="Q384" s="18"/>
      <c r="R384" s="18"/>
      <c r="S384" s="18"/>
    </row>
    <row r="385" spans="1:19" x14ac:dyDescent="0.2">
      <c r="A385" s="18"/>
      <c r="G385" s="21"/>
      <c r="H385" s="18"/>
      <c r="I385" s="18"/>
      <c r="J385" s="18"/>
      <c r="K385" s="18"/>
      <c r="L385" s="18"/>
      <c r="M385" s="18"/>
      <c r="N385" s="18"/>
      <c r="O385" s="18"/>
      <c r="P385" s="18"/>
      <c r="Q385" s="18"/>
      <c r="R385" s="18"/>
      <c r="S385" s="18"/>
    </row>
    <row r="386" spans="1:19" x14ac:dyDescent="0.2">
      <c r="A386" s="18"/>
      <c r="G386" s="21"/>
      <c r="H386" s="18"/>
      <c r="I386" s="18"/>
      <c r="J386" s="18"/>
      <c r="K386" s="18"/>
      <c r="L386" s="18"/>
      <c r="M386" s="18"/>
      <c r="N386" s="18"/>
      <c r="O386" s="18"/>
      <c r="P386" s="18"/>
      <c r="Q386" s="18"/>
      <c r="R386" s="18"/>
      <c r="S386" s="18"/>
    </row>
    <row r="387" spans="1:19" x14ac:dyDescent="0.2">
      <c r="A387" s="18"/>
      <c r="G387" s="21"/>
      <c r="H387" s="18"/>
      <c r="I387" s="18"/>
      <c r="J387" s="18"/>
      <c r="K387" s="18"/>
      <c r="L387" s="18"/>
      <c r="M387" s="18"/>
      <c r="N387" s="18"/>
      <c r="O387" s="18"/>
      <c r="P387" s="18"/>
      <c r="Q387" s="18"/>
      <c r="R387" s="18"/>
      <c r="S387" s="18"/>
    </row>
    <row r="388" spans="1:19" x14ac:dyDescent="0.2">
      <c r="A388" s="18"/>
      <c r="G388" s="21"/>
      <c r="H388" s="18"/>
      <c r="I388" s="18"/>
      <c r="J388" s="18"/>
      <c r="K388" s="18"/>
      <c r="L388" s="18"/>
      <c r="M388" s="18"/>
      <c r="N388" s="18"/>
      <c r="O388" s="18"/>
      <c r="P388" s="18"/>
      <c r="Q388" s="18"/>
      <c r="R388" s="18"/>
      <c r="S388" s="18"/>
    </row>
    <row r="389" spans="1:19" x14ac:dyDescent="0.2">
      <c r="A389" s="18"/>
      <c r="G389" s="21"/>
      <c r="H389" s="18"/>
      <c r="I389" s="18"/>
      <c r="J389" s="18"/>
      <c r="K389" s="18"/>
      <c r="L389" s="18"/>
      <c r="M389" s="18"/>
      <c r="N389" s="18"/>
      <c r="O389" s="18"/>
      <c r="P389" s="18"/>
      <c r="Q389" s="18"/>
      <c r="R389" s="18"/>
      <c r="S389" s="18"/>
    </row>
    <row r="390" spans="1:19" x14ac:dyDescent="0.2">
      <c r="A390" s="18"/>
      <c r="G390" s="21"/>
      <c r="H390" s="18"/>
      <c r="I390" s="18"/>
      <c r="J390" s="18"/>
      <c r="K390" s="18"/>
      <c r="L390" s="18"/>
      <c r="M390" s="18"/>
      <c r="N390" s="18"/>
      <c r="O390" s="18"/>
      <c r="P390" s="18"/>
      <c r="Q390" s="18"/>
      <c r="R390" s="18"/>
      <c r="S390" s="18"/>
    </row>
    <row r="391" spans="1:19" x14ac:dyDescent="0.2">
      <c r="A391" s="18"/>
      <c r="G391" s="21"/>
      <c r="H391" s="18"/>
      <c r="I391" s="18"/>
      <c r="J391" s="18"/>
      <c r="K391" s="18"/>
      <c r="L391" s="18"/>
      <c r="M391" s="18"/>
      <c r="N391" s="18"/>
      <c r="O391" s="18"/>
      <c r="P391" s="18"/>
      <c r="Q391" s="18"/>
      <c r="R391" s="18"/>
      <c r="S391" s="18"/>
    </row>
    <row r="392" spans="1:19" x14ac:dyDescent="0.2">
      <c r="A392" s="18"/>
      <c r="G392" s="21"/>
      <c r="H392" s="18"/>
      <c r="I392" s="18"/>
      <c r="J392" s="18"/>
      <c r="K392" s="18"/>
      <c r="L392" s="18"/>
      <c r="M392" s="18"/>
      <c r="N392" s="18"/>
      <c r="O392" s="18"/>
      <c r="P392" s="18"/>
      <c r="Q392" s="18"/>
      <c r="R392" s="18"/>
      <c r="S392" s="18"/>
    </row>
    <row r="393" spans="1:19" x14ac:dyDescent="0.2">
      <c r="A393" s="18"/>
      <c r="G393" s="21"/>
      <c r="H393" s="18"/>
      <c r="I393" s="18"/>
      <c r="J393" s="18"/>
      <c r="K393" s="18"/>
      <c r="L393" s="18"/>
      <c r="M393" s="18"/>
      <c r="N393" s="18"/>
      <c r="O393" s="18"/>
      <c r="P393" s="18"/>
      <c r="Q393" s="18"/>
      <c r="R393" s="18"/>
      <c r="S393" s="18"/>
    </row>
    <row r="394" spans="1:19" x14ac:dyDescent="0.2">
      <c r="A394" s="18"/>
      <c r="G394" s="21"/>
      <c r="H394" s="18"/>
      <c r="I394" s="18"/>
      <c r="J394" s="18"/>
      <c r="K394" s="18"/>
      <c r="L394" s="18"/>
      <c r="M394" s="18"/>
      <c r="N394" s="18"/>
      <c r="O394" s="18"/>
      <c r="P394" s="18"/>
      <c r="Q394" s="18"/>
      <c r="R394" s="18"/>
      <c r="S394" s="18"/>
    </row>
    <row r="395" spans="1:19" x14ac:dyDescent="0.2">
      <c r="A395" s="18"/>
      <c r="G395" s="21"/>
      <c r="H395" s="18"/>
      <c r="I395" s="18"/>
      <c r="J395" s="18"/>
      <c r="K395" s="18"/>
      <c r="L395" s="18"/>
      <c r="M395" s="18"/>
      <c r="N395" s="18"/>
      <c r="O395" s="18"/>
      <c r="P395" s="18"/>
      <c r="Q395" s="18"/>
      <c r="R395" s="18"/>
      <c r="S395" s="18"/>
    </row>
    <row r="396" spans="1:19" x14ac:dyDescent="0.2">
      <c r="A396" s="18"/>
      <c r="G396" s="21"/>
      <c r="H396" s="18"/>
      <c r="I396" s="18"/>
      <c r="J396" s="18"/>
      <c r="K396" s="18"/>
      <c r="L396" s="18"/>
      <c r="M396" s="18"/>
      <c r="N396" s="18"/>
      <c r="O396" s="18"/>
      <c r="P396" s="18"/>
      <c r="Q396" s="18"/>
      <c r="R396" s="18"/>
      <c r="S396" s="18"/>
    </row>
    <row r="397" spans="1:19" x14ac:dyDescent="0.2">
      <c r="A397" s="18"/>
      <c r="G397" s="21"/>
      <c r="H397" s="18"/>
      <c r="I397" s="18"/>
      <c r="J397" s="18"/>
      <c r="K397" s="18"/>
      <c r="L397" s="18"/>
      <c r="M397" s="18"/>
      <c r="N397" s="18"/>
      <c r="O397" s="18"/>
      <c r="P397" s="18"/>
      <c r="Q397" s="18"/>
      <c r="R397" s="18"/>
      <c r="S397" s="18"/>
    </row>
    <row r="398" spans="1:19" x14ac:dyDescent="0.2">
      <c r="A398" s="18"/>
      <c r="G398" s="21"/>
      <c r="H398" s="18"/>
      <c r="I398" s="18"/>
      <c r="J398" s="18"/>
      <c r="K398" s="18"/>
      <c r="L398" s="18"/>
      <c r="M398" s="18"/>
      <c r="N398" s="18"/>
      <c r="O398" s="18"/>
      <c r="P398" s="18"/>
      <c r="Q398" s="18"/>
      <c r="R398" s="18"/>
      <c r="S398" s="18"/>
    </row>
    <row r="399" spans="1:19" x14ac:dyDescent="0.2">
      <c r="A399" s="18"/>
      <c r="G399" s="21"/>
      <c r="H399" s="18"/>
      <c r="I399" s="18"/>
      <c r="J399" s="18"/>
      <c r="K399" s="18"/>
      <c r="L399" s="18"/>
      <c r="M399" s="18"/>
      <c r="N399" s="18"/>
      <c r="O399" s="18"/>
      <c r="P399" s="18"/>
      <c r="Q399" s="18"/>
      <c r="R399" s="18"/>
      <c r="S399" s="18"/>
    </row>
    <row r="400" spans="1:19" x14ac:dyDescent="0.2">
      <c r="A400" s="18"/>
      <c r="G400" s="21"/>
      <c r="H400" s="18"/>
      <c r="I400" s="18"/>
      <c r="J400" s="18"/>
      <c r="K400" s="18"/>
      <c r="L400" s="18"/>
      <c r="M400" s="18"/>
      <c r="N400" s="18"/>
      <c r="O400" s="18"/>
      <c r="P400" s="18"/>
      <c r="Q400" s="18"/>
      <c r="R400" s="18"/>
      <c r="S400" s="18"/>
    </row>
    <row r="401" spans="1:19" x14ac:dyDescent="0.2">
      <c r="A401" s="18"/>
      <c r="G401" s="21"/>
      <c r="H401" s="18"/>
      <c r="I401" s="18"/>
      <c r="J401" s="18"/>
      <c r="K401" s="18"/>
      <c r="L401" s="18"/>
      <c r="M401" s="18"/>
      <c r="N401" s="18"/>
      <c r="O401" s="18"/>
      <c r="P401" s="18"/>
      <c r="Q401" s="18"/>
      <c r="R401" s="18"/>
      <c r="S401" s="18"/>
    </row>
    <row r="402" spans="1:19" x14ac:dyDescent="0.2">
      <c r="A402" s="18"/>
      <c r="G402" s="21"/>
      <c r="H402" s="18"/>
      <c r="I402" s="18"/>
      <c r="J402" s="18"/>
      <c r="K402" s="18"/>
      <c r="L402" s="18"/>
      <c r="M402" s="18"/>
      <c r="N402" s="18"/>
      <c r="O402" s="18"/>
      <c r="P402" s="18"/>
      <c r="Q402" s="18"/>
      <c r="R402" s="18"/>
      <c r="S402" s="18"/>
    </row>
    <row r="403" spans="1:19" x14ac:dyDescent="0.2">
      <c r="A403" s="18"/>
      <c r="G403" s="21"/>
      <c r="H403" s="18"/>
      <c r="I403" s="18"/>
      <c r="J403" s="18"/>
      <c r="K403" s="18"/>
      <c r="L403" s="18"/>
      <c r="M403" s="18"/>
      <c r="N403" s="18"/>
      <c r="O403" s="18"/>
      <c r="P403" s="18"/>
      <c r="Q403" s="18"/>
      <c r="R403" s="18"/>
      <c r="S403" s="18"/>
    </row>
    <row r="404" spans="1:19" x14ac:dyDescent="0.2">
      <c r="A404" s="18"/>
      <c r="G404" s="21"/>
      <c r="H404" s="18"/>
      <c r="I404" s="18"/>
      <c r="J404" s="18"/>
      <c r="K404" s="18"/>
      <c r="L404" s="18"/>
      <c r="M404" s="18"/>
      <c r="N404" s="18"/>
      <c r="O404" s="18"/>
      <c r="P404" s="18"/>
      <c r="Q404" s="18"/>
      <c r="R404" s="18"/>
      <c r="S404" s="18"/>
    </row>
    <row r="405" spans="1:19" x14ac:dyDescent="0.2">
      <c r="A405" s="18"/>
      <c r="G405" s="21"/>
      <c r="H405" s="18"/>
      <c r="I405" s="18"/>
      <c r="J405" s="18"/>
      <c r="K405" s="18"/>
      <c r="L405" s="18"/>
      <c r="M405" s="18"/>
      <c r="N405" s="18"/>
      <c r="O405" s="18"/>
      <c r="P405" s="18"/>
      <c r="Q405" s="18"/>
      <c r="R405" s="18"/>
      <c r="S405" s="18"/>
    </row>
  </sheetData>
  <hyperlinks>
    <hyperlink ref="A2" r:id="rId1" xr:uid="{5B08E330-702A-452D-93F9-B359727125D5}"/>
  </hyperlinks>
  <pageMargins left="0.75" right="0.75" top="1" bottom="1" header="0.5" footer="0.5"/>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D33"/>
  <sheetViews>
    <sheetView zoomScale="80" zoomScaleNormal="80" workbookViewId="0">
      <selection activeCell="C9" sqref="C9"/>
    </sheetView>
  </sheetViews>
  <sheetFormatPr defaultRowHeight="15.75" x14ac:dyDescent="0.25"/>
  <cols>
    <col min="1" max="1" width="9" style="98"/>
    <col min="2" max="2" width="10.125" style="98" bestFit="1" customWidth="1"/>
    <col min="3" max="3" width="10.75" style="98" customWidth="1"/>
  </cols>
  <sheetData>
    <row r="1" spans="1:4" x14ac:dyDescent="0.25">
      <c r="A1" s="116" t="s">
        <v>283</v>
      </c>
    </row>
    <row r="4" spans="1:4" x14ac:dyDescent="0.25">
      <c r="A4" s="98" t="s">
        <v>40</v>
      </c>
      <c r="B4" s="98" t="s">
        <v>188</v>
      </c>
      <c r="C4" s="98" t="s">
        <v>189</v>
      </c>
    </row>
    <row r="5" spans="1:4" x14ac:dyDescent="0.25">
      <c r="A5" s="99">
        <v>1980</v>
      </c>
      <c r="B5" s="97">
        <v>19.600000000000001</v>
      </c>
      <c r="C5" s="99">
        <v>1278</v>
      </c>
      <c r="D5" s="100"/>
    </row>
    <row r="6" spans="1:4" x14ac:dyDescent="0.25">
      <c r="A6" s="99">
        <v>1990</v>
      </c>
      <c r="B6" s="99">
        <v>20.45</v>
      </c>
      <c r="C6" s="99">
        <v>916</v>
      </c>
      <c r="D6" s="100"/>
    </row>
    <row r="7" spans="1:4" x14ac:dyDescent="0.25">
      <c r="A7" s="99">
        <v>1991</v>
      </c>
      <c r="B7" s="99">
        <v>19.82</v>
      </c>
      <c r="C7" s="99">
        <v>857</v>
      </c>
      <c r="D7" s="100"/>
    </row>
    <row r="8" spans="1:4" x14ac:dyDescent="0.25">
      <c r="A8" s="99">
        <v>1992</v>
      </c>
      <c r="B8" s="99">
        <v>19.78</v>
      </c>
      <c r="C8" s="99">
        <v>821</v>
      </c>
      <c r="D8" s="100"/>
    </row>
    <row r="9" spans="1:4" x14ac:dyDescent="0.25">
      <c r="A9" s="99">
        <v>1993</v>
      </c>
      <c r="B9" s="99">
        <v>20.11</v>
      </c>
      <c r="C9" s="99">
        <v>660</v>
      </c>
      <c r="D9" s="100"/>
    </row>
    <row r="10" spans="1:4" x14ac:dyDescent="0.25">
      <c r="A10" s="99">
        <v>1994</v>
      </c>
      <c r="B10" s="99">
        <v>20.03</v>
      </c>
      <c r="C10" s="99">
        <v>653</v>
      </c>
      <c r="D10" s="100"/>
    </row>
    <row r="11" spans="1:4" x14ac:dyDescent="0.25">
      <c r="A11" s="99">
        <v>1995</v>
      </c>
      <c r="B11" s="99">
        <v>19.95</v>
      </c>
      <c r="C11" s="99">
        <v>649</v>
      </c>
      <c r="D11" s="100"/>
    </row>
    <row r="12" spans="1:4" x14ac:dyDescent="0.25">
      <c r="A12" s="99">
        <v>1996</v>
      </c>
      <c r="B12" s="99">
        <v>20.309999999999999</v>
      </c>
      <c r="C12" s="99">
        <v>661</v>
      </c>
      <c r="D12" s="100"/>
    </row>
    <row r="13" spans="1:4" x14ac:dyDescent="0.25">
      <c r="A13" s="99">
        <v>1997</v>
      </c>
      <c r="B13" s="99">
        <v>20.43</v>
      </c>
      <c r="C13" s="99">
        <v>669</v>
      </c>
      <c r="D13" s="100"/>
    </row>
    <row r="14" spans="1:4" x14ac:dyDescent="0.25">
      <c r="A14" s="99">
        <v>1998</v>
      </c>
      <c r="B14" s="99" t="s">
        <v>190</v>
      </c>
      <c r="C14" s="99" t="s">
        <v>190</v>
      </c>
      <c r="D14" s="100"/>
    </row>
    <row r="15" spans="1:4" x14ac:dyDescent="0.25">
      <c r="A15" s="99">
        <v>1999</v>
      </c>
      <c r="B15" s="99">
        <v>20.64</v>
      </c>
      <c r="C15" s="99">
        <v>690</v>
      </c>
      <c r="D15" s="100"/>
    </row>
    <row r="16" spans="1:4" x14ac:dyDescent="0.25">
      <c r="A16" s="99">
        <v>2000</v>
      </c>
      <c r="B16" s="99">
        <v>21.9</v>
      </c>
      <c r="C16" s="99">
        <v>704</v>
      </c>
      <c r="D16" s="100"/>
    </row>
    <row r="17" spans="1:4" x14ac:dyDescent="0.25">
      <c r="A17" s="99">
        <v>2001</v>
      </c>
      <c r="B17" s="99">
        <v>21.94</v>
      </c>
      <c r="C17" s="99">
        <v>565</v>
      </c>
      <c r="D17" s="100"/>
    </row>
    <row r="18" spans="1:4" x14ac:dyDescent="0.25">
      <c r="A18" s="99">
        <v>2002</v>
      </c>
      <c r="B18" s="99">
        <v>22.15</v>
      </c>
      <c r="C18" s="99">
        <v>520</v>
      </c>
      <c r="D18" s="100"/>
    </row>
    <row r="19" spans="1:4" x14ac:dyDescent="0.25">
      <c r="A19" s="99">
        <v>2003</v>
      </c>
      <c r="B19" s="99">
        <v>22.28</v>
      </c>
      <c r="C19" s="99">
        <v>514</v>
      </c>
      <c r="D19" s="100"/>
    </row>
    <row r="20" spans="1:4" x14ac:dyDescent="0.25">
      <c r="A20" s="99">
        <v>2004</v>
      </c>
      <c r="B20" s="99">
        <v>21.52</v>
      </c>
      <c r="C20" s="99">
        <v>500</v>
      </c>
      <c r="D20" s="100"/>
    </row>
    <row r="21" spans="1:4" x14ac:dyDescent="0.25">
      <c r="A21" s="99">
        <v>2005</v>
      </c>
      <c r="B21" s="99">
        <v>20.73</v>
      </c>
      <c r="C21" s="99">
        <v>490</v>
      </c>
      <c r="D21" s="100"/>
    </row>
    <row r="22" spans="1:4" x14ac:dyDescent="0.25">
      <c r="A22" s="99">
        <v>2006</v>
      </c>
      <c r="B22" s="99">
        <v>22.25</v>
      </c>
      <c r="C22" s="99">
        <v>506</v>
      </c>
      <c r="D22" s="100"/>
    </row>
    <row r="23" spans="1:4" x14ac:dyDescent="0.25">
      <c r="A23" s="99">
        <v>2007</v>
      </c>
      <c r="B23" s="99">
        <v>21.87</v>
      </c>
      <c r="C23" s="99">
        <v>498</v>
      </c>
      <c r="D23" s="100"/>
    </row>
    <row r="24" spans="1:4" x14ac:dyDescent="0.25">
      <c r="A24" s="99">
        <v>2008</v>
      </c>
      <c r="B24" s="99">
        <v>21.35</v>
      </c>
      <c r="C24" s="99">
        <v>483</v>
      </c>
      <c r="D24" s="100"/>
    </row>
    <row r="25" spans="1:4" x14ac:dyDescent="0.25">
      <c r="A25" s="99">
        <v>2009</v>
      </c>
      <c r="B25" s="99">
        <v>20.98</v>
      </c>
      <c r="C25" s="99">
        <v>460</v>
      </c>
      <c r="D25" s="100"/>
    </row>
    <row r="26" spans="1:4" x14ac:dyDescent="0.25">
      <c r="A26" s="99">
        <v>2010</v>
      </c>
      <c r="B26" s="99">
        <v>21.97</v>
      </c>
      <c r="C26" s="99">
        <v>455</v>
      </c>
      <c r="D26" s="100"/>
    </row>
    <row r="27" spans="1:4" x14ac:dyDescent="0.25">
      <c r="A27" s="99">
        <v>2011</v>
      </c>
      <c r="B27" s="99">
        <v>22</v>
      </c>
      <c r="C27" s="99">
        <v>452</v>
      </c>
      <c r="D27" s="100"/>
    </row>
    <row r="28" spans="1:4" x14ac:dyDescent="0.25">
      <c r="A28" s="99">
        <v>2012</v>
      </c>
      <c r="B28" s="99">
        <v>22.59</v>
      </c>
      <c r="C28" s="99">
        <v>454</v>
      </c>
      <c r="D28" s="100"/>
    </row>
    <row r="29" spans="1:4" x14ac:dyDescent="0.25">
      <c r="A29" s="99">
        <v>2013</v>
      </c>
      <c r="B29" s="99">
        <v>21.66</v>
      </c>
      <c r="C29" s="99">
        <v>444</v>
      </c>
      <c r="D29" s="100"/>
    </row>
    <row r="30" spans="1:4" x14ac:dyDescent="0.25">
      <c r="A30" s="99">
        <v>2014</v>
      </c>
      <c r="B30" s="99">
        <v>24.24</v>
      </c>
      <c r="C30" s="99">
        <v>502</v>
      </c>
      <c r="D30" s="100"/>
    </row>
    <row r="31" spans="1:4" x14ac:dyDescent="0.25">
      <c r="A31" s="99">
        <v>2015</v>
      </c>
      <c r="B31" s="99">
        <v>22.4</v>
      </c>
      <c r="C31" s="99">
        <v>490</v>
      </c>
      <c r="D31" s="100"/>
    </row>
    <row r="32" spans="1:4" x14ac:dyDescent="0.25">
      <c r="A32" s="99">
        <v>2016</v>
      </c>
      <c r="B32" s="99">
        <v>24.08</v>
      </c>
      <c r="C32" s="99">
        <v>510</v>
      </c>
      <c r="D32" s="100"/>
    </row>
    <row r="33" spans="1:4" x14ac:dyDescent="0.25">
      <c r="A33" s="99">
        <v>2017</v>
      </c>
      <c r="B33" s="99">
        <v>23.91</v>
      </c>
      <c r="C33" s="99">
        <v>505</v>
      </c>
      <c r="D33" s="10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S66"/>
  <sheetViews>
    <sheetView zoomScale="80" zoomScaleNormal="80" workbookViewId="0">
      <pane xSplit="10" topLeftCell="K1" activePane="topRight" state="frozen"/>
      <selection pane="topRight"/>
    </sheetView>
  </sheetViews>
  <sheetFormatPr defaultRowHeight="15.75" x14ac:dyDescent="0.25"/>
  <cols>
    <col min="3" max="3" width="14.75" customWidth="1"/>
    <col min="4" max="4" width="13.125" bestFit="1" customWidth="1"/>
    <col min="6" max="6" width="12.625" bestFit="1" customWidth="1"/>
    <col min="7" max="7" width="12.625" customWidth="1"/>
    <col min="8" max="8" width="12.625" bestFit="1" customWidth="1"/>
    <col min="11" max="11" width="9" style="134"/>
    <col min="12" max="12" width="12.625" bestFit="1" customWidth="1"/>
    <col min="13" max="13" width="18.25" bestFit="1" customWidth="1"/>
    <col min="14" max="14" width="20" bestFit="1" customWidth="1"/>
    <col min="17" max="17" width="17.625" customWidth="1"/>
    <col min="18" max="18" width="14.875" bestFit="1" customWidth="1"/>
    <col min="19" max="19" width="15.625" customWidth="1"/>
  </cols>
  <sheetData>
    <row r="1" spans="1:19" x14ac:dyDescent="0.25">
      <c r="A1" t="s">
        <v>245</v>
      </c>
    </row>
    <row r="4" spans="1:19" x14ac:dyDescent="0.25">
      <c r="A4" s="120" t="s">
        <v>246</v>
      </c>
      <c r="B4" s="120"/>
      <c r="C4" s="127"/>
      <c r="D4" s="127"/>
      <c r="F4" s="120" t="s">
        <v>251</v>
      </c>
      <c r="G4" s="120"/>
      <c r="H4" s="127"/>
      <c r="I4" s="127"/>
      <c r="L4" s="120" t="s">
        <v>258</v>
      </c>
      <c r="M4" s="120"/>
      <c r="N4" s="127"/>
      <c r="P4" s="120" t="s">
        <v>251</v>
      </c>
      <c r="Q4" s="127"/>
      <c r="R4" s="120"/>
      <c r="S4" s="127"/>
    </row>
    <row r="5" spans="1:19" x14ac:dyDescent="0.25">
      <c r="A5" s="98" t="s">
        <v>40</v>
      </c>
      <c r="B5" s="98" t="s">
        <v>93</v>
      </c>
      <c r="C5" s="98" t="s">
        <v>250</v>
      </c>
      <c r="D5" s="98" t="s">
        <v>264</v>
      </c>
      <c r="F5" s="98" t="s">
        <v>40</v>
      </c>
      <c r="G5" s="98" t="s">
        <v>93</v>
      </c>
      <c r="H5" s="98" t="s">
        <v>250</v>
      </c>
      <c r="I5" s="98" t="s">
        <v>264</v>
      </c>
      <c r="L5" s="98" t="s">
        <v>40</v>
      </c>
      <c r="M5" s="98" t="s">
        <v>93</v>
      </c>
      <c r="N5" s="98" t="s">
        <v>256</v>
      </c>
      <c r="P5" s="98" t="s">
        <v>40</v>
      </c>
      <c r="Q5" s="98" t="s">
        <v>250</v>
      </c>
      <c r="R5" s="98" t="s">
        <v>238</v>
      </c>
      <c r="S5" s="98" t="s">
        <v>264</v>
      </c>
    </row>
    <row r="6" spans="1:19" x14ac:dyDescent="0.25">
      <c r="A6" s="99">
        <v>1980</v>
      </c>
      <c r="B6" s="99" t="s">
        <v>252</v>
      </c>
      <c r="C6" s="97">
        <v>1449.6079999999999</v>
      </c>
      <c r="D6" s="97">
        <f>(C6*1000)/year_to_hour</f>
        <v>165.48036529680365</v>
      </c>
      <c r="F6" s="99">
        <v>1980</v>
      </c>
      <c r="G6" s="99" t="s">
        <v>253</v>
      </c>
      <c r="H6" s="97">
        <v>754.90200000000004</v>
      </c>
      <c r="I6" s="97">
        <f t="shared" ref="I6:I11" si="0">(H6*1000)/year_to_hour</f>
        <v>86.17602739726027</v>
      </c>
      <c r="L6" s="99">
        <v>1960</v>
      </c>
      <c r="M6" s="99" t="s">
        <v>257</v>
      </c>
      <c r="N6" s="128">
        <f>(2.0749*L6) - 3918.6</f>
        <v>148.20400000000018</v>
      </c>
      <c r="O6" s="124"/>
      <c r="P6" s="99">
        <v>1960</v>
      </c>
    </row>
    <row r="7" spans="1:19" x14ac:dyDescent="0.25">
      <c r="A7" s="99">
        <v>1990</v>
      </c>
      <c r="B7" s="99" t="s">
        <v>252</v>
      </c>
      <c r="C7" s="97">
        <v>1219.8430000000001</v>
      </c>
      <c r="D7" s="97">
        <f>(C7*1000)/year_to_hour</f>
        <v>139.25148401826485</v>
      </c>
      <c r="F7" s="99">
        <v>1981</v>
      </c>
      <c r="G7" s="99" t="s">
        <v>253</v>
      </c>
      <c r="H7" s="97">
        <v>701.96100000000001</v>
      </c>
      <c r="I7" s="97">
        <f t="shared" si="0"/>
        <v>80.132534246575347</v>
      </c>
      <c r="L7" s="70">
        <v>1961</v>
      </c>
      <c r="M7" s="99" t="s">
        <v>257</v>
      </c>
      <c r="N7" s="128">
        <f t="shared" ref="N7:N66" si="1">(2.0749*L7) - 3918.6</f>
        <v>150.27890000000025</v>
      </c>
      <c r="O7" s="124"/>
      <c r="P7" s="70">
        <v>1961</v>
      </c>
    </row>
    <row r="8" spans="1:19" x14ac:dyDescent="0.25">
      <c r="A8" s="99">
        <v>1998</v>
      </c>
      <c r="B8" s="99" t="s">
        <v>252</v>
      </c>
      <c r="C8" s="97">
        <v>810.44399999999996</v>
      </c>
      <c r="D8" s="97">
        <f>(C8*1000)/year_to_hour</f>
        <v>92.516438356164386</v>
      </c>
      <c r="F8" s="99">
        <v>1985</v>
      </c>
      <c r="G8" s="99" t="s">
        <v>253</v>
      </c>
      <c r="H8" s="97">
        <v>605.88199999999995</v>
      </c>
      <c r="I8" s="97">
        <f t="shared" si="0"/>
        <v>69.164611872146125</v>
      </c>
      <c r="L8" s="99">
        <v>1962</v>
      </c>
      <c r="M8" s="99" t="s">
        <v>257</v>
      </c>
      <c r="N8" s="128">
        <f t="shared" si="1"/>
        <v>152.35379999999986</v>
      </c>
      <c r="O8" s="124"/>
      <c r="P8" s="99">
        <v>1962</v>
      </c>
    </row>
    <row r="9" spans="1:19" x14ac:dyDescent="0.25">
      <c r="A9" s="99">
        <v>2007</v>
      </c>
      <c r="B9" s="99" t="s">
        <v>252</v>
      </c>
      <c r="C9" s="97">
        <v>626.63199999999995</v>
      </c>
      <c r="D9" s="97">
        <f>(C9*1000)/year_to_hour</f>
        <v>71.533333333333331</v>
      </c>
      <c r="F9" s="99">
        <v>1990</v>
      </c>
      <c r="G9" s="99" t="s">
        <v>253</v>
      </c>
      <c r="H9" s="97">
        <v>596.07799999999997</v>
      </c>
      <c r="I9" s="97">
        <f t="shared" si="0"/>
        <v>68.045433789954345</v>
      </c>
      <c r="L9" s="70">
        <v>1963</v>
      </c>
      <c r="M9" s="99" t="s">
        <v>257</v>
      </c>
      <c r="N9" s="128">
        <f t="shared" si="1"/>
        <v>154.42869999999994</v>
      </c>
      <c r="O9" s="124"/>
      <c r="P9" s="70">
        <v>1963</v>
      </c>
    </row>
    <row r="10" spans="1:19" x14ac:dyDescent="0.25">
      <c r="A10" s="99"/>
      <c r="B10" s="99"/>
      <c r="C10" s="99"/>
      <c r="D10" s="99"/>
      <c r="E10" s="99"/>
      <c r="F10" s="99">
        <v>1995</v>
      </c>
      <c r="G10" s="99" t="s">
        <v>253</v>
      </c>
      <c r="H10" s="99">
        <v>474.51</v>
      </c>
      <c r="I10" s="97">
        <f t="shared" si="0"/>
        <v>54.167808219178085</v>
      </c>
      <c r="L10" s="99">
        <v>1964</v>
      </c>
      <c r="M10" s="99" t="s">
        <v>257</v>
      </c>
      <c r="N10" s="128">
        <f t="shared" si="1"/>
        <v>156.50360000000001</v>
      </c>
      <c r="O10" s="124"/>
      <c r="P10" s="99">
        <v>1964</v>
      </c>
    </row>
    <row r="11" spans="1:19" x14ac:dyDescent="0.25">
      <c r="A11" s="120" t="s">
        <v>247</v>
      </c>
      <c r="B11" s="120"/>
      <c r="C11" s="127"/>
      <c r="D11" s="127"/>
      <c r="F11" s="99">
        <v>2000</v>
      </c>
      <c r="G11" s="99" t="s">
        <v>253</v>
      </c>
      <c r="H11" s="97">
        <v>429.41199999999998</v>
      </c>
      <c r="I11" s="97">
        <f t="shared" si="0"/>
        <v>49.019634703196346</v>
      </c>
      <c r="J11" s="125"/>
      <c r="K11" s="135"/>
      <c r="L11" s="70">
        <v>1965</v>
      </c>
      <c r="M11" s="99" t="s">
        <v>257</v>
      </c>
      <c r="N11" s="128">
        <f t="shared" si="1"/>
        <v>158.57850000000008</v>
      </c>
      <c r="O11" s="124"/>
      <c r="P11" s="70">
        <v>1965</v>
      </c>
    </row>
    <row r="12" spans="1:19" x14ac:dyDescent="0.25">
      <c r="A12" s="98" t="s">
        <v>40</v>
      </c>
      <c r="B12" s="98" t="s">
        <v>93</v>
      </c>
      <c r="C12" s="98" t="s">
        <v>250</v>
      </c>
      <c r="D12" s="98" t="s">
        <v>264</v>
      </c>
      <c r="H12" s="100"/>
      <c r="I12" s="125"/>
      <c r="J12" s="125"/>
      <c r="K12" s="135"/>
      <c r="L12" s="99">
        <v>1966</v>
      </c>
      <c r="M12" s="99" t="s">
        <v>257</v>
      </c>
      <c r="N12" s="128">
        <f t="shared" si="1"/>
        <v>160.65340000000015</v>
      </c>
      <c r="O12" s="124"/>
      <c r="P12" s="99">
        <v>1966</v>
      </c>
    </row>
    <row r="13" spans="1:19" x14ac:dyDescent="0.25">
      <c r="A13" s="99">
        <v>1973</v>
      </c>
      <c r="B13" s="99" t="s">
        <v>252</v>
      </c>
      <c r="C13" s="97">
        <v>906.52700000000004</v>
      </c>
      <c r="D13" s="97">
        <f>(C13*1000)/year_to_hour</f>
        <v>103.48481735159817</v>
      </c>
      <c r="F13" s="120" t="s">
        <v>239</v>
      </c>
      <c r="G13" s="120"/>
      <c r="H13" s="127"/>
      <c r="I13" s="127"/>
      <c r="J13" s="126"/>
      <c r="K13" s="136"/>
      <c r="L13" s="70">
        <v>1967</v>
      </c>
      <c r="M13" s="99" t="s">
        <v>257</v>
      </c>
      <c r="N13" s="128">
        <f t="shared" si="1"/>
        <v>162.72830000000022</v>
      </c>
      <c r="O13" s="124"/>
      <c r="P13" s="70">
        <v>1967</v>
      </c>
    </row>
    <row r="14" spans="1:19" x14ac:dyDescent="0.25">
      <c r="A14" s="99">
        <v>1980</v>
      </c>
      <c r="B14" s="99" t="s">
        <v>252</v>
      </c>
      <c r="C14" s="97">
        <v>1052.742</v>
      </c>
      <c r="D14" s="97">
        <f>(C14*1000)/year_to_hour</f>
        <v>120.17602739726027</v>
      </c>
      <c r="F14" s="98" t="s">
        <v>40</v>
      </c>
      <c r="G14" s="98" t="s">
        <v>93</v>
      </c>
      <c r="H14" s="98" t="s">
        <v>250</v>
      </c>
      <c r="I14" s="98" t="s">
        <v>264</v>
      </c>
      <c r="J14" s="126"/>
      <c r="K14" s="136"/>
      <c r="L14" s="99">
        <v>1968</v>
      </c>
      <c r="M14" s="99" t="s">
        <v>257</v>
      </c>
      <c r="N14" s="128">
        <f t="shared" si="1"/>
        <v>164.80319999999983</v>
      </c>
      <c r="O14" s="124"/>
      <c r="P14" s="99">
        <v>1968</v>
      </c>
    </row>
    <row r="15" spans="1:19" x14ac:dyDescent="0.25">
      <c r="A15" s="99">
        <v>1990</v>
      </c>
      <c r="B15" s="99" t="s">
        <v>252</v>
      </c>
      <c r="C15" s="97">
        <v>873.10699999999997</v>
      </c>
      <c r="D15" s="97">
        <f>(C15*1000)/year_to_hour</f>
        <v>99.669748858447491</v>
      </c>
      <c r="F15" s="99">
        <v>1990</v>
      </c>
      <c r="G15" s="99" t="s">
        <v>253</v>
      </c>
      <c r="H15" s="97">
        <v>494.11799999999999</v>
      </c>
      <c r="I15" s="97">
        <f t="shared" ref="I15:I21" si="2">(H15*1000)/year_to_hour</f>
        <v>56.406164383561645</v>
      </c>
      <c r="J15" s="126"/>
      <c r="K15" s="136"/>
      <c r="L15" s="70">
        <v>1969</v>
      </c>
      <c r="M15" s="99" t="s">
        <v>257</v>
      </c>
      <c r="N15" s="128">
        <f t="shared" si="1"/>
        <v>166.8780999999999</v>
      </c>
      <c r="O15" s="124"/>
      <c r="P15" s="70">
        <v>1969</v>
      </c>
    </row>
    <row r="16" spans="1:19" x14ac:dyDescent="0.25">
      <c r="A16" s="99">
        <v>1998</v>
      </c>
      <c r="B16" s="99" t="s">
        <v>252</v>
      </c>
      <c r="C16" s="97">
        <v>777.02300000000002</v>
      </c>
      <c r="D16" s="97">
        <f>(C16*1000)/year_to_hour</f>
        <v>88.701255707762556</v>
      </c>
      <c r="F16" s="99">
        <v>1993</v>
      </c>
      <c r="G16" s="99" t="s">
        <v>253</v>
      </c>
      <c r="H16" s="97">
        <v>484.31400000000002</v>
      </c>
      <c r="I16" s="97">
        <f t="shared" si="2"/>
        <v>55.286986301369865</v>
      </c>
      <c r="J16" s="126"/>
      <c r="K16" s="136"/>
      <c r="L16" s="99">
        <v>1970</v>
      </c>
      <c r="M16" s="99" t="s">
        <v>257</v>
      </c>
      <c r="N16" s="128">
        <f t="shared" si="1"/>
        <v>168.95299999999997</v>
      </c>
      <c r="O16" s="124"/>
      <c r="P16" s="99">
        <v>1970</v>
      </c>
    </row>
    <row r="17" spans="1:16" x14ac:dyDescent="0.25">
      <c r="A17" s="99"/>
      <c r="B17" s="99"/>
      <c r="C17" s="99"/>
      <c r="D17" s="99"/>
      <c r="F17" s="99">
        <v>1994</v>
      </c>
      <c r="G17" s="99" t="s">
        <v>253</v>
      </c>
      <c r="H17" s="97">
        <v>398.03899999999999</v>
      </c>
      <c r="I17" s="97">
        <f t="shared" si="2"/>
        <v>45.438242009132424</v>
      </c>
      <c r="J17" s="126"/>
      <c r="K17" s="136"/>
      <c r="L17" s="70">
        <v>1971</v>
      </c>
      <c r="M17" s="99" t="s">
        <v>257</v>
      </c>
      <c r="N17" s="128">
        <f t="shared" si="1"/>
        <v>171.02790000000005</v>
      </c>
      <c r="O17" s="124"/>
      <c r="P17" s="70">
        <v>1971</v>
      </c>
    </row>
    <row r="18" spans="1:16" x14ac:dyDescent="0.25">
      <c r="A18" s="120" t="s">
        <v>249</v>
      </c>
      <c r="B18" s="120"/>
      <c r="C18" s="127"/>
      <c r="D18" s="127"/>
      <c r="F18" s="99">
        <v>1995</v>
      </c>
      <c r="G18" s="99" t="s">
        <v>253</v>
      </c>
      <c r="H18" s="97">
        <v>349.02</v>
      </c>
      <c r="I18" s="97">
        <f t="shared" si="2"/>
        <v>39.842465753424655</v>
      </c>
      <c r="J18" s="126"/>
      <c r="K18" s="136"/>
      <c r="L18" s="99">
        <v>1972</v>
      </c>
      <c r="M18" s="99" t="s">
        <v>257</v>
      </c>
      <c r="N18" s="128">
        <f t="shared" si="1"/>
        <v>173.10280000000012</v>
      </c>
      <c r="O18" s="124"/>
      <c r="P18" s="99">
        <v>1972</v>
      </c>
    </row>
    <row r="19" spans="1:16" x14ac:dyDescent="0.25">
      <c r="A19" s="98" t="s">
        <v>40</v>
      </c>
      <c r="B19" s="98" t="s">
        <v>93</v>
      </c>
      <c r="C19" s="98" t="s">
        <v>250</v>
      </c>
      <c r="D19" s="98" t="s">
        <v>264</v>
      </c>
      <c r="F19" s="99">
        <v>2000</v>
      </c>
      <c r="G19" s="99" t="s">
        <v>253</v>
      </c>
      <c r="H19" s="99">
        <v>327.45100000000002</v>
      </c>
      <c r="I19" s="97">
        <f t="shared" si="2"/>
        <v>37.380251141552513</v>
      </c>
      <c r="J19" s="126"/>
      <c r="K19" s="136"/>
      <c r="L19" s="70">
        <v>1973</v>
      </c>
      <c r="M19" s="99" t="s">
        <v>257</v>
      </c>
      <c r="N19" s="128">
        <f t="shared" si="1"/>
        <v>175.17770000000019</v>
      </c>
      <c r="O19" s="124"/>
      <c r="P19" s="70">
        <v>1973</v>
      </c>
    </row>
    <row r="20" spans="1:16" x14ac:dyDescent="0.25">
      <c r="A20" s="126">
        <v>1973</v>
      </c>
      <c r="B20" s="99" t="s">
        <v>252</v>
      </c>
      <c r="C20" s="97">
        <v>426.11</v>
      </c>
      <c r="D20" s="97">
        <f t="shared" ref="D20:D33" si="3">(C20*1000)/year_to_hour</f>
        <v>48.642694063926939</v>
      </c>
      <c r="F20" s="99">
        <v>2002</v>
      </c>
      <c r="G20" s="99" t="s">
        <v>253</v>
      </c>
      <c r="H20" s="97">
        <v>298.03899999999999</v>
      </c>
      <c r="I20" s="97">
        <f t="shared" si="2"/>
        <v>34.022716894977172</v>
      </c>
      <c r="J20" s="70"/>
      <c r="K20" s="137"/>
      <c r="L20" s="99">
        <v>1974</v>
      </c>
      <c r="M20" s="99" t="s">
        <v>257</v>
      </c>
      <c r="N20" s="128">
        <f t="shared" si="1"/>
        <v>177.2525999999998</v>
      </c>
      <c r="P20" s="99">
        <v>1974</v>
      </c>
    </row>
    <row r="21" spans="1:16" x14ac:dyDescent="0.25">
      <c r="A21" s="126">
        <v>1980</v>
      </c>
      <c r="B21" s="99" t="s">
        <v>252</v>
      </c>
      <c r="C21" s="97">
        <v>459.53</v>
      </c>
      <c r="D21" s="97">
        <f t="shared" si="3"/>
        <v>52.457762557077622</v>
      </c>
      <c r="F21" s="99">
        <v>2005</v>
      </c>
      <c r="G21" s="99" t="s">
        <v>253</v>
      </c>
      <c r="H21" s="97">
        <v>272.54899999999998</v>
      </c>
      <c r="I21" s="97">
        <f t="shared" si="2"/>
        <v>31.112899543378994</v>
      </c>
      <c r="J21" s="70"/>
      <c r="K21" s="137"/>
      <c r="L21" s="70">
        <v>1975</v>
      </c>
      <c r="M21" s="99" t="s">
        <v>257</v>
      </c>
      <c r="N21" s="128">
        <f t="shared" si="1"/>
        <v>179.32749999999987</v>
      </c>
      <c r="P21" s="70">
        <v>1975</v>
      </c>
    </row>
    <row r="22" spans="1:16" x14ac:dyDescent="0.25">
      <c r="A22" s="126">
        <v>1990</v>
      </c>
      <c r="B22" s="99" t="s">
        <v>252</v>
      </c>
      <c r="C22" s="97">
        <v>509.661</v>
      </c>
      <c r="D22" s="97">
        <f t="shared" si="3"/>
        <v>58.180479452054797</v>
      </c>
      <c r="H22" s="99"/>
      <c r="I22" s="70"/>
      <c r="J22" s="70"/>
      <c r="K22" s="137"/>
      <c r="L22" s="99">
        <v>1976</v>
      </c>
      <c r="M22" s="99" t="s">
        <v>257</v>
      </c>
      <c r="N22" s="128">
        <f t="shared" si="1"/>
        <v>181.4024000000004</v>
      </c>
      <c r="P22" s="99">
        <v>1976</v>
      </c>
    </row>
    <row r="23" spans="1:16" x14ac:dyDescent="0.25">
      <c r="A23" s="126">
        <v>1998</v>
      </c>
      <c r="B23" s="99" t="s">
        <v>252</v>
      </c>
      <c r="C23" s="97">
        <v>488.77300000000002</v>
      </c>
      <c r="D23" s="97">
        <f t="shared" si="3"/>
        <v>55.796004566210044</v>
      </c>
      <c r="F23" s="120" t="s">
        <v>102</v>
      </c>
      <c r="G23" s="120"/>
      <c r="H23" s="127"/>
      <c r="I23" s="127"/>
      <c r="J23" s="70"/>
      <c r="K23" s="137"/>
      <c r="L23" s="70">
        <v>1977</v>
      </c>
      <c r="M23" s="99" t="s">
        <v>257</v>
      </c>
      <c r="N23" s="128">
        <f t="shared" si="1"/>
        <v>183.47730000000001</v>
      </c>
      <c r="P23" s="70">
        <v>1977</v>
      </c>
    </row>
    <row r="24" spans="1:16" x14ac:dyDescent="0.25">
      <c r="A24" s="126">
        <v>1999</v>
      </c>
      <c r="B24" s="99" t="s">
        <v>252</v>
      </c>
      <c r="C24" s="97">
        <v>484.59500000000003</v>
      </c>
      <c r="D24" s="97">
        <f t="shared" si="3"/>
        <v>55.319063926940636</v>
      </c>
      <c r="F24" s="98" t="s">
        <v>40</v>
      </c>
      <c r="G24" s="98" t="s">
        <v>93</v>
      </c>
      <c r="H24" s="98" t="s">
        <v>250</v>
      </c>
      <c r="I24" s="98" t="s">
        <v>264</v>
      </c>
      <c r="J24" s="70"/>
      <c r="K24" s="137"/>
      <c r="L24" s="99">
        <v>1978</v>
      </c>
      <c r="M24" s="99" t="s">
        <v>257</v>
      </c>
      <c r="N24" s="128">
        <f t="shared" si="1"/>
        <v>185.55219999999963</v>
      </c>
      <c r="P24" s="99">
        <v>1978</v>
      </c>
    </row>
    <row r="25" spans="1:16" x14ac:dyDescent="0.25">
      <c r="A25" s="126">
        <v>2000</v>
      </c>
      <c r="B25" s="99" t="s">
        <v>252</v>
      </c>
      <c r="C25" s="97">
        <v>480.41800000000001</v>
      </c>
      <c r="D25" s="97">
        <f t="shared" si="3"/>
        <v>54.842237442922375</v>
      </c>
      <c r="F25" s="99">
        <v>1998</v>
      </c>
      <c r="G25" s="99" t="s">
        <v>253</v>
      </c>
      <c r="H25" s="97">
        <v>672.54899999999998</v>
      </c>
      <c r="I25" s="97">
        <f t="shared" ref="I25:I33" si="4">(H25*1000)/year_to_hour</f>
        <v>76.775000000000006</v>
      </c>
      <c r="J25" s="70"/>
      <c r="K25" s="137"/>
      <c r="L25" s="70">
        <v>1979</v>
      </c>
      <c r="M25" s="99" t="s">
        <v>257</v>
      </c>
      <c r="N25" s="128">
        <f t="shared" si="1"/>
        <v>187.62710000000015</v>
      </c>
      <c r="P25" s="70">
        <v>1979</v>
      </c>
    </row>
    <row r="26" spans="1:16" x14ac:dyDescent="0.25">
      <c r="A26" s="126">
        <v>2001</v>
      </c>
      <c r="B26" s="99" t="s">
        <v>252</v>
      </c>
      <c r="C26" s="97">
        <v>476.24</v>
      </c>
      <c r="D26" s="97">
        <f t="shared" si="3"/>
        <v>54.365296803652967</v>
      </c>
      <c r="F26" s="99">
        <v>1999</v>
      </c>
      <c r="G26" s="99" t="s">
        <v>253</v>
      </c>
      <c r="H26" s="97">
        <v>627.45100000000002</v>
      </c>
      <c r="I26" s="97">
        <f t="shared" si="4"/>
        <v>71.626826484018267</v>
      </c>
      <c r="J26" s="70"/>
      <c r="K26" s="137"/>
      <c r="L26" s="99">
        <v>1980</v>
      </c>
      <c r="M26" s="99" t="s">
        <v>257</v>
      </c>
      <c r="N26" s="128">
        <f t="shared" si="1"/>
        <v>189.70199999999977</v>
      </c>
      <c r="P26" s="99">
        <v>1980</v>
      </c>
    </row>
    <row r="27" spans="1:16" x14ac:dyDescent="0.25">
      <c r="A27" s="126">
        <v>2002</v>
      </c>
      <c r="B27" s="99" t="s">
        <v>252</v>
      </c>
      <c r="C27" s="97">
        <v>467.88499999999999</v>
      </c>
      <c r="D27" s="97">
        <f t="shared" si="3"/>
        <v>53.411529680365298</v>
      </c>
      <c r="E27" s="99"/>
      <c r="F27" s="99">
        <v>2000</v>
      </c>
      <c r="G27" s="99" t="s">
        <v>253</v>
      </c>
      <c r="H27" s="97">
        <v>633.33299999999997</v>
      </c>
      <c r="I27" s="97">
        <f t="shared" si="4"/>
        <v>72.29828767123287</v>
      </c>
      <c r="J27" s="70"/>
      <c r="K27" s="137"/>
      <c r="L27" s="70">
        <v>1981</v>
      </c>
      <c r="M27" s="99" t="s">
        <v>257</v>
      </c>
      <c r="N27" s="128">
        <f t="shared" si="1"/>
        <v>191.7769000000003</v>
      </c>
      <c r="P27" s="70">
        <v>1981</v>
      </c>
    </row>
    <row r="28" spans="1:16" x14ac:dyDescent="0.25">
      <c r="A28" s="126">
        <v>2003</v>
      </c>
      <c r="B28" s="99" t="s">
        <v>252</v>
      </c>
      <c r="C28" s="97">
        <v>451.17500000000001</v>
      </c>
      <c r="D28" s="97">
        <f t="shared" si="3"/>
        <v>51.503995433789953</v>
      </c>
      <c r="E28" s="99"/>
      <c r="F28" s="99">
        <v>2001</v>
      </c>
      <c r="G28" s="99" t="s">
        <v>253</v>
      </c>
      <c r="H28" s="97">
        <v>545.09799999999996</v>
      </c>
      <c r="I28" s="97">
        <f t="shared" si="4"/>
        <v>62.225799086757988</v>
      </c>
      <c r="J28" s="70"/>
      <c r="K28" s="137"/>
      <c r="L28" s="99">
        <v>1982</v>
      </c>
      <c r="M28" s="99" t="s">
        <v>257</v>
      </c>
      <c r="N28" s="128">
        <f t="shared" si="1"/>
        <v>193.85179999999991</v>
      </c>
      <c r="P28" s="99">
        <v>1982</v>
      </c>
    </row>
    <row r="29" spans="1:16" x14ac:dyDescent="0.25">
      <c r="A29" s="126">
        <v>2004</v>
      </c>
      <c r="B29" s="99" t="s">
        <v>252</v>
      </c>
      <c r="C29" s="97">
        <v>434.46499999999997</v>
      </c>
      <c r="D29" s="97">
        <f t="shared" si="3"/>
        <v>49.596461187214615</v>
      </c>
      <c r="E29" s="99"/>
      <c r="F29" s="99">
        <v>2002</v>
      </c>
      <c r="G29" s="99" t="s">
        <v>253</v>
      </c>
      <c r="H29" s="99">
        <v>566.66700000000003</v>
      </c>
      <c r="I29" s="97">
        <f t="shared" si="4"/>
        <v>64.688013698630144</v>
      </c>
      <c r="J29" s="70"/>
      <c r="K29" s="137"/>
      <c r="L29" s="70">
        <v>1983</v>
      </c>
      <c r="M29" s="99" t="s">
        <v>257</v>
      </c>
      <c r="N29" s="128">
        <f t="shared" si="1"/>
        <v>195.92670000000044</v>
      </c>
      <c r="P29" s="70">
        <v>1983</v>
      </c>
    </row>
    <row r="30" spans="1:16" x14ac:dyDescent="0.25">
      <c r="A30" s="126">
        <v>2005</v>
      </c>
      <c r="B30" s="99" t="s">
        <v>252</v>
      </c>
      <c r="C30" s="97">
        <v>426.11</v>
      </c>
      <c r="D30" s="97">
        <f t="shared" si="3"/>
        <v>48.642694063926939</v>
      </c>
      <c r="E30" s="99"/>
      <c r="F30" s="99">
        <v>2004</v>
      </c>
      <c r="G30" s="99" t="s">
        <v>253</v>
      </c>
      <c r="H30" s="97">
        <v>527.45100000000002</v>
      </c>
      <c r="I30" s="97">
        <f t="shared" si="4"/>
        <v>60.211301369863016</v>
      </c>
      <c r="J30" s="70"/>
      <c r="K30" s="137"/>
      <c r="L30" s="99">
        <v>1984</v>
      </c>
      <c r="M30" s="99" t="s">
        <v>257</v>
      </c>
      <c r="N30" s="128">
        <f t="shared" si="1"/>
        <v>198.00160000000005</v>
      </c>
      <c r="P30" s="99">
        <v>1984</v>
      </c>
    </row>
    <row r="31" spans="1:16" x14ac:dyDescent="0.25">
      <c r="A31" s="126">
        <v>2006</v>
      </c>
      <c r="B31" s="99" t="s">
        <v>252</v>
      </c>
      <c r="C31" s="97">
        <v>413.577</v>
      </c>
      <c r="D31" s="97">
        <f t="shared" si="3"/>
        <v>47.211986301369862</v>
      </c>
      <c r="E31" s="99"/>
      <c r="F31" s="99">
        <v>2006</v>
      </c>
      <c r="G31" s="99" t="s">
        <v>253</v>
      </c>
      <c r="H31" s="97">
        <v>552.94100000000003</v>
      </c>
      <c r="I31" s="97">
        <f t="shared" si="4"/>
        <v>63.121118721461187</v>
      </c>
      <c r="J31" s="70"/>
      <c r="K31" s="137"/>
      <c r="L31" s="70">
        <v>1985</v>
      </c>
      <c r="M31" s="99" t="s">
        <v>257</v>
      </c>
      <c r="N31" s="128">
        <f t="shared" si="1"/>
        <v>200.07649999999967</v>
      </c>
      <c r="P31" s="70">
        <v>1985</v>
      </c>
    </row>
    <row r="32" spans="1:16" x14ac:dyDescent="0.25">
      <c r="A32" s="126">
        <v>2007</v>
      </c>
      <c r="B32" s="99" t="s">
        <v>252</v>
      </c>
      <c r="C32" s="97">
        <v>396.86700000000002</v>
      </c>
      <c r="D32" s="97">
        <f t="shared" si="3"/>
        <v>45.304452054794524</v>
      </c>
      <c r="E32" s="99"/>
      <c r="F32" s="99">
        <v>2007</v>
      </c>
      <c r="G32" s="99" t="s">
        <v>253</v>
      </c>
      <c r="H32" s="97">
        <v>527.45100000000002</v>
      </c>
      <c r="I32" s="97">
        <f t="shared" si="4"/>
        <v>60.211301369863016</v>
      </c>
      <c r="J32" s="70"/>
      <c r="K32" s="137"/>
      <c r="L32" s="99">
        <v>1986</v>
      </c>
      <c r="M32" s="99" t="s">
        <v>257</v>
      </c>
      <c r="N32" s="128">
        <f t="shared" si="1"/>
        <v>202.15140000000019</v>
      </c>
      <c r="P32" s="99">
        <v>1986</v>
      </c>
    </row>
    <row r="33" spans="1:16" x14ac:dyDescent="0.25">
      <c r="A33" s="126">
        <v>2008</v>
      </c>
      <c r="B33" s="99" t="s">
        <v>252</v>
      </c>
      <c r="C33" s="97">
        <v>384.334</v>
      </c>
      <c r="D33" s="97">
        <f t="shared" si="3"/>
        <v>43.87374429223744</v>
      </c>
      <c r="E33" s="99"/>
      <c r="F33" s="99">
        <v>2009</v>
      </c>
      <c r="G33" s="99" t="s">
        <v>253</v>
      </c>
      <c r="H33" s="97">
        <v>486.27499999999998</v>
      </c>
      <c r="I33" s="97">
        <f t="shared" si="4"/>
        <v>55.510844748858446</v>
      </c>
      <c r="J33" s="70"/>
      <c r="K33" s="137"/>
      <c r="L33" s="70">
        <v>1987</v>
      </c>
      <c r="M33" s="99" t="s">
        <v>257</v>
      </c>
      <c r="N33" s="128">
        <f t="shared" si="1"/>
        <v>204.22629999999981</v>
      </c>
      <c r="P33" s="70">
        <v>1987</v>
      </c>
    </row>
    <row r="34" spans="1:16" x14ac:dyDescent="0.25">
      <c r="G34" s="99"/>
      <c r="L34" s="99">
        <v>1988</v>
      </c>
      <c r="M34" s="99" t="s">
        <v>257</v>
      </c>
      <c r="N34" s="128">
        <f t="shared" si="1"/>
        <v>206.30120000000034</v>
      </c>
      <c r="P34" s="99">
        <v>1988</v>
      </c>
    </row>
    <row r="35" spans="1:16" x14ac:dyDescent="0.25">
      <c r="A35" s="120" t="s">
        <v>248</v>
      </c>
      <c r="B35" s="120"/>
      <c r="C35" s="127"/>
      <c r="D35" s="127"/>
      <c r="G35" s="99"/>
      <c r="L35" s="70">
        <v>1989</v>
      </c>
      <c r="M35" s="99" t="s">
        <v>257</v>
      </c>
      <c r="N35" s="128">
        <f t="shared" si="1"/>
        <v>208.37609999999995</v>
      </c>
      <c r="P35" s="70">
        <v>1989</v>
      </c>
    </row>
    <row r="36" spans="1:16" x14ac:dyDescent="0.25">
      <c r="A36" s="98" t="s">
        <v>40</v>
      </c>
      <c r="B36" s="98" t="s">
        <v>93</v>
      </c>
      <c r="C36" s="98" t="s">
        <v>250</v>
      </c>
      <c r="D36" s="98" t="s">
        <v>264</v>
      </c>
      <c r="G36" s="99"/>
      <c r="L36" s="99">
        <v>1990</v>
      </c>
      <c r="M36" s="99" t="s">
        <v>257</v>
      </c>
      <c r="N36" s="128">
        <f t="shared" si="1"/>
        <v>210.45100000000048</v>
      </c>
      <c r="P36" s="99">
        <v>1990</v>
      </c>
    </row>
    <row r="37" spans="1:16" x14ac:dyDescent="0.25">
      <c r="A37" s="99">
        <v>1973</v>
      </c>
      <c r="B37" s="99" t="s">
        <v>252</v>
      </c>
      <c r="C37" s="97">
        <v>434.46499999999997</v>
      </c>
      <c r="D37" s="97">
        <f>(C37*1000)/year_to_hour</f>
        <v>49.596461187214615</v>
      </c>
      <c r="G37" s="99"/>
      <c r="L37" s="70">
        <v>1991</v>
      </c>
      <c r="M37" s="99" t="s">
        <v>257</v>
      </c>
      <c r="N37" s="128">
        <f t="shared" si="1"/>
        <v>212.52590000000009</v>
      </c>
      <c r="P37" s="70">
        <v>1991</v>
      </c>
    </row>
    <row r="38" spans="1:16" x14ac:dyDescent="0.25">
      <c r="A38" s="99">
        <v>1980</v>
      </c>
      <c r="B38" s="99" t="s">
        <v>252</v>
      </c>
      <c r="C38" s="97">
        <v>685.11699999999996</v>
      </c>
      <c r="D38" s="97">
        <f>(C38*1000)/year_to_hour</f>
        <v>78.209703196347036</v>
      </c>
      <c r="G38" s="99"/>
      <c r="L38" s="99">
        <v>1992</v>
      </c>
      <c r="M38" s="99" t="s">
        <v>257</v>
      </c>
      <c r="N38" s="128">
        <f t="shared" si="1"/>
        <v>214.60079999999971</v>
      </c>
      <c r="P38" s="99">
        <v>1992</v>
      </c>
    </row>
    <row r="39" spans="1:16" x14ac:dyDescent="0.25">
      <c r="A39" s="99">
        <v>1990</v>
      </c>
      <c r="B39" s="99" t="s">
        <v>252</v>
      </c>
      <c r="C39" s="97">
        <v>660.05200000000002</v>
      </c>
      <c r="D39" s="97">
        <f>(C39*1000)/year_to_hour</f>
        <v>75.348401826484022</v>
      </c>
      <c r="L39" s="70">
        <v>1993</v>
      </c>
      <c r="M39" s="99" t="s">
        <v>257</v>
      </c>
      <c r="N39" s="128">
        <f t="shared" si="1"/>
        <v>216.67570000000023</v>
      </c>
      <c r="P39" s="70">
        <v>1993</v>
      </c>
    </row>
    <row r="40" spans="1:16" x14ac:dyDescent="0.25">
      <c r="A40" s="99">
        <v>1998</v>
      </c>
      <c r="B40" s="99" t="s">
        <v>252</v>
      </c>
      <c r="C40" s="97">
        <v>614.09900000000005</v>
      </c>
      <c r="D40" s="97">
        <f>(C40*1000)/year_to_hour</f>
        <v>70.102625570776254</v>
      </c>
      <c r="L40" s="99">
        <v>1994</v>
      </c>
      <c r="M40" s="99" t="s">
        <v>257</v>
      </c>
      <c r="N40" s="128">
        <f t="shared" si="1"/>
        <v>218.75059999999985</v>
      </c>
      <c r="P40" s="99">
        <v>1994</v>
      </c>
    </row>
    <row r="41" spans="1:16" x14ac:dyDescent="0.25">
      <c r="A41" s="99">
        <v>2000</v>
      </c>
      <c r="B41" s="99" t="s">
        <v>252</v>
      </c>
      <c r="C41" s="97">
        <v>459.53</v>
      </c>
      <c r="D41" s="97">
        <f>(C41*1000)/year_to_hour</f>
        <v>52.457762557077622</v>
      </c>
      <c r="L41" s="70">
        <v>1995</v>
      </c>
      <c r="M41" s="99" t="s">
        <v>257</v>
      </c>
      <c r="N41" s="128">
        <f t="shared" si="1"/>
        <v>220.82550000000037</v>
      </c>
      <c r="P41" s="70">
        <v>1995</v>
      </c>
    </row>
    <row r="42" spans="1:16" x14ac:dyDescent="0.25">
      <c r="L42" s="99">
        <v>1996</v>
      </c>
      <c r="M42" s="99" t="s">
        <v>257</v>
      </c>
      <c r="N42" s="128">
        <f t="shared" si="1"/>
        <v>222.90039999999999</v>
      </c>
      <c r="P42" s="99">
        <v>1996</v>
      </c>
    </row>
    <row r="43" spans="1:16" x14ac:dyDescent="0.25">
      <c r="A43" s="120" t="s">
        <v>229</v>
      </c>
      <c r="B43" s="120"/>
      <c r="C43" s="127"/>
      <c r="D43" s="127"/>
      <c r="L43" s="70">
        <v>1997</v>
      </c>
      <c r="M43" s="99" t="s">
        <v>257</v>
      </c>
      <c r="N43" s="128">
        <f t="shared" si="1"/>
        <v>224.97529999999961</v>
      </c>
      <c r="P43" s="70">
        <v>1997</v>
      </c>
    </row>
    <row r="44" spans="1:16" x14ac:dyDescent="0.25">
      <c r="A44" s="98" t="s">
        <v>40</v>
      </c>
      <c r="B44" s="98" t="s">
        <v>93</v>
      </c>
      <c r="C44" s="98" t="s">
        <v>250</v>
      </c>
      <c r="D44" s="98" t="s">
        <v>264</v>
      </c>
      <c r="L44" s="99">
        <v>1998</v>
      </c>
      <c r="M44" s="99" t="s">
        <v>257</v>
      </c>
      <c r="N44" s="128">
        <f t="shared" si="1"/>
        <v>227.05020000000013</v>
      </c>
      <c r="P44" s="99">
        <v>1998</v>
      </c>
    </row>
    <row r="45" spans="1:16" x14ac:dyDescent="0.25">
      <c r="A45" s="126">
        <v>1973</v>
      </c>
      <c r="B45" s="99" t="s">
        <v>252</v>
      </c>
      <c r="C45" s="97">
        <v>1449.6079999999999</v>
      </c>
      <c r="D45" s="97">
        <f t="shared" ref="D45:D51" si="5">(C45*1000)/year_to_hour</f>
        <v>165.48036529680365</v>
      </c>
      <c r="L45" s="70">
        <v>1999</v>
      </c>
      <c r="M45" s="99" t="s">
        <v>257</v>
      </c>
      <c r="N45" s="128">
        <f t="shared" si="1"/>
        <v>229.12509999999975</v>
      </c>
      <c r="P45" s="70">
        <v>1999</v>
      </c>
    </row>
    <row r="46" spans="1:16" x14ac:dyDescent="0.25">
      <c r="A46" s="126">
        <v>1980</v>
      </c>
      <c r="B46" s="99" t="s">
        <v>252</v>
      </c>
      <c r="C46" s="97">
        <v>1399.4780000000001</v>
      </c>
      <c r="D46" s="97">
        <f t="shared" si="5"/>
        <v>159.75776255707763</v>
      </c>
      <c r="L46" s="99">
        <v>2000</v>
      </c>
      <c r="M46" s="99" t="s">
        <v>257</v>
      </c>
      <c r="N46" s="128">
        <f t="shared" si="1"/>
        <v>231.20000000000027</v>
      </c>
      <c r="P46" s="99">
        <v>2000</v>
      </c>
    </row>
    <row r="47" spans="1:16" x14ac:dyDescent="0.25">
      <c r="A47" s="126">
        <v>1990</v>
      </c>
      <c r="B47" s="99" t="s">
        <v>252</v>
      </c>
      <c r="C47" s="97">
        <v>1157.18</v>
      </c>
      <c r="D47" s="97">
        <f t="shared" si="5"/>
        <v>132.09817351598173</v>
      </c>
      <c r="L47" s="70">
        <v>2001</v>
      </c>
      <c r="M47" s="99" t="s">
        <v>257</v>
      </c>
      <c r="N47" s="128">
        <f t="shared" si="1"/>
        <v>233.27489999999989</v>
      </c>
      <c r="P47" s="70">
        <v>2001</v>
      </c>
    </row>
    <row r="48" spans="1:16" x14ac:dyDescent="0.25">
      <c r="A48" s="126">
        <v>1993</v>
      </c>
      <c r="B48" s="99" t="s">
        <v>252</v>
      </c>
      <c r="C48" s="97">
        <v>1161.3579999999999</v>
      </c>
      <c r="D48" s="97">
        <f t="shared" si="5"/>
        <v>132.57511415525113</v>
      </c>
      <c r="L48" s="99">
        <v>2002</v>
      </c>
      <c r="M48" s="99" t="s">
        <v>257</v>
      </c>
      <c r="N48" s="128">
        <f t="shared" si="1"/>
        <v>235.34980000000041</v>
      </c>
      <c r="P48" s="99">
        <v>2002</v>
      </c>
    </row>
    <row r="49" spans="1:16" x14ac:dyDescent="0.25">
      <c r="A49" s="126">
        <v>1997</v>
      </c>
      <c r="B49" s="99" t="s">
        <v>252</v>
      </c>
      <c r="C49" s="97">
        <v>1069.452</v>
      </c>
      <c r="D49" s="97">
        <f t="shared" si="5"/>
        <v>122.08356164383562</v>
      </c>
      <c r="L49" s="70">
        <v>2003</v>
      </c>
      <c r="M49" s="99" t="s">
        <v>257</v>
      </c>
      <c r="N49" s="128">
        <f t="shared" si="1"/>
        <v>237.42470000000003</v>
      </c>
      <c r="P49" s="70">
        <v>2003</v>
      </c>
    </row>
    <row r="50" spans="1:16" x14ac:dyDescent="0.25">
      <c r="A50" s="126">
        <v>1998</v>
      </c>
      <c r="B50" s="99" t="s">
        <v>252</v>
      </c>
      <c r="C50" s="97">
        <v>927.41499999999996</v>
      </c>
      <c r="D50" s="97">
        <f t="shared" si="5"/>
        <v>105.86929223744292</v>
      </c>
      <c r="L50" s="99">
        <v>2004</v>
      </c>
      <c r="M50" s="99" t="s">
        <v>257</v>
      </c>
      <c r="N50" s="128">
        <f t="shared" si="1"/>
        <v>239.49959999999965</v>
      </c>
      <c r="P50" s="99">
        <v>2004</v>
      </c>
    </row>
    <row r="51" spans="1:16" x14ac:dyDescent="0.25">
      <c r="A51" s="126">
        <v>2005</v>
      </c>
      <c r="B51" s="99" t="s">
        <v>252</v>
      </c>
      <c r="C51" s="97">
        <v>1023.499</v>
      </c>
      <c r="D51" s="97">
        <f t="shared" si="5"/>
        <v>116.83778538812786</v>
      </c>
      <c r="L51" s="70">
        <v>2005</v>
      </c>
      <c r="M51" s="99" t="s">
        <v>257</v>
      </c>
      <c r="N51" s="128">
        <f t="shared" si="1"/>
        <v>241.57450000000017</v>
      </c>
      <c r="P51" s="70">
        <v>2005</v>
      </c>
    </row>
    <row r="52" spans="1:16" x14ac:dyDescent="0.25">
      <c r="L52" s="99">
        <v>2006</v>
      </c>
      <c r="M52" s="99" t="s">
        <v>257</v>
      </c>
      <c r="N52" s="128">
        <f t="shared" si="1"/>
        <v>243.64939999999979</v>
      </c>
      <c r="P52" s="99">
        <v>2006</v>
      </c>
    </row>
    <row r="53" spans="1:16" x14ac:dyDescent="0.25">
      <c r="L53" s="70">
        <v>2007</v>
      </c>
      <c r="M53" s="99" t="s">
        <v>257</v>
      </c>
      <c r="N53" s="128">
        <f t="shared" si="1"/>
        <v>245.72430000000031</v>
      </c>
      <c r="P53" s="70">
        <v>2007</v>
      </c>
    </row>
    <row r="54" spans="1:16" x14ac:dyDescent="0.25">
      <c r="L54" s="99">
        <v>2008</v>
      </c>
      <c r="M54" s="99" t="s">
        <v>257</v>
      </c>
      <c r="N54" s="128">
        <f t="shared" si="1"/>
        <v>247.79919999999993</v>
      </c>
      <c r="P54" s="99">
        <v>2008</v>
      </c>
    </row>
    <row r="55" spans="1:16" x14ac:dyDescent="0.25">
      <c r="L55" s="70">
        <v>2009</v>
      </c>
      <c r="M55" s="99" t="s">
        <v>257</v>
      </c>
      <c r="N55" s="128">
        <f t="shared" si="1"/>
        <v>249.87410000000045</v>
      </c>
      <c r="P55" s="70">
        <v>2009</v>
      </c>
    </row>
    <row r="56" spans="1:16" x14ac:dyDescent="0.25">
      <c r="L56" s="99">
        <v>2010</v>
      </c>
      <c r="M56" s="99" t="s">
        <v>257</v>
      </c>
      <c r="N56" s="128">
        <f t="shared" si="1"/>
        <v>251.94900000000007</v>
      </c>
      <c r="P56" s="99">
        <v>2010</v>
      </c>
    </row>
    <row r="57" spans="1:16" x14ac:dyDescent="0.25">
      <c r="L57" s="70">
        <v>2011</v>
      </c>
      <c r="M57" s="99" t="s">
        <v>257</v>
      </c>
      <c r="N57" s="128">
        <f t="shared" si="1"/>
        <v>254.02389999999968</v>
      </c>
      <c r="P57" s="70">
        <v>2011</v>
      </c>
    </row>
    <row r="58" spans="1:16" x14ac:dyDescent="0.25">
      <c r="L58" s="99">
        <v>2012</v>
      </c>
      <c r="M58" s="99" t="s">
        <v>257</v>
      </c>
      <c r="N58" s="128">
        <f t="shared" si="1"/>
        <v>256.09880000000021</v>
      </c>
      <c r="P58" s="99">
        <v>2012</v>
      </c>
    </row>
    <row r="59" spans="1:16" x14ac:dyDescent="0.25">
      <c r="L59" s="70">
        <v>2013</v>
      </c>
      <c r="M59" s="99" t="s">
        <v>257</v>
      </c>
      <c r="N59" s="128">
        <f t="shared" si="1"/>
        <v>258.17369999999983</v>
      </c>
      <c r="P59" s="70">
        <v>2013</v>
      </c>
    </row>
    <row r="60" spans="1:16" x14ac:dyDescent="0.25">
      <c r="L60" s="99">
        <v>2014</v>
      </c>
      <c r="M60" s="99" t="s">
        <v>257</v>
      </c>
      <c r="N60" s="128">
        <f t="shared" si="1"/>
        <v>260.24860000000035</v>
      </c>
      <c r="P60" s="99">
        <v>2014</v>
      </c>
    </row>
    <row r="61" spans="1:16" x14ac:dyDescent="0.25">
      <c r="L61" s="70">
        <v>2015</v>
      </c>
      <c r="M61" s="99" t="s">
        <v>257</v>
      </c>
      <c r="N61" s="128">
        <f t="shared" si="1"/>
        <v>262.32349999999997</v>
      </c>
      <c r="P61" s="70">
        <v>2015</v>
      </c>
    </row>
    <row r="62" spans="1:16" x14ac:dyDescent="0.25">
      <c r="L62" s="99">
        <v>2016</v>
      </c>
      <c r="M62" s="99" t="s">
        <v>257</v>
      </c>
      <c r="N62" s="128">
        <f t="shared" si="1"/>
        <v>264.39839999999958</v>
      </c>
      <c r="P62" s="99">
        <v>2016</v>
      </c>
    </row>
    <row r="63" spans="1:16" x14ac:dyDescent="0.25">
      <c r="L63" s="70">
        <v>2017</v>
      </c>
      <c r="M63" s="99" t="s">
        <v>257</v>
      </c>
      <c r="N63" s="128">
        <f t="shared" si="1"/>
        <v>266.47330000000011</v>
      </c>
      <c r="P63" s="70">
        <v>2017</v>
      </c>
    </row>
    <row r="64" spans="1:16" x14ac:dyDescent="0.25">
      <c r="L64" s="99">
        <v>2018</v>
      </c>
      <c r="M64" s="99" t="s">
        <v>257</v>
      </c>
      <c r="N64" s="128">
        <f t="shared" si="1"/>
        <v>268.54819999999972</v>
      </c>
      <c r="P64" s="99">
        <v>2018</v>
      </c>
    </row>
    <row r="65" spans="12:16" x14ac:dyDescent="0.25">
      <c r="L65" s="70">
        <v>2019</v>
      </c>
      <c r="M65" s="99" t="s">
        <v>257</v>
      </c>
      <c r="N65" s="128">
        <f t="shared" si="1"/>
        <v>270.62310000000025</v>
      </c>
      <c r="P65" s="70">
        <v>2019</v>
      </c>
    </row>
    <row r="66" spans="12:16" x14ac:dyDescent="0.25">
      <c r="L66" s="99">
        <v>2020</v>
      </c>
      <c r="M66" s="99" t="s">
        <v>257</v>
      </c>
      <c r="N66" s="128">
        <f t="shared" si="1"/>
        <v>272.69799999999987</v>
      </c>
      <c r="P66" s="99">
        <v>2020</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16"/>
  <sheetViews>
    <sheetView zoomScale="80" zoomScaleNormal="80" workbookViewId="0">
      <selection activeCell="G20" sqref="G20"/>
    </sheetView>
  </sheetViews>
  <sheetFormatPr defaultRowHeight="15.75" x14ac:dyDescent="0.25"/>
  <cols>
    <col min="1" max="1" width="19.25" customWidth="1"/>
    <col min="2" max="3" width="12.875" customWidth="1"/>
    <col min="4" max="4" width="34.25" customWidth="1"/>
    <col min="5" max="5" width="32" customWidth="1"/>
    <col min="6" max="6" width="16.75" bestFit="1" customWidth="1"/>
    <col min="7" max="7" width="22.75" bestFit="1" customWidth="1"/>
    <col min="8" max="8" width="25.125" bestFit="1" customWidth="1"/>
    <col min="9" max="9" width="20.875" bestFit="1" customWidth="1"/>
    <col min="10" max="10" width="19.5" bestFit="1" customWidth="1"/>
    <col min="11" max="11" width="16.875" bestFit="1" customWidth="1"/>
  </cols>
  <sheetData>
    <row r="1" spans="1:11" x14ac:dyDescent="0.25">
      <c r="A1" t="s">
        <v>232</v>
      </c>
    </row>
    <row r="2" spans="1:11" x14ac:dyDescent="0.25">
      <c r="A2" s="76" t="s">
        <v>233</v>
      </c>
    </row>
    <row r="5" spans="1:11" x14ac:dyDescent="0.25">
      <c r="A5" s="120" t="s">
        <v>243</v>
      </c>
      <c r="B5" s="121"/>
      <c r="C5" s="121"/>
      <c r="D5" s="121"/>
    </row>
    <row r="6" spans="1:11" x14ac:dyDescent="0.25">
      <c r="A6" s="98" t="s">
        <v>40</v>
      </c>
      <c r="B6" s="98" t="s">
        <v>234</v>
      </c>
      <c r="C6" s="98" t="s">
        <v>235</v>
      </c>
      <c r="D6" s="98" t="s">
        <v>95</v>
      </c>
      <c r="E6" s="98" t="s">
        <v>206</v>
      </c>
      <c r="F6" s="122" t="s">
        <v>207</v>
      </c>
      <c r="G6" s="98" t="s">
        <v>208</v>
      </c>
      <c r="H6" s="98" t="s">
        <v>213</v>
      </c>
      <c r="I6" s="98" t="s">
        <v>215</v>
      </c>
      <c r="J6" s="122" t="s">
        <v>216</v>
      </c>
      <c r="K6" s="122" t="s">
        <v>214</v>
      </c>
    </row>
    <row r="7" spans="1:11" x14ac:dyDescent="0.25">
      <c r="A7" s="70">
        <v>1986</v>
      </c>
      <c r="B7" s="94">
        <v>275</v>
      </c>
      <c r="C7" s="70">
        <f>B7*0.001</f>
        <v>0.27500000000000002</v>
      </c>
      <c r="D7" s="70">
        <v>520</v>
      </c>
      <c r="E7" s="94">
        <f>C7*internalvol_to_internalarea</f>
        <v>2.7121040723981906</v>
      </c>
      <c r="F7" s="74">
        <v>300</v>
      </c>
      <c r="G7" s="94">
        <v>273.14999999999998</v>
      </c>
      <c r="H7" s="94">
        <f>G7-F7</f>
        <v>-26.850000000000023</v>
      </c>
      <c r="I7" s="94">
        <f>heat_transfer_coefficient*E7*ABS(H7)</f>
        <v>24.758798076923107</v>
      </c>
      <c r="J7" s="94">
        <f>(D7/year_to_hour)*1000</f>
        <v>59.3607305936073</v>
      </c>
      <c r="K7" s="123">
        <f>I7/J7</f>
        <v>0.41709052144970465</v>
      </c>
    </row>
    <row r="9" spans="1:11" x14ac:dyDescent="0.25">
      <c r="A9" s="120" t="s">
        <v>242</v>
      </c>
      <c r="B9" s="121"/>
      <c r="C9" s="121"/>
      <c r="D9" s="121"/>
    </row>
    <row r="10" spans="1:11" x14ac:dyDescent="0.25">
      <c r="A10" s="98" t="s">
        <v>40</v>
      </c>
      <c r="B10" s="98" t="s">
        <v>234</v>
      </c>
      <c r="C10" s="98" t="s">
        <v>235</v>
      </c>
      <c r="D10" s="98" t="s">
        <v>95</v>
      </c>
      <c r="E10" s="98" t="s">
        <v>206</v>
      </c>
      <c r="F10" s="122" t="s">
        <v>207</v>
      </c>
      <c r="G10" s="98" t="s">
        <v>208</v>
      </c>
      <c r="H10" s="98" t="s">
        <v>213</v>
      </c>
      <c r="I10" s="98" t="s">
        <v>215</v>
      </c>
      <c r="J10" s="122" t="s">
        <v>216</v>
      </c>
      <c r="K10" s="122" t="s">
        <v>214</v>
      </c>
    </row>
    <row r="11" spans="1:11" x14ac:dyDescent="0.25">
      <c r="A11" s="70">
        <v>1986</v>
      </c>
      <c r="B11" s="94">
        <v>400</v>
      </c>
      <c r="C11" s="70">
        <f>B11*0.001</f>
        <v>0.4</v>
      </c>
      <c r="D11" s="70">
        <v>1300</v>
      </c>
      <c r="E11" s="94">
        <f>C11*internalvol_to_internalarea</f>
        <v>3.9448786507610047</v>
      </c>
      <c r="F11" s="74">
        <v>300</v>
      </c>
      <c r="G11" s="94">
        <v>273.14999999999998</v>
      </c>
      <c r="H11" s="94">
        <f>G11-F11</f>
        <v>-26.850000000000023</v>
      </c>
      <c r="I11" s="94">
        <f>heat_transfer_coefficient*E11*ABS(H11)</f>
        <v>36.012797202797245</v>
      </c>
      <c r="J11" s="94">
        <f>(D11/year_to_hour)*1000</f>
        <v>148.40182648401824</v>
      </c>
      <c r="K11" s="123">
        <f>I11/J11</f>
        <v>0.24267084884346454</v>
      </c>
    </row>
    <row r="14" spans="1:11" x14ac:dyDescent="0.25">
      <c r="A14" s="120" t="s">
        <v>241</v>
      </c>
      <c r="B14" s="121"/>
      <c r="C14" s="121"/>
      <c r="D14" s="121"/>
    </row>
    <row r="15" spans="1:11" x14ac:dyDescent="0.25">
      <c r="A15" s="122" t="s">
        <v>214</v>
      </c>
    </row>
    <row r="16" spans="1:11" x14ac:dyDescent="0.25">
      <c r="A16" s="123">
        <f>(K11*0.25)+(K7*0.75)</f>
        <v>0.37348560329814462</v>
      </c>
    </row>
  </sheetData>
  <hyperlinks>
    <hyperlink ref="A2" r:id="rId1" xr:uid="{00000000-0004-0000-0600-000000000000}"/>
  </hyperlinks>
  <pageMargins left="0.7" right="0.7" top="0.75" bottom="0.75" header="0.3" footer="0.3"/>
  <pageSetup paperSize="9" orientation="portrait" r:id="rId2"/>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C64"/>
  <sheetViews>
    <sheetView zoomScale="80" zoomScaleNormal="80" workbookViewId="0">
      <selection activeCell="B5" sqref="B5"/>
    </sheetView>
  </sheetViews>
  <sheetFormatPr defaultRowHeight="15.75" x14ac:dyDescent="0.25"/>
  <cols>
    <col min="1" max="1" width="65" customWidth="1"/>
    <col min="3" max="3" width="12.125" bestFit="1" customWidth="1"/>
  </cols>
  <sheetData>
    <row r="1" spans="1:3" x14ac:dyDescent="0.25">
      <c r="A1" t="s">
        <v>192</v>
      </c>
    </row>
    <row r="2" spans="1:3" x14ac:dyDescent="0.25">
      <c r="A2" s="76" t="s">
        <v>193</v>
      </c>
    </row>
    <row r="3" spans="1:3" x14ac:dyDescent="0.25">
      <c r="A3" s="70"/>
    </row>
    <row r="4" spans="1:3" x14ac:dyDescent="0.25">
      <c r="A4" s="117" t="s">
        <v>100</v>
      </c>
      <c r="B4" s="71" t="s">
        <v>131</v>
      </c>
      <c r="C4" s="71" t="s">
        <v>226</v>
      </c>
    </row>
    <row r="5" spans="1:3" x14ac:dyDescent="0.25">
      <c r="A5" s="116" t="s">
        <v>218</v>
      </c>
      <c r="B5" s="70">
        <v>0.34</v>
      </c>
      <c r="C5" s="70" t="s">
        <v>219</v>
      </c>
    </row>
    <row r="7" spans="1:3" x14ac:dyDescent="0.25">
      <c r="A7" t="s">
        <v>225</v>
      </c>
      <c r="B7" s="70">
        <v>2.032</v>
      </c>
      <c r="C7" s="70" t="s">
        <v>220</v>
      </c>
    </row>
    <row r="8" spans="1:3" x14ac:dyDescent="0.25">
      <c r="A8" t="s">
        <v>228</v>
      </c>
      <c r="B8" s="70">
        <v>0.46600000000000003</v>
      </c>
      <c r="C8" s="70" t="s">
        <v>220</v>
      </c>
    </row>
    <row r="10" spans="1:3" x14ac:dyDescent="0.25">
      <c r="A10" s="115" t="s">
        <v>224</v>
      </c>
      <c r="B10" s="70">
        <v>1.732</v>
      </c>
      <c r="C10" s="70" t="s">
        <v>220</v>
      </c>
    </row>
    <row r="11" spans="1:3" x14ac:dyDescent="0.25">
      <c r="A11" s="115" t="s">
        <v>223</v>
      </c>
      <c r="B11" s="70">
        <v>0.9</v>
      </c>
      <c r="C11" s="70" t="s">
        <v>220</v>
      </c>
    </row>
    <row r="12" spans="1:3" x14ac:dyDescent="0.25">
      <c r="A12" s="115" t="s">
        <v>222</v>
      </c>
      <c r="B12" s="70">
        <v>0.06</v>
      </c>
      <c r="C12" s="70" t="s">
        <v>221</v>
      </c>
    </row>
    <row r="14" spans="1:3" x14ac:dyDescent="0.25">
      <c r="A14" s="115" t="s">
        <v>311</v>
      </c>
    </row>
    <row r="15" spans="1:3" x14ac:dyDescent="0.25">
      <c r="A15" s="114" t="s">
        <v>217</v>
      </c>
    </row>
    <row r="21" spans="1:1" x14ac:dyDescent="0.25">
      <c r="A21" t="s">
        <v>227</v>
      </c>
    </row>
    <row r="37" spans="1:2" x14ac:dyDescent="0.25">
      <c r="B37" s="94"/>
    </row>
    <row r="38" spans="1:2" x14ac:dyDescent="0.25">
      <c r="B38" s="94"/>
    </row>
    <row r="39" spans="1:2" x14ac:dyDescent="0.25">
      <c r="B39" s="94"/>
    </row>
    <row r="40" spans="1:2" x14ac:dyDescent="0.25">
      <c r="A40" s="101" t="s">
        <v>194</v>
      </c>
      <c r="B40" s="94">
        <v>1.49</v>
      </c>
    </row>
    <row r="41" spans="1:2" x14ac:dyDescent="0.25">
      <c r="A41" s="101" t="s">
        <v>195</v>
      </c>
      <c r="B41" s="94">
        <v>0.6</v>
      </c>
    </row>
    <row r="42" spans="1:2" x14ac:dyDescent="0.25">
      <c r="A42" s="101" t="s">
        <v>196</v>
      </c>
      <c r="B42" s="94">
        <v>0.59</v>
      </c>
    </row>
    <row r="43" spans="1:2" x14ac:dyDescent="0.25">
      <c r="A43" s="101" t="s">
        <v>202</v>
      </c>
      <c r="B43" s="94">
        <f>2*((B40*B41)+(B40*B42)+(B41*B42))</f>
        <v>4.2542</v>
      </c>
    </row>
    <row r="44" spans="1:2" x14ac:dyDescent="0.25">
      <c r="A44" s="101" t="s">
        <v>201</v>
      </c>
      <c r="B44" s="94">
        <f>B40*B41*B42</f>
        <v>0.52745999999999993</v>
      </c>
    </row>
    <row r="45" spans="1:2" x14ac:dyDescent="0.25">
      <c r="A45" s="101"/>
      <c r="B45" s="94"/>
    </row>
    <row r="46" spans="1:2" x14ac:dyDescent="0.25">
      <c r="A46" s="101" t="s">
        <v>197</v>
      </c>
      <c r="B46" s="94">
        <v>1.36</v>
      </c>
    </row>
    <row r="47" spans="1:2" x14ac:dyDescent="0.25">
      <c r="A47" s="101" t="s">
        <v>198</v>
      </c>
      <c r="B47" s="94">
        <v>0.52</v>
      </c>
    </row>
    <row r="48" spans="1:2" x14ac:dyDescent="0.25">
      <c r="A48" s="101" t="s">
        <v>199</v>
      </c>
      <c r="B48" s="94">
        <v>0.44</v>
      </c>
    </row>
    <row r="49" spans="1:2" x14ac:dyDescent="0.25">
      <c r="A49" s="101" t="s">
        <v>203</v>
      </c>
      <c r="B49" s="94">
        <f>2*((B46*B47)+(B46*B48)+(B47*B48))</f>
        <v>3.0688000000000004</v>
      </c>
    </row>
    <row r="50" spans="1:2" x14ac:dyDescent="0.25">
      <c r="A50" s="101" t="s">
        <v>200</v>
      </c>
      <c r="B50" s="94">
        <f>B46*B47*B48</f>
        <v>0.311168</v>
      </c>
    </row>
    <row r="51" spans="1:2" x14ac:dyDescent="0.25">
      <c r="A51" s="101"/>
      <c r="B51" s="94"/>
    </row>
    <row r="52" spans="1:2" x14ac:dyDescent="0.25">
      <c r="A52" s="101" t="s">
        <v>204</v>
      </c>
      <c r="B52" s="94">
        <f>0.9*0.48</f>
        <v>0.432</v>
      </c>
    </row>
    <row r="53" spans="1:2" x14ac:dyDescent="0.25">
      <c r="A53" s="101"/>
      <c r="B53" s="94"/>
    </row>
    <row r="54" spans="1:2" x14ac:dyDescent="0.25">
      <c r="A54" s="101" t="s">
        <v>205</v>
      </c>
      <c r="B54" s="94">
        <f>B49/B50</f>
        <v>9.8621966269025112</v>
      </c>
    </row>
    <row r="55" spans="1:2" x14ac:dyDescent="0.25">
      <c r="B55" s="94"/>
    </row>
    <row r="56" spans="1:2" x14ac:dyDescent="0.25">
      <c r="B56" s="94"/>
    </row>
    <row r="57" spans="1:2" x14ac:dyDescent="0.25">
      <c r="B57" s="94"/>
    </row>
    <row r="58" spans="1:2" x14ac:dyDescent="0.25">
      <c r="B58" s="94"/>
    </row>
    <row r="59" spans="1:2" x14ac:dyDescent="0.25">
      <c r="B59" s="94"/>
    </row>
    <row r="60" spans="1:2" x14ac:dyDescent="0.25">
      <c r="B60" s="94"/>
    </row>
    <row r="61" spans="1:2" x14ac:dyDescent="0.25">
      <c r="B61" s="94"/>
    </row>
    <row r="62" spans="1:2" x14ac:dyDescent="0.25">
      <c r="B62" s="94"/>
    </row>
    <row r="63" spans="1:2" x14ac:dyDescent="0.25">
      <c r="B63" s="94"/>
    </row>
    <row r="64" spans="1:2" x14ac:dyDescent="0.25">
      <c r="B64" s="94"/>
    </row>
  </sheetData>
  <hyperlinks>
    <hyperlink ref="A2" r:id="rId1" xr:uid="{00000000-0004-0000-0700-00000000000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J16"/>
  <sheetViews>
    <sheetView zoomScale="80" zoomScaleNormal="80" workbookViewId="0">
      <selection activeCell="G13" sqref="G13"/>
    </sheetView>
  </sheetViews>
  <sheetFormatPr defaultRowHeight="15.75" x14ac:dyDescent="0.25"/>
  <cols>
    <col min="1" max="1" width="25.5" style="70" bestFit="1" customWidth="1"/>
    <col min="2" max="2" width="19.125" style="70" customWidth="1"/>
  </cols>
  <sheetData>
    <row r="1" spans="1:10" s="104" customFormat="1" x14ac:dyDescent="0.25">
      <c r="A1" s="71" t="s">
        <v>209</v>
      </c>
      <c r="B1" s="71" t="s">
        <v>131</v>
      </c>
    </row>
    <row r="2" spans="1:10" x14ac:dyDescent="0.25">
      <c r="A2" s="98" t="s">
        <v>187</v>
      </c>
      <c r="B2" s="70">
        <v>2.8316846711688E-2</v>
      </c>
    </row>
    <row r="3" spans="1:10" x14ac:dyDescent="0.25">
      <c r="A3" s="98" t="s">
        <v>212</v>
      </c>
      <c r="B3" s="70">
        <v>8760</v>
      </c>
    </row>
    <row r="4" spans="1:10" x14ac:dyDescent="0.25">
      <c r="A4" s="98" t="s">
        <v>210</v>
      </c>
      <c r="B4" s="70">
        <f>Laguerre_2010!B54</f>
        <v>9.8621966269025112</v>
      </c>
    </row>
    <row r="5" spans="1:10" x14ac:dyDescent="0.25">
      <c r="A5" s="98" t="s">
        <v>211</v>
      </c>
      <c r="B5" s="70">
        <f>Laguerre_2010!B5</f>
        <v>0.34</v>
      </c>
    </row>
    <row r="6" spans="1:10" x14ac:dyDescent="0.25">
      <c r="A6" s="98" t="s">
        <v>236</v>
      </c>
      <c r="B6" s="94" t="s">
        <v>237</v>
      </c>
    </row>
    <row r="7" spans="1:10" x14ac:dyDescent="0.25">
      <c r="A7" s="98" t="s">
        <v>261</v>
      </c>
      <c r="B7" s="70">
        <v>293.14999999999998</v>
      </c>
    </row>
    <row r="8" spans="1:10" x14ac:dyDescent="0.25">
      <c r="A8" s="98" t="s">
        <v>262</v>
      </c>
      <c r="B8" s="70">
        <v>273.14999999999998</v>
      </c>
      <c r="D8" s="132"/>
      <c r="E8" s="132"/>
      <c r="F8" s="132"/>
      <c r="G8" s="132"/>
      <c r="H8" s="132"/>
      <c r="I8" s="132"/>
      <c r="J8" s="132"/>
    </row>
    <row r="9" spans="1:10" x14ac:dyDescent="0.25">
      <c r="A9" s="98" t="s">
        <v>263</v>
      </c>
      <c r="B9" s="70">
        <f>B8-int_temp</f>
        <v>-20</v>
      </c>
      <c r="D9" s="122"/>
      <c r="E9" s="122"/>
      <c r="F9" s="122"/>
      <c r="G9" s="132"/>
      <c r="H9" s="132"/>
      <c r="I9" s="132"/>
      <c r="J9" s="132"/>
    </row>
    <row r="10" spans="1:10" x14ac:dyDescent="0.25">
      <c r="D10" s="133"/>
      <c r="E10" s="133"/>
      <c r="F10" s="133"/>
      <c r="G10" s="132"/>
      <c r="H10" s="132"/>
      <c r="I10" s="132"/>
      <c r="J10" s="132"/>
    </row>
    <row r="11" spans="1:10" x14ac:dyDescent="0.25">
      <c r="D11" s="132"/>
      <c r="E11" s="132"/>
      <c r="F11" s="132"/>
      <c r="G11" s="132"/>
      <c r="H11" s="132"/>
      <c r="I11" s="132"/>
      <c r="J11" s="132"/>
    </row>
    <row r="12" spans="1:10" x14ac:dyDescent="0.25">
      <c r="D12" s="132"/>
      <c r="E12" s="132"/>
      <c r="F12" s="132"/>
      <c r="G12" s="132"/>
      <c r="H12" s="132"/>
      <c r="I12" s="132"/>
      <c r="J12" s="132"/>
    </row>
    <row r="13" spans="1:10" x14ac:dyDescent="0.25">
      <c r="D13" s="132"/>
      <c r="E13" s="132"/>
      <c r="F13" s="132"/>
      <c r="G13" s="132"/>
      <c r="H13" s="132"/>
      <c r="I13" s="132"/>
      <c r="J13" s="132"/>
    </row>
    <row r="14" spans="1:10" x14ac:dyDescent="0.25">
      <c r="D14" s="132"/>
      <c r="E14" s="132"/>
      <c r="F14" s="132"/>
      <c r="G14" s="132"/>
      <c r="H14" s="132"/>
      <c r="I14" s="132"/>
      <c r="J14" s="132"/>
    </row>
    <row r="15" spans="1:10" x14ac:dyDescent="0.25">
      <c r="D15" s="132"/>
      <c r="E15" s="132"/>
      <c r="F15" s="132"/>
      <c r="G15" s="132"/>
      <c r="H15" s="132"/>
      <c r="I15" s="132"/>
      <c r="J15" s="132"/>
    </row>
    <row r="16" spans="1:10" x14ac:dyDescent="0.25">
      <c r="D16" s="132"/>
      <c r="E16" s="132"/>
      <c r="F16" s="132"/>
      <c r="G16" s="132"/>
      <c r="H16" s="132"/>
      <c r="I16" s="132"/>
      <c r="J16" s="13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9"/>
  <sheetViews>
    <sheetView zoomScale="80" zoomScaleNormal="80" workbookViewId="0">
      <selection activeCell="F15" sqref="F15"/>
    </sheetView>
  </sheetViews>
  <sheetFormatPr defaultRowHeight="15.75" x14ac:dyDescent="0.25"/>
  <cols>
    <col min="1" max="1" width="12.5" style="94" bestFit="1" customWidth="1"/>
    <col min="2" max="2" width="11.875" style="94" bestFit="1" customWidth="1"/>
    <col min="3" max="3" width="9.5" style="94" customWidth="1"/>
    <col min="4" max="4" width="20.125" style="94" bestFit="1" customWidth="1"/>
    <col min="5" max="5" width="17" bestFit="1" customWidth="1"/>
    <col min="6" max="6" width="19.625" bestFit="1" customWidth="1"/>
    <col min="7" max="7" width="14.875" bestFit="1" customWidth="1"/>
    <col min="8" max="8" width="20" bestFit="1" customWidth="1"/>
    <col min="9" max="9" width="9.25" bestFit="1" customWidth="1"/>
    <col min="10" max="10" width="17.625" bestFit="1" customWidth="1"/>
  </cols>
  <sheetData>
    <row r="1" spans="1:10" x14ac:dyDescent="0.25">
      <c r="A1" s="102" t="s">
        <v>181</v>
      </c>
      <c r="B1" s="103"/>
      <c r="C1" s="103"/>
    </row>
    <row r="2" spans="1:10" x14ac:dyDescent="0.25">
      <c r="A2" s="96" t="s">
        <v>180</v>
      </c>
    </row>
    <row r="3" spans="1:10" x14ac:dyDescent="0.25">
      <c r="A3" s="96"/>
    </row>
    <row r="4" spans="1:10" x14ac:dyDescent="0.25">
      <c r="A4" s="95" t="s">
        <v>158</v>
      </c>
      <c r="B4" s="145" t="s">
        <v>160</v>
      </c>
      <c r="C4" s="145"/>
      <c r="D4" s="95" t="s">
        <v>161</v>
      </c>
      <c r="E4" s="98" t="s">
        <v>164</v>
      </c>
      <c r="F4" s="98" t="s">
        <v>167</v>
      </c>
      <c r="G4" s="98" t="s">
        <v>169</v>
      </c>
      <c r="H4" s="98" t="s">
        <v>183</v>
      </c>
      <c r="I4" s="98" t="s">
        <v>182</v>
      </c>
      <c r="J4" s="98" t="s">
        <v>174</v>
      </c>
    </row>
    <row r="5" spans="1:10" s="101" customFormat="1" x14ac:dyDescent="0.25">
      <c r="A5" s="95" t="s">
        <v>159</v>
      </c>
      <c r="B5" s="95"/>
      <c r="C5" s="95"/>
      <c r="D5" s="95" t="s">
        <v>162</v>
      </c>
      <c r="E5" s="98" t="s">
        <v>165</v>
      </c>
      <c r="F5" s="98" t="s">
        <v>168</v>
      </c>
      <c r="G5" s="98"/>
      <c r="H5" s="98" t="s">
        <v>170</v>
      </c>
      <c r="I5" s="98" t="s">
        <v>172</v>
      </c>
      <c r="J5" s="98" t="s">
        <v>175</v>
      </c>
    </row>
    <row r="6" spans="1:10" s="101" customFormat="1" x14ac:dyDescent="0.25">
      <c r="A6" s="95"/>
      <c r="B6" s="95" t="s">
        <v>177</v>
      </c>
      <c r="C6" s="95" t="s">
        <v>179</v>
      </c>
      <c r="D6" s="95" t="s">
        <v>163</v>
      </c>
      <c r="E6" s="98" t="s">
        <v>166</v>
      </c>
      <c r="F6" s="98"/>
      <c r="G6" s="98"/>
      <c r="H6" s="98" t="s">
        <v>171</v>
      </c>
      <c r="I6" s="98" t="s">
        <v>173</v>
      </c>
      <c r="J6" s="98" t="s">
        <v>176</v>
      </c>
    </row>
    <row r="7" spans="1:10" x14ac:dyDescent="0.25">
      <c r="B7" s="94" t="s">
        <v>178</v>
      </c>
      <c r="C7" s="94" t="s">
        <v>178</v>
      </c>
      <c r="E7" s="94"/>
      <c r="F7" s="94"/>
      <c r="G7" s="94"/>
      <c r="H7" s="94"/>
      <c r="I7" s="94"/>
      <c r="J7" s="94"/>
    </row>
    <row r="8" spans="1:10" x14ac:dyDescent="0.25">
      <c r="A8" s="94">
        <v>175</v>
      </c>
      <c r="B8" s="94">
        <v>1.0023</v>
      </c>
      <c r="C8" s="94">
        <v>0.71519999999999995</v>
      </c>
      <c r="D8" s="94">
        <v>1.401</v>
      </c>
      <c r="E8" s="94">
        <v>1.1819999999999999</v>
      </c>
      <c r="F8" s="94">
        <v>1.593</v>
      </c>
      <c r="G8" s="94">
        <v>0.74399999999999999</v>
      </c>
      <c r="H8" s="94">
        <v>0.58599999999999997</v>
      </c>
      <c r="I8" s="94">
        <v>2.0169999999999999</v>
      </c>
      <c r="J8" s="94"/>
    </row>
    <row r="9" spans="1:10" x14ac:dyDescent="0.25">
      <c r="A9" s="94">
        <v>200</v>
      </c>
      <c r="B9" s="94">
        <v>1.0024999999999999</v>
      </c>
      <c r="C9" s="94">
        <v>0.71540000000000004</v>
      </c>
      <c r="D9" s="94">
        <v>1.401</v>
      </c>
      <c r="E9" s="94">
        <v>1.329</v>
      </c>
      <c r="F9" s="94">
        <v>1.8089999999999999</v>
      </c>
      <c r="G9" s="94">
        <v>0.73599999999999999</v>
      </c>
      <c r="H9" s="94">
        <v>0.753</v>
      </c>
      <c r="I9" s="94">
        <v>1.7649999999999999</v>
      </c>
      <c r="J9" s="94">
        <v>10.23</v>
      </c>
    </row>
    <row r="10" spans="1:10" x14ac:dyDescent="0.25">
      <c r="A10" s="94">
        <v>225</v>
      </c>
      <c r="B10" s="94">
        <v>1.0026999999999999</v>
      </c>
      <c r="C10" s="94">
        <v>0.71560000000000001</v>
      </c>
      <c r="D10" s="94">
        <v>1.401</v>
      </c>
      <c r="E10" s="94">
        <v>1.4670000000000001</v>
      </c>
      <c r="F10" s="94">
        <v>2.02</v>
      </c>
      <c r="G10" s="94">
        <v>0.72799999999999998</v>
      </c>
      <c r="H10" s="94">
        <v>0.93500000000000005</v>
      </c>
      <c r="I10" s="94">
        <v>1.569</v>
      </c>
      <c r="J10" s="94"/>
    </row>
    <row r="11" spans="1:10" x14ac:dyDescent="0.25">
      <c r="A11" s="94">
        <v>250</v>
      </c>
      <c r="B11" s="94">
        <v>1.0031000000000001</v>
      </c>
      <c r="C11" s="94">
        <v>0.71599999999999997</v>
      </c>
      <c r="D11" s="94">
        <v>1.401</v>
      </c>
      <c r="E11" s="94">
        <v>1.599</v>
      </c>
      <c r="F11" s="94">
        <v>2.2269999999999999</v>
      </c>
      <c r="G11" s="94">
        <v>0.72</v>
      </c>
      <c r="H11" s="94">
        <v>1.1319999999999999</v>
      </c>
      <c r="I11" s="94">
        <v>1.4119999999999999</v>
      </c>
      <c r="J11" s="94">
        <v>15.72</v>
      </c>
    </row>
    <row r="12" spans="1:10" x14ac:dyDescent="0.25">
      <c r="A12" s="94">
        <v>275</v>
      </c>
      <c r="B12" s="94">
        <v>1.0038</v>
      </c>
      <c r="C12" s="94">
        <v>0.7167</v>
      </c>
      <c r="D12" s="94">
        <v>1.401</v>
      </c>
      <c r="E12" s="94">
        <v>1.7250000000000001</v>
      </c>
      <c r="F12" s="94">
        <v>2.4279999999999999</v>
      </c>
      <c r="G12" s="94">
        <v>0.71299999999999997</v>
      </c>
      <c r="H12" s="94">
        <v>1.343</v>
      </c>
      <c r="I12" s="94">
        <v>1.284</v>
      </c>
      <c r="J12" s="94"/>
    </row>
    <row r="13" spans="1:10" x14ac:dyDescent="0.25">
      <c r="A13" s="94">
        <v>300</v>
      </c>
      <c r="B13" s="94">
        <v>1.0048999999999999</v>
      </c>
      <c r="C13" s="94">
        <v>0.71779999999999999</v>
      </c>
      <c r="D13" s="94">
        <v>1.4</v>
      </c>
      <c r="E13" s="94">
        <v>1.8460000000000001</v>
      </c>
      <c r="F13" s="94">
        <v>2.6240000000000001</v>
      </c>
      <c r="G13" s="94">
        <v>0.70699999999999996</v>
      </c>
      <c r="H13" s="94">
        <v>1.5680000000000001</v>
      </c>
      <c r="I13" s="94">
        <v>1.177</v>
      </c>
      <c r="J13" s="94">
        <v>22.18</v>
      </c>
    </row>
    <row r="14" spans="1:10" x14ac:dyDescent="0.25">
      <c r="A14" s="94">
        <v>325</v>
      </c>
      <c r="B14" s="94">
        <v>1.0063</v>
      </c>
      <c r="C14" s="94">
        <v>0.71919999999999995</v>
      </c>
      <c r="D14" s="94">
        <v>1.4</v>
      </c>
      <c r="E14" s="94">
        <v>1.962</v>
      </c>
      <c r="F14" s="94">
        <v>2.8159999999999998</v>
      </c>
      <c r="G14" s="94">
        <v>0.70099999999999996</v>
      </c>
      <c r="H14" s="94">
        <v>1.8069999999999999</v>
      </c>
      <c r="I14" s="94">
        <v>1.0860000000000001</v>
      </c>
      <c r="J14" s="94"/>
    </row>
    <row r="15" spans="1:10" x14ac:dyDescent="0.25">
      <c r="A15" s="94">
        <v>350</v>
      </c>
      <c r="B15" s="94">
        <v>1.0082</v>
      </c>
      <c r="C15" s="94">
        <v>0.72109999999999996</v>
      </c>
      <c r="D15" s="94">
        <v>1.3979999999999999</v>
      </c>
      <c r="E15" s="94">
        <v>2.0750000000000002</v>
      </c>
      <c r="F15" s="94">
        <v>3.0030000000000001</v>
      </c>
      <c r="G15" s="94">
        <v>0.69699999999999995</v>
      </c>
      <c r="H15" s="94">
        <v>2.056</v>
      </c>
      <c r="I15" s="94">
        <v>1.0089999999999999</v>
      </c>
      <c r="J15" s="94">
        <v>29.5</v>
      </c>
    </row>
    <row r="16" spans="1:10" x14ac:dyDescent="0.25">
      <c r="A16" s="94">
        <v>375</v>
      </c>
      <c r="B16" s="94">
        <v>1.0105999999999999</v>
      </c>
      <c r="C16" s="94">
        <v>0.72350000000000003</v>
      </c>
      <c r="D16" s="94">
        <v>1.397</v>
      </c>
      <c r="E16" s="94">
        <v>2.181</v>
      </c>
      <c r="F16" s="94">
        <v>3.1859999999999999</v>
      </c>
      <c r="G16" s="94">
        <v>0.69199999999999995</v>
      </c>
      <c r="H16" s="94">
        <v>2.3170000000000002</v>
      </c>
      <c r="I16" s="94">
        <v>0.94130000000000003</v>
      </c>
      <c r="J16" s="94"/>
    </row>
    <row r="17" spans="1:10" x14ac:dyDescent="0.25">
      <c r="A17" s="94">
        <v>400</v>
      </c>
      <c r="B17" s="94">
        <v>1.0135000000000001</v>
      </c>
      <c r="C17" s="94">
        <v>0.72640000000000005</v>
      </c>
      <c r="D17" s="94">
        <v>1.395</v>
      </c>
      <c r="E17" s="94">
        <v>2.286</v>
      </c>
      <c r="F17" s="94">
        <v>3.3650000000000002</v>
      </c>
      <c r="G17" s="94">
        <v>0.68799999999999994</v>
      </c>
      <c r="H17" s="94">
        <v>2.5910000000000002</v>
      </c>
      <c r="I17" s="94">
        <v>0.88239999999999996</v>
      </c>
      <c r="J17" s="94">
        <v>37.659999999999997</v>
      </c>
    </row>
    <row r="18" spans="1:10" x14ac:dyDescent="0.25">
      <c r="A18" s="94">
        <v>450</v>
      </c>
      <c r="B18" s="94">
        <v>1.0206</v>
      </c>
      <c r="C18" s="94">
        <v>0.73350000000000004</v>
      </c>
      <c r="D18" s="94">
        <v>1.391</v>
      </c>
      <c r="E18" s="94">
        <v>2.4849999999999999</v>
      </c>
      <c r="F18" s="94">
        <v>3.71</v>
      </c>
      <c r="G18" s="94">
        <v>0.68400000000000005</v>
      </c>
      <c r="H18" s="94">
        <v>3.1680000000000001</v>
      </c>
      <c r="I18" s="94">
        <v>0.78439999999999999</v>
      </c>
      <c r="J18" s="94"/>
    </row>
    <row r="19" spans="1:10" x14ac:dyDescent="0.25">
      <c r="A19" s="94">
        <v>500</v>
      </c>
      <c r="B19" s="94">
        <v>1.0295000000000001</v>
      </c>
      <c r="C19" s="94">
        <v>0.74239999999999995</v>
      </c>
      <c r="D19" s="94">
        <v>1.387</v>
      </c>
      <c r="E19" s="94">
        <v>2.67</v>
      </c>
      <c r="F19" s="94">
        <v>4.0410000000000004</v>
      </c>
      <c r="G19" s="94">
        <v>0.68</v>
      </c>
      <c r="H19" s="94">
        <v>3.782</v>
      </c>
      <c r="I19" s="94">
        <v>0.70599999999999996</v>
      </c>
      <c r="J19" s="94"/>
    </row>
    <row r="20" spans="1:10" x14ac:dyDescent="0.25">
      <c r="A20" s="94">
        <v>550</v>
      </c>
      <c r="B20" s="94">
        <v>1.0398000000000001</v>
      </c>
      <c r="C20" s="94">
        <v>0.75270000000000004</v>
      </c>
      <c r="D20" s="94">
        <v>1.381</v>
      </c>
      <c r="E20" s="94">
        <v>2.8490000000000002</v>
      </c>
      <c r="F20" s="94">
        <v>4.3570000000000002</v>
      </c>
      <c r="G20" s="94">
        <v>0.68</v>
      </c>
      <c r="H20" s="94">
        <v>4.4390000000000001</v>
      </c>
      <c r="I20" s="94">
        <v>0.64180000000000004</v>
      </c>
      <c r="J20" s="94"/>
    </row>
    <row r="21" spans="1:10" x14ac:dyDescent="0.25">
      <c r="A21" s="94">
        <v>600</v>
      </c>
      <c r="B21" s="94">
        <v>1.0510999999999999</v>
      </c>
      <c r="C21" s="94">
        <v>0.76400000000000001</v>
      </c>
      <c r="D21" s="94">
        <v>1.3759999999999999</v>
      </c>
      <c r="E21" s="94">
        <v>3.0169999999999999</v>
      </c>
      <c r="F21" s="94">
        <v>4.6609999999999996</v>
      </c>
      <c r="G21" s="94">
        <v>0.68</v>
      </c>
      <c r="H21" s="94">
        <v>5.1280000000000001</v>
      </c>
      <c r="I21" s="94">
        <v>0.58830000000000005</v>
      </c>
      <c r="J21" s="94"/>
    </row>
    <row r="22" spans="1:10" x14ac:dyDescent="0.25">
      <c r="A22" s="94">
        <v>650</v>
      </c>
      <c r="B22" s="94">
        <v>1.0629</v>
      </c>
      <c r="C22" s="94">
        <v>0.77580000000000005</v>
      </c>
      <c r="D22" s="94">
        <v>1.37</v>
      </c>
      <c r="E22" s="94">
        <v>3.1779999999999999</v>
      </c>
      <c r="F22" s="94">
        <v>4.9539999999999997</v>
      </c>
      <c r="G22" s="94">
        <v>0.68200000000000005</v>
      </c>
      <c r="H22" s="94">
        <v>5.8529999999999998</v>
      </c>
      <c r="I22" s="94">
        <v>0.54300000000000004</v>
      </c>
      <c r="J22" s="94"/>
    </row>
    <row r="23" spans="1:10" x14ac:dyDescent="0.25">
      <c r="A23" s="94">
        <v>700</v>
      </c>
      <c r="B23" s="94">
        <v>1.075</v>
      </c>
      <c r="C23" s="94">
        <v>0.78790000000000004</v>
      </c>
      <c r="D23" s="94">
        <v>1.3640000000000001</v>
      </c>
      <c r="E23" s="94">
        <v>3.3319999999999999</v>
      </c>
      <c r="F23" s="94">
        <v>5.2359999999999998</v>
      </c>
      <c r="G23" s="94">
        <v>0.68400000000000005</v>
      </c>
      <c r="H23" s="94">
        <v>6.6070000000000002</v>
      </c>
      <c r="I23" s="94">
        <v>0.50429999999999997</v>
      </c>
      <c r="J23" s="94"/>
    </row>
    <row r="24" spans="1:10" x14ac:dyDescent="0.25">
      <c r="A24" s="94">
        <v>750</v>
      </c>
      <c r="B24" s="94">
        <v>1.087</v>
      </c>
      <c r="C24" s="94">
        <v>0.79990000000000006</v>
      </c>
      <c r="D24" s="94">
        <v>1.359</v>
      </c>
      <c r="E24" s="94">
        <v>3.4820000000000002</v>
      </c>
      <c r="F24" s="94">
        <v>5.5090000000000003</v>
      </c>
      <c r="G24" s="94">
        <v>0.68700000000000006</v>
      </c>
      <c r="H24" s="94">
        <v>7.399</v>
      </c>
      <c r="I24" s="94">
        <v>0.47060000000000002</v>
      </c>
      <c r="J24" s="94"/>
    </row>
    <row r="25" spans="1:10" x14ac:dyDescent="0.25">
      <c r="A25" s="94">
        <v>800</v>
      </c>
      <c r="B25" s="94">
        <v>1.0987</v>
      </c>
      <c r="C25" s="94">
        <v>0.81159999999999999</v>
      </c>
      <c r="D25" s="94">
        <v>1.3540000000000001</v>
      </c>
      <c r="E25" s="94">
        <v>3.6240000000000001</v>
      </c>
      <c r="F25" s="94">
        <v>5.774</v>
      </c>
      <c r="G25" s="94">
        <v>0.69</v>
      </c>
      <c r="H25" s="94">
        <v>8.2140000000000004</v>
      </c>
      <c r="I25" s="94">
        <v>0.44119999999999998</v>
      </c>
      <c r="J25" s="94"/>
    </row>
    <row r="26" spans="1:10" x14ac:dyDescent="0.25">
      <c r="A26" s="94">
        <v>850</v>
      </c>
      <c r="B26" s="94">
        <v>1.1101000000000001</v>
      </c>
      <c r="C26" s="94">
        <v>0.82299999999999995</v>
      </c>
      <c r="D26" s="94">
        <v>1.349</v>
      </c>
      <c r="E26" s="94">
        <v>3.7629999999999999</v>
      </c>
      <c r="F26" s="94">
        <v>6.03</v>
      </c>
      <c r="G26" s="94">
        <v>0.69299999999999995</v>
      </c>
      <c r="H26" s="94">
        <v>9.0609999999999999</v>
      </c>
      <c r="I26" s="94">
        <v>0.4153</v>
      </c>
      <c r="J26" s="94"/>
    </row>
    <row r="27" spans="1:10" x14ac:dyDescent="0.25">
      <c r="A27" s="94">
        <v>900</v>
      </c>
      <c r="B27" s="94">
        <v>1.1209</v>
      </c>
      <c r="C27" s="94">
        <v>0.83379999999999999</v>
      </c>
      <c r="D27" s="94">
        <v>1.3440000000000001</v>
      </c>
      <c r="E27" s="94">
        <v>3.8969999999999998</v>
      </c>
      <c r="F27" s="94">
        <v>6.2759999999999998</v>
      </c>
      <c r="G27" s="94">
        <v>0.69599999999999995</v>
      </c>
      <c r="H27" s="94">
        <v>9.9359999999999999</v>
      </c>
      <c r="I27" s="94">
        <v>0.39219999999999999</v>
      </c>
      <c r="J27" s="94"/>
    </row>
    <row r="28" spans="1:10" x14ac:dyDescent="0.25">
      <c r="A28" s="94">
        <v>950</v>
      </c>
      <c r="B28" s="94">
        <v>1.1313</v>
      </c>
      <c r="C28" s="94">
        <v>0.84419999999999995</v>
      </c>
      <c r="D28" s="94">
        <v>1.34</v>
      </c>
      <c r="E28" s="94">
        <v>4.0259999999999998</v>
      </c>
      <c r="F28" s="94">
        <v>6.52</v>
      </c>
      <c r="G28" s="94">
        <v>0.69899999999999995</v>
      </c>
      <c r="H28" s="94">
        <v>10.83</v>
      </c>
      <c r="I28" s="94">
        <v>0.37159999999999999</v>
      </c>
      <c r="J28" s="94"/>
    </row>
    <row r="29" spans="1:10" x14ac:dyDescent="0.25">
      <c r="A29" s="94">
        <v>1000</v>
      </c>
      <c r="B29" s="94">
        <v>1.1411</v>
      </c>
      <c r="C29" s="94">
        <v>0.85399999999999998</v>
      </c>
      <c r="D29" s="94">
        <v>1.3360000000000001</v>
      </c>
      <c r="E29" s="94">
        <v>4.1529999999999996</v>
      </c>
      <c r="F29" s="94">
        <v>6.7539999999999996</v>
      </c>
      <c r="G29" s="94">
        <v>0.70199999999999996</v>
      </c>
      <c r="H29" s="94">
        <v>11.76</v>
      </c>
      <c r="I29" s="94">
        <v>0.35299999999999998</v>
      </c>
      <c r="J29" s="94"/>
    </row>
    <row r="30" spans="1:10" x14ac:dyDescent="0.25">
      <c r="A30" s="94">
        <v>1050</v>
      </c>
      <c r="B30" s="94">
        <v>1.1501999999999999</v>
      </c>
      <c r="C30" s="94">
        <v>0.86309999999999998</v>
      </c>
      <c r="D30" s="94">
        <v>1.333</v>
      </c>
      <c r="E30" s="94">
        <v>4.2759999999999998</v>
      </c>
      <c r="F30" s="94">
        <v>6.9850000000000003</v>
      </c>
      <c r="G30" s="94">
        <v>0.70399999999999996</v>
      </c>
      <c r="H30" s="94">
        <v>12.72</v>
      </c>
      <c r="I30" s="94">
        <v>0.3362</v>
      </c>
      <c r="J30" s="94"/>
    </row>
    <row r="31" spans="1:10" x14ac:dyDescent="0.25">
      <c r="A31" s="94">
        <v>1100</v>
      </c>
      <c r="B31" s="94">
        <v>1.1589</v>
      </c>
      <c r="C31" s="94">
        <v>0.87180000000000002</v>
      </c>
      <c r="D31" s="94">
        <v>1.329</v>
      </c>
      <c r="E31" s="94">
        <v>4.3959999999999999</v>
      </c>
      <c r="F31" s="94">
        <v>7.2089999999999996</v>
      </c>
      <c r="G31" s="94">
        <v>0.70699999999999996</v>
      </c>
      <c r="H31" s="94">
        <v>13.7</v>
      </c>
      <c r="I31" s="94">
        <v>0.32090000000000002</v>
      </c>
      <c r="J31" s="94"/>
    </row>
    <row r="32" spans="1:10" x14ac:dyDescent="0.25">
      <c r="A32" s="94">
        <v>1150</v>
      </c>
      <c r="B32" s="94">
        <v>1.167</v>
      </c>
      <c r="C32" s="94">
        <v>0.87990000000000002</v>
      </c>
      <c r="D32" s="94">
        <v>1.3260000000000001</v>
      </c>
      <c r="E32" s="94">
        <v>4.5110000000000001</v>
      </c>
      <c r="F32" s="94">
        <v>7.4269999999999996</v>
      </c>
      <c r="G32" s="94">
        <v>0.70899999999999996</v>
      </c>
      <c r="H32" s="94">
        <v>14.7</v>
      </c>
      <c r="I32" s="94">
        <v>0.30690000000000001</v>
      </c>
      <c r="J32" s="94"/>
    </row>
    <row r="33" spans="1:10" x14ac:dyDescent="0.25">
      <c r="A33" s="94">
        <v>1200</v>
      </c>
      <c r="B33" s="94">
        <v>1.1746000000000001</v>
      </c>
      <c r="C33" s="94">
        <v>0.88749999999999996</v>
      </c>
      <c r="D33" s="94">
        <v>1.323</v>
      </c>
      <c r="E33" s="94">
        <v>4.6260000000000003</v>
      </c>
      <c r="F33" s="94">
        <v>7.64</v>
      </c>
      <c r="G33" s="94">
        <v>0.71099999999999997</v>
      </c>
      <c r="H33" s="94">
        <v>15.73</v>
      </c>
      <c r="I33" s="94">
        <v>0.29409999999999997</v>
      </c>
      <c r="J33" s="94"/>
    </row>
    <row r="34" spans="1:10" x14ac:dyDescent="0.25">
      <c r="A34" s="94">
        <v>1250</v>
      </c>
      <c r="B34" s="94">
        <v>1.1817</v>
      </c>
      <c r="C34" s="94">
        <v>0.89459999999999995</v>
      </c>
      <c r="D34" s="94">
        <v>1.321</v>
      </c>
      <c r="E34" s="94">
        <v>4.7359999999999998</v>
      </c>
      <c r="F34" s="94">
        <v>7.8490000000000002</v>
      </c>
      <c r="G34" s="94">
        <v>0.71299999999999997</v>
      </c>
      <c r="H34" s="94">
        <v>16.77</v>
      </c>
      <c r="I34" s="94">
        <v>0.28239999999999998</v>
      </c>
      <c r="J34" s="94"/>
    </row>
    <row r="35" spans="1:10" x14ac:dyDescent="0.25">
      <c r="A35" s="94">
        <v>1300</v>
      </c>
      <c r="B35" s="94">
        <v>1.1883999999999999</v>
      </c>
      <c r="C35" s="94">
        <v>0.90129999999999999</v>
      </c>
      <c r="D35" s="94">
        <v>1.319</v>
      </c>
      <c r="E35" s="94">
        <v>4.8460000000000001</v>
      </c>
      <c r="F35" s="94">
        <v>8.0540000000000003</v>
      </c>
      <c r="G35" s="94">
        <v>0.71499999999999997</v>
      </c>
      <c r="H35" s="94">
        <v>17.850000000000001</v>
      </c>
      <c r="I35" s="94">
        <v>0.27150000000000002</v>
      </c>
      <c r="J35" s="94"/>
    </row>
    <row r="36" spans="1:10" x14ac:dyDescent="0.25">
      <c r="A36" s="94">
        <v>1350</v>
      </c>
      <c r="B36" s="94">
        <v>1.1946000000000001</v>
      </c>
      <c r="C36" s="94">
        <v>0.90749999999999997</v>
      </c>
      <c r="D36" s="94">
        <v>1.3160000000000001</v>
      </c>
      <c r="E36" s="94">
        <v>4.952</v>
      </c>
      <c r="F36" s="94">
        <v>8.2530000000000001</v>
      </c>
      <c r="G36" s="94">
        <v>0.71699999999999997</v>
      </c>
      <c r="H36" s="94">
        <v>18.940000000000001</v>
      </c>
      <c r="I36" s="94">
        <v>0.26150000000000001</v>
      </c>
      <c r="J36" s="94"/>
    </row>
    <row r="37" spans="1:10" x14ac:dyDescent="0.25">
      <c r="A37" s="94">
        <v>1400</v>
      </c>
      <c r="B37" s="94">
        <v>1.2004999999999999</v>
      </c>
      <c r="C37" s="94">
        <v>0.91339999999999999</v>
      </c>
      <c r="D37" s="94">
        <v>1.3140000000000001</v>
      </c>
      <c r="E37" s="94">
        <v>5.0570000000000004</v>
      </c>
      <c r="F37" s="94">
        <v>8.4499999999999993</v>
      </c>
      <c r="G37" s="94">
        <v>0.71899999999999997</v>
      </c>
      <c r="H37" s="94">
        <v>20.059999999999999</v>
      </c>
      <c r="I37" s="94">
        <v>0.25209999999999999</v>
      </c>
      <c r="J37" s="94"/>
    </row>
    <row r="38" spans="1:10" x14ac:dyDescent="0.25">
      <c r="A38" s="94">
        <v>1500</v>
      </c>
      <c r="B38" s="94">
        <v>1.2112000000000001</v>
      </c>
      <c r="C38" s="94">
        <v>0.92410000000000003</v>
      </c>
      <c r="D38" s="94">
        <v>1.3109999999999999</v>
      </c>
      <c r="E38" s="94">
        <v>5.2640000000000002</v>
      </c>
      <c r="F38" s="94">
        <v>8.8309999999999995</v>
      </c>
      <c r="G38" s="94">
        <v>0.72199999999999998</v>
      </c>
      <c r="H38" s="94">
        <v>22.36</v>
      </c>
      <c r="I38" s="94">
        <v>0.23530000000000001</v>
      </c>
      <c r="J38" s="94"/>
    </row>
    <row r="39" spans="1:10" x14ac:dyDescent="0.25">
      <c r="A39" s="94">
        <v>1600</v>
      </c>
      <c r="B39" s="94">
        <v>1.2206999999999999</v>
      </c>
      <c r="C39" s="94">
        <v>0.93359999999999999</v>
      </c>
      <c r="D39" s="94">
        <v>1.3080000000000001</v>
      </c>
      <c r="E39" s="94">
        <v>5.4569999999999999</v>
      </c>
      <c r="F39" s="94">
        <v>9.1989999999999998</v>
      </c>
      <c r="G39" s="94">
        <v>0.72399999999999998</v>
      </c>
      <c r="H39" s="94">
        <v>24.74</v>
      </c>
      <c r="I39" s="94">
        <v>0.22059999999999999</v>
      </c>
      <c r="J39" s="94"/>
    </row>
    <row r="40" spans="1:10" x14ac:dyDescent="0.25">
      <c r="A40" s="94">
        <v>1700</v>
      </c>
      <c r="B40" s="94">
        <v>1.2293000000000001</v>
      </c>
      <c r="C40" s="94">
        <v>0.94220000000000004</v>
      </c>
      <c r="D40" s="94">
        <v>1.3049999999999999</v>
      </c>
      <c r="E40" s="94">
        <v>5.6459999999999999</v>
      </c>
      <c r="F40" s="94">
        <v>9.5540000000000003</v>
      </c>
      <c r="G40" s="94">
        <v>0.72599999999999998</v>
      </c>
      <c r="H40" s="94">
        <v>27.2</v>
      </c>
      <c r="I40" s="94">
        <v>0.20760000000000001</v>
      </c>
      <c r="J40" s="94"/>
    </row>
    <row r="41" spans="1:10" x14ac:dyDescent="0.25">
      <c r="A41" s="94">
        <v>1800</v>
      </c>
      <c r="B41" s="94">
        <v>1.2370000000000001</v>
      </c>
      <c r="C41" s="94">
        <v>0.94989999999999997</v>
      </c>
      <c r="D41" s="94">
        <v>1.302</v>
      </c>
      <c r="E41" s="94">
        <v>5.8289999999999997</v>
      </c>
      <c r="F41" s="94">
        <v>9.8989999999999991</v>
      </c>
      <c r="G41" s="94">
        <v>0.72799999999999998</v>
      </c>
      <c r="H41" s="94">
        <v>29.72</v>
      </c>
      <c r="I41" s="94">
        <v>0.1961</v>
      </c>
      <c r="J41" s="94"/>
    </row>
    <row r="42" spans="1:10" x14ac:dyDescent="0.25">
      <c r="A42" s="94">
        <v>1900</v>
      </c>
      <c r="B42" s="94">
        <v>1.244</v>
      </c>
      <c r="C42" s="94">
        <v>0.95689999999999997</v>
      </c>
      <c r="D42" s="94">
        <v>1.3</v>
      </c>
      <c r="E42" s="94">
        <v>6.008</v>
      </c>
      <c r="F42" s="94">
        <v>10.233000000000001</v>
      </c>
      <c r="G42" s="94">
        <v>0.73</v>
      </c>
      <c r="H42" s="94">
        <v>32.340000000000003</v>
      </c>
      <c r="I42" s="94">
        <v>0.18579999999999999</v>
      </c>
      <c r="J42" s="94"/>
    </row>
    <row r="43" spans="1:10" x14ac:dyDescent="0.25">
      <c r="E43" s="94"/>
    </row>
    <row r="44" spans="1:10" x14ac:dyDescent="0.25">
      <c r="E44" s="94"/>
    </row>
    <row r="45" spans="1:10" x14ac:dyDescent="0.25">
      <c r="E45" s="94"/>
    </row>
    <row r="46" spans="1:10" x14ac:dyDescent="0.25">
      <c r="E46" s="94"/>
    </row>
    <row r="47" spans="1:10" x14ac:dyDescent="0.25">
      <c r="E47" s="94"/>
    </row>
    <row r="48" spans="1:10" x14ac:dyDescent="0.25">
      <c r="E48" s="94"/>
    </row>
    <row r="49" spans="5:5" x14ac:dyDescent="0.25">
      <c r="E49" s="94"/>
    </row>
  </sheetData>
  <mergeCells count="1">
    <mergeCell ref="B4:C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zoomScale="80" zoomScaleNormal="80" workbookViewId="0">
      <selection activeCell="I35" sqref="I35"/>
    </sheetView>
  </sheetViews>
  <sheetFormatPr defaultColWidth="9" defaultRowHeight="15" x14ac:dyDescent="0.25"/>
  <cols>
    <col min="1" max="16384" width="9" style="3"/>
  </cols>
  <sheetData>
    <row r="1" spans="1:1" x14ac:dyDescent="0.25">
      <c r="A1" s="75" t="s">
        <v>254</v>
      </c>
    </row>
    <row r="2" spans="1:1" x14ac:dyDescent="0.25">
      <c r="A2" s="76" t="s">
        <v>255</v>
      </c>
    </row>
  </sheetData>
  <hyperlinks>
    <hyperlink ref="A2" r:id="rId1" xr:uid="{00000000-0004-0000-05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AT87"/>
  <sheetViews>
    <sheetView workbookViewId="0">
      <selection activeCell="AT19" sqref="AT19"/>
    </sheetView>
  </sheetViews>
  <sheetFormatPr defaultColWidth="11" defaultRowHeight="15.75" x14ac:dyDescent="0.25"/>
  <sheetData>
    <row r="3" spans="1:5" x14ac:dyDescent="0.25">
      <c r="A3" t="s">
        <v>0</v>
      </c>
    </row>
    <row r="5" spans="1:5" x14ac:dyDescent="0.25">
      <c r="A5" t="s">
        <v>1</v>
      </c>
    </row>
    <row r="6" spans="1:5" x14ac:dyDescent="0.25">
      <c r="A6" t="s">
        <v>2</v>
      </c>
    </row>
    <row r="7" spans="1:5" x14ac:dyDescent="0.25">
      <c r="A7" t="s">
        <v>3</v>
      </c>
    </row>
    <row r="9" spans="1:5" x14ac:dyDescent="0.25">
      <c r="A9" t="s">
        <v>4</v>
      </c>
    </row>
    <row r="10" spans="1:5" x14ac:dyDescent="0.25">
      <c r="A10" t="s">
        <v>5</v>
      </c>
      <c r="B10">
        <v>25</v>
      </c>
      <c r="C10" t="s">
        <v>6</v>
      </c>
    </row>
    <row r="11" spans="1:5" x14ac:dyDescent="0.25">
      <c r="A11" t="s">
        <v>7</v>
      </c>
      <c r="B11">
        <v>-10</v>
      </c>
      <c r="C11" t="s">
        <v>6</v>
      </c>
    </row>
    <row r="12" spans="1:5" x14ac:dyDescent="0.25">
      <c r="A12" t="s">
        <v>8</v>
      </c>
      <c r="B12">
        <f>(T_ref+273.15) / ((T_0_ref+273.15) - (T_ref+273.15))</f>
        <v>7.5185714285714278</v>
      </c>
    </row>
    <row r="13" spans="1:5" x14ac:dyDescent="0.25">
      <c r="A13" t="s">
        <v>9</v>
      </c>
      <c r="B13">
        <v>0.65</v>
      </c>
      <c r="C13" t="s">
        <v>10</v>
      </c>
      <c r="D13" s="1">
        <f>B13/COP_max</f>
        <v>8.6452593577807352E-2</v>
      </c>
      <c r="E13" t="s">
        <v>11</v>
      </c>
    </row>
    <row r="17" spans="1:46" x14ac:dyDescent="0.25">
      <c r="D17">
        <v>1971</v>
      </c>
      <c r="E17">
        <v>1972</v>
      </c>
      <c r="F17">
        <v>1973</v>
      </c>
      <c r="G17">
        <v>1974</v>
      </c>
      <c r="H17">
        <v>1975</v>
      </c>
      <c r="I17">
        <v>1976</v>
      </c>
      <c r="J17">
        <v>1977</v>
      </c>
      <c r="K17">
        <v>1978</v>
      </c>
      <c r="L17">
        <v>1979</v>
      </c>
      <c r="M17">
        <v>1980</v>
      </c>
      <c r="N17">
        <v>1981</v>
      </c>
      <c r="O17">
        <v>1982</v>
      </c>
      <c r="P17">
        <v>1983</v>
      </c>
      <c r="Q17">
        <v>1984</v>
      </c>
      <c r="R17">
        <v>1985</v>
      </c>
      <c r="S17">
        <v>1986</v>
      </c>
      <c r="T17">
        <v>1987</v>
      </c>
      <c r="U17">
        <v>1988</v>
      </c>
      <c r="V17">
        <v>1989</v>
      </c>
      <c r="W17">
        <v>1990</v>
      </c>
      <c r="X17">
        <v>1991</v>
      </c>
      <c r="Y17">
        <v>1992</v>
      </c>
      <c r="Z17">
        <v>1993</v>
      </c>
      <c r="AA17">
        <v>1994</v>
      </c>
      <c r="AB17">
        <v>1995</v>
      </c>
      <c r="AC17">
        <v>1996</v>
      </c>
      <c r="AD17">
        <v>1997</v>
      </c>
      <c r="AE17">
        <v>1998</v>
      </c>
      <c r="AF17">
        <v>1999</v>
      </c>
      <c r="AG17">
        <v>2000</v>
      </c>
      <c r="AH17">
        <v>2001</v>
      </c>
      <c r="AI17">
        <v>2002</v>
      </c>
      <c r="AJ17">
        <v>2003</v>
      </c>
      <c r="AK17">
        <v>2004</v>
      </c>
      <c r="AL17">
        <v>2005</v>
      </c>
      <c r="AM17">
        <v>2006</v>
      </c>
      <c r="AN17">
        <v>2007</v>
      </c>
      <c r="AO17">
        <v>2008</v>
      </c>
      <c r="AP17">
        <v>2009</v>
      </c>
      <c r="AQ17">
        <v>2010</v>
      </c>
      <c r="AR17">
        <v>2011</v>
      </c>
      <c r="AS17">
        <v>2012</v>
      </c>
      <c r="AT17">
        <v>2013</v>
      </c>
    </row>
    <row r="18" spans="1:46" x14ac:dyDescent="0.25">
      <c r="C18" t="s">
        <v>9</v>
      </c>
      <c r="D18" s="2">
        <v>0.21</v>
      </c>
      <c r="E18">
        <f xml:space="preserve"> $D18 + (E17-$D$17) / ($AT$17-$D$17) * ($AT18-$D18)</f>
        <v>0.21349206349206348</v>
      </c>
      <c r="F18">
        <f t="shared" ref="F18:AS18" si="0" xml:space="preserve"> $D18 + (F17-$D$17) / ($AT$17-$D$17) * ($AT18-$D18)</f>
        <v>0.21698412698412697</v>
      </c>
      <c r="G18">
        <f t="shared" si="0"/>
        <v>0.22047619047619046</v>
      </c>
      <c r="H18">
        <f t="shared" si="0"/>
        <v>0.22396825396825396</v>
      </c>
      <c r="I18">
        <f t="shared" si="0"/>
        <v>0.22746031746031745</v>
      </c>
      <c r="J18">
        <f t="shared" si="0"/>
        <v>0.23095238095238094</v>
      </c>
      <c r="K18">
        <f t="shared" si="0"/>
        <v>0.23444444444444446</v>
      </c>
      <c r="L18">
        <f t="shared" si="0"/>
        <v>0.23793650793650795</v>
      </c>
      <c r="M18">
        <f t="shared" si="0"/>
        <v>0.24142857142857144</v>
      </c>
      <c r="N18">
        <f t="shared" si="0"/>
        <v>0.24492063492063493</v>
      </c>
      <c r="O18">
        <f t="shared" si="0"/>
        <v>0.24841269841269842</v>
      </c>
      <c r="P18">
        <f t="shared" si="0"/>
        <v>0.25190476190476191</v>
      </c>
      <c r="Q18">
        <f t="shared" si="0"/>
        <v>0.2553968253968254</v>
      </c>
      <c r="R18">
        <f t="shared" si="0"/>
        <v>0.25888888888888889</v>
      </c>
      <c r="S18">
        <f t="shared" si="0"/>
        <v>0.26238095238095238</v>
      </c>
      <c r="T18">
        <f t="shared" si="0"/>
        <v>0.26587301587301587</v>
      </c>
      <c r="U18">
        <f t="shared" si="0"/>
        <v>0.26936507936507936</v>
      </c>
      <c r="V18">
        <f t="shared" si="0"/>
        <v>0.27285714285714285</v>
      </c>
      <c r="W18">
        <f t="shared" si="0"/>
        <v>0.27634920634920634</v>
      </c>
      <c r="X18">
        <f t="shared" si="0"/>
        <v>0.27984126984126984</v>
      </c>
      <c r="Y18">
        <f t="shared" si="0"/>
        <v>0.28333333333333333</v>
      </c>
      <c r="Z18">
        <f t="shared" si="0"/>
        <v>0.28682539682539682</v>
      </c>
      <c r="AA18">
        <f t="shared" si="0"/>
        <v>0.29031746031746031</v>
      </c>
      <c r="AB18">
        <f t="shared" si="0"/>
        <v>0.2938095238095238</v>
      </c>
      <c r="AC18">
        <f t="shared" si="0"/>
        <v>0.29730158730158729</v>
      </c>
      <c r="AD18">
        <f t="shared" si="0"/>
        <v>0.30079365079365084</v>
      </c>
      <c r="AE18">
        <f t="shared" si="0"/>
        <v>0.30428571428571427</v>
      </c>
      <c r="AF18">
        <f t="shared" si="0"/>
        <v>0.30777777777777782</v>
      </c>
      <c r="AG18">
        <f t="shared" si="0"/>
        <v>0.31126984126984125</v>
      </c>
      <c r="AH18">
        <f t="shared" si="0"/>
        <v>0.3147619047619048</v>
      </c>
      <c r="AI18">
        <f t="shared" si="0"/>
        <v>0.31825396825396829</v>
      </c>
      <c r="AJ18">
        <f t="shared" si="0"/>
        <v>0.32174603174603178</v>
      </c>
      <c r="AK18">
        <f t="shared" si="0"/>
        <v>0.32523809523809527</v>
      </c>
      <c r="AL18">
        <f t="shared" si="0"/>
        <v>0.32873015873015876</v>
      </c>
      <c r="AM18">
        <f t="shared" si="0"/>
        <v>0.33222222222222225</v>
      </c>
      <c r="AN18">
        <f t="shared" si="0"/>
        <v>0.33571428571428574</v>
      </c>
      <c r="AO18">
        <f t="shared" si="0"/>
        <v>0.33920634920634923</v>
      </c>
      <c r="AP18">
        <f t="shared" si="0"/>
        <v>0.34269841269841272</v>
      </c>
      <c r="AQ18">
        <f t="shared" si="0"/>
        <v>0.34619047619047622</v>
      </c>
      <c r="AR18">
        <f t="shared" si="0"/>
        <v>0.34968253968253971</v>
      </c>
      <c r="AS18">
        <f t="shared" si="0"/>
        <v>0.3531746031746032</v>
      </c>
      <c r="AT18" s="2">
        <f>D18 + (B13-D18) * 1/3</f>
        <v>0.35666666666666669</v>
      </c>
    </row>
    <row r="23" spans="1:46" x14ac:dyDescent="0.25">
      <c r="A23" t="s">
        <v>12</v>
      </c>
      <c r="B23" t="s">
        <v>13</v>
      </c>
    </row>
    <row r="24" spans="1:46" x14ac:dyDescent="0.25">
      <c r="A24" t="s">
        <v>14</v>
      </c>
    </row>
    <row r="26" spans="1:46" x14ac:dyDescent="0.25">
      <c r="Q26" t="s">
        <v>15</v>
      </c>
    </row>
    <row r="27" spans="1:46" x14ac:dyDescent="0.25">
      <c r="Q27" t="s">
        <v>16</v>
      </c>
    </row>
    <row r="47" spans="1:1" x14ac:dyDescent="0.25">
      <c r="A47" t="s">
        <v>17</v>
      </c>
    </row>
    <row r="48" spans="1:1" x14ac:dyDescent="0.25">
      <c r="A48">
        <f>1800/600</f>
        <v>3</v>
      </c>
    </row>
    <row r="49" spans="1:12" x14ac:dyDescent="0.25">
      <c r="A49" t="s">
        <v>18</v>
      </c>
    </row>
    <row r="50" spans="1:12" x14ac:dyDescent="0.25">
      <c r="A50" t="s">
        <v>19</v>
      </c>
    </row>
    <row r="51" spans="1:12" x14ac:dyDescent="0.25">
      <c r="A51" s="1">
        <f>D13</f>
        <v>8.6452593577807352E-2</v>
      </c>
    </row>
    <row r="52" spans="1:12" x14ac:dyDescent="0.25">
      <c r="A52" t="s">
        <v>20</v>
      </c>
      <c r="L52" t="s">
        <v>21</v>
      </c>
    </row>
    <row r="53" spans="1:12" x14ac:dyDescent="0.25">
      <c r="A53" t="s">
        <v>22</v>
      </c>
    </row>
    <row r="54" spans="1:12" x14ac:dyDescent="0.25">
      <c r="A54" t="s">
        <v>23</v>
      </c>
    </row>
    <row r="55" spans="1:12" x14ac:dyDescent="0.25">
      <c r="A55" t="s">
        <v>24</v>
      </c>
    </row>
    <row r="56" spans="1:12" x14ac:dyDescent="0.25">
      <c r="A56" t="s">
        <v>25</v>
      </c>
    </row>
    <row r="57" spans="1:12" x14ac:dyDescent="0.25">
      <c r="A57" t="s">
        <v>26</v>
      </c>
    </row>
    <row r="58" spans="1:12" x14ac:dyDescent="0.25">
      <c r="A58" t="s">
        <v>27</v>
      </c>
    </row>
    <row r="59" spans="1:12" x14ac:dyDescent="0.25">
      <c r="A59" t="s">
        <v>28</v>
      </c>
    </row>
    <row r="63" spans="1:12" x14ac:dyDescent="0.25">
      <c r="A63" t="s">
        <v>29</v>
      </c>
      <c r="L63" t="s">
        <v>30</v>
      </c>
    </row>
    <row r="84" spans="1:1" x14ac:dyDescent="0.25">
      <c r="A84" t="s">
        <v>31</v>
      </c>
    </row>
    <row r="85" spans="1:1" x14ac:dyDescent="0.25">
      <c r="A85" t="s">
        <v>32</v>
      </c>
    </row>
    <row r="86" spans="1:1" x14ac:dyDescent="0.25">
      <c r="A86" t="s">
        <v>33</v>
      </c>
    </row>
    <row r="87" spans="1:1" x14ac:dyDescent="0.25">
      <c r="A87" t="s">
        <v>34</v>
      </c>
    </row>
  </sheetData>
  <pageMargins left="0.7" right="0.7" top="0.75" bottom="0.75" header="0.3" footer="0.3"/>
  <pageSetup orientation="portrait" horizontalDpi="0" verticalDpi="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R40"/>
  <sheetViews>
    <sheetView topLeftCell="A7" workbookViewId="0">
      <selection activeCell="D33" sqref="D33"/>
    </sheetView>
  </sheetViews>
  <sheetFormatPr defaultColWidth="9" defaultRowHeight="15" x14ac:dyDescent="0.25"/>
  <cols>
    <col min="1" max="1" width="12.875" style="3" customWidth="1"/>
    <col min="2" max="2" width="9.25" style="3" customWidth="1"/>
    <col min="3" max="16384" width="9" style="3"/>
  </cols>
  <sheetData>
    <row r="1" spans="1:14" x14ac:dyDescent="0.25">
      <c r="A1" s="3" t="s">
        <v>104</v>
      </c>
    </row>
    <row r="2" spans="1:14" x14ac:dyDescent="0.25">
      <c r="A2" s="3" t="s">
        <v>105</v>
      </c>
    </row>
    <row r="3" spans="1:14" x14ac:dyDescent="0.25">
      <c r="A3" s="3" t="s">
        <v>5</v>
      </c>
      <c r="B3" s="3">
        <v>25</v>
      </c>
      <c r="C3" s="3" t="s">
        <v>6</v>
      </c>
      <c r="N3" s="3" t="s">
        <v>30</v>
      </c>
    </row>
    <row r="4" spans="1:14" x14ac:dyDescent="0.25">
      <c r="A4" s="3" t="s">
        <v>7</v>
      </c>
      <c r="B4" s="3">
        <v>-10</v>
      </c>
      <c r="C4" s="3" t="s">
        <v>6</v>
      </c>
    </row>
    <row r="5" spans="1:14" x14ac:dyDescent="0.25">
      <c r="A5" s="3" t="s">
        <v>8</v>
      </c>
      <c r="B5" s="3">
        <f>(B4+273.15) / ((B3+273.15) - (B4+273.15))</f>
        <v>7.5185714285714278</v>
      </c>
    </row>
    <row r="7" spans="1:14" x14ac:dyDescent="0.25">
      <c r="A7" s="3" t="s">
        <v>106</v>
      </c>
    </row>
    <row r="8" spans="1:14" x14ac:dyDescent="0.25">
      <c r="A8" s="3" t="s">
        <v>107</v>
      </c>
      <c r="B8" s="3">
        <v>0.67</v>
      </c>
    </row>
    <row r="9" spans="1:14" x14ac:dyDescent="0.25">
      <c r="A9" s="3" t="s">
        <v>108</v>
      </c>
      <c r="B9" s="3">
        <f>B8/B5</f>
        <v>8.9112673380201415E-2</v>
      </c>
    </row>
    <row r="11" spans="1:14" x14ac:dyDescent="0.25">
      <c r="A11" s="3" t="s">
        <v>109</v>
      </c>
    </row>
    <row r="12" spans="1:14" x14ac:dyDescent="0.25">
      <c r="A12" s="3" t="s">
        <v>110</v>
      </c>
      <c r="B12" s="3">
        <f>B8/3</f>
        <v>0.22333333333333336</v>
      </c>
    </row>
    <row r="14" spans="1:14" x14ac:dyDescent="0.25">
      <c r="A14" s="3" t="s">
        <v>111</v>
      </c>
    </row>
    <row r="15" spans="1:14" x14ac:dyDescent="0.25">
      <c r="A15" s="3" t="s">
        <v>112</v>
      </c>
      <c r="B15" s="3">
        <v>1200</v>
      </c>
      <c r="C15" s="3" t="s">
        <v>113</v>
      </c>
      <c r="D15" s="3" t="s">
        <v>114</v>
      </c>
      <c r="N15" s="3" t="s">
        <v>115</v>
      </c>
    </row>
    <row r="16" spans="1:14" x14ac:dyDescent="0.25">
      <c r="N16" s="75" t="s">
        <v>116</v>
      </c>
    </row>
    <row r="17" spans="1:6" x14ac:dyDescent="0.25">
      <c r="A17" s="3" t="s">
        <v>117</v>
      </c>
    </row>
    <row r="18" spans="1:6" x14ac:dyDescent="0.25">
      <c r="A18" s="3" t="s">
        <v>118</v>
      </c>
    </row>
    <row r="19" spans="1:6" x14ac:dyDescent="0.25">
      <c r="A19" s="3" t="s">
        <v>119</v>
      </c>
      <c r="B19" s="3">
        <f>56.09*12</f>
        <v>673.08</v>
      </c>
      <c r="C19" s="3" t="s">
        <v>113</v>
      </c>
      <c r="F19" s="76" t="s">
        <v>120</v>
      </c>
    </row>
    <row r="20" spans="1:6" x14ac:dyDescent="0.25">
      <c r="F20" s="3" t="s">
        <v>121</v>
      </c>
    </row>
    <row r="28" spans="1:6" x14ac:dyDescent="0.25">
      <c r="A28" s="3" t="s">
        <v>122</v>
      </c>
    </row>
    <row r="29" spans="1:6" x14ac:dyDescent="0.25">
      <c r="A29" s="3" t="s">
        <v>123</v>
      </c>
    </row>
    <row r="30" spans="1:6" x14ac:dyDescent="0.25">
      <c r="A30" s="76" t="s">
        <v>124</v>
      </c>
    </row>
    <row r="31" spans="1:6" x14ac:dyDescent="0.25">
      <c r="B31" s="3" t="s">
        <v>125</v>
      </c>
      <c r="C31" s="3" t="s">
        <v>113</v>
      </c>
      <c r="D31" s="3" t="s">
        <v>126</v>
      </c>
    </row>
    <row r="32" spans="1:6" x14ac:dyDescent="0.25">
      <c r="A32" s="3">
        <v>1971</v>
      </c>
      <c r="B32" s="77">
        <f>B12</f>
        <v>0.22333333333333336</v>
      </c>
      <c r="C32" s="3">
        <v>1350</v>
      </c>
      <c r="D32" s="3">
        <f>B32/$B$5</f>
        <v>2.9704224460067142E-2</v>
      </c>
    </row>
    <row r="33" spans="1:44" x14ac:dyDescent="0.25">
      <c r="A33" s="3">
        <v>1981</v>
      </c>
      <c r="B33" s="78">
        <f>$B$32*C32/C33</f>
        <v>0.23591549295774653</v>
      </c>
      <c r="C33" s="3">
        <v>1278</v>
      </c>
      <c r="D33" s="3">
        <f>B33/$B$5</f>
        <v>3.1377701894437122E-2</v>
      </c>
    </row>
    <row r="34" spans="1:44" x14ac:dyDescent="0.25">
      <c r="A34" s="3">
        <v>1995</v>
      </c>
      <c r="B34" s="78">
        <f>$B$32*C32/C34</f>
        <v>0.25125000000000003</v>
      </c>
      <c r="C34" s="3">
        <f>B15</f>
        <v>1200</v>
      </c>
      <c r="D34" s="3">
        <f>B34/$B$5</f>
        <v>3.3417252517575532E-2</v>
      </c>
    </row>
    <row r="35" spans="1:44" x14ac:dyDescent="0.25">
      <c r="A35" s="3">
        <v>2012</v>
      </c>
      <c r="B35" s="78">
        <f>$B$32*C32/C35</f>
        <v>0.44794080941344272</v>
      </c>
      <c r="C35" s="3">
        <f>B19</f>
        <v>673.08</v>
      </c>
      <c r="D35" s="3">
        <f>B35/$B$5</f>
        <v>5.9577914989437569E-2</v>
      </c>
    </row>
    <row r="37" spans="1:44" s="79" customFormat="1" x14ac:dyDescent="0.25">
      <c r="A37" s="79" t="s">
        <v>127</v>
      </c>
      <c r="B37" s="79">
        <v>1971</v>
      </c>
      <c r="C37" s="79">
        <v>1972</v>
      </c>
      <c r="D37" s="79">
        <v>1973</v>
      </c>
      <c r="E37" s="79">
        <v>1974</v>
      </c>
      <c r="F37" s="79">
        <v>1975</v>
      </c>
      <c r="G37" s="79">
        <v>1976</v>
      </c>
      <c r="H37" s="79">
        <v>1977</v>
      </c>
      <c r="I37" s="79">
        <v>1978</v>
      </c>
      <c r="J37" s="79">
        <v>1979</v>
      </c>
      <c r="K37" s="79">
        <v>1980</v>
      </c>
      <c r="L37" s="79">
        <v>1981</v>
      </c>
      <c r="M37" s="79">
        <v>1982</v>
      </c>
      <c r="N37" s="79">
        <v>1983</v>
      </c>
      <c r="O37" s="79">
        <v>1984</v>
      </c>
      <c r="P37" s="79">
        <v>1985</v>
      </c>
      <c r="Q37" s="79">
        <v>1986</v>
      </c>
      <c r="R37" s="79">
        <v>1987</v>
      </c>
      <c r="S37" s="79">
        <v>1988</v>
      </c>
      <c r="T37" s="79">
        <v>1989</v>
      </c>
      <c r="U37" s="79">
        <v>1990</v>
      </c>
      <c r="V37" s="79">
        <v>1991</v>
      </c>
      <c r="W37" s="79">
        <v>1992</v>
      </c>
      <c r="X37" s="79">
        <v>1993</v>
      </c>
      <c r="Y37" s="79">
        <v>1994</v>
      </c>
      <c r="Z37" s="79">
        <v>1995</v>
      </c>
      <c r="AA37" s="79">
        <v>1996</v>
      </c>
      <c r="AB37" s="79">
        <v>1997</v>
      </c>
      <c r="AC37" s="79">
        <v>1998</v>
      </c>
      <c r="AD37" s="79">
        <v>1999</v>
      </c>
      <c r="AE37" s="79">
        <v>2000</v>
      </c>
      <c r="AF37" s="79">
        <v>2001</v>
      </c>
      <c r="AG37" s="79">
        <v>2002</v>
      </c>
      <c r="AH37" s="79">
        <v>2003</v>
      </c>
      <c r="AI37" s="79">
        <v>2004</v>
      </c>
      <c r="AJ37" s="79">
        <v>2005</v>
      </c>
      <c r="AK37" s="79">
        <v>2006</v>
      </c>
      <c r="AL37" s="79">
        <v>2007</v>
      </c>
      <c r="AM37" s="79">
        <v>2008</v>
      </c>
      <c r="AN37" s="79">
        <v>2009</v>
      </c>
      <c r="AO37" s="79">
        <v>2010</v>
      </c>
      <c r="AP37" s="79">
        <v>2011</v>
      </c>
      <c r="AQ37" s="79">
        <v>2012</v>
      </c>
      <c r="AR37" s="79">
        <v>2013</v>
      </c>
    </row>
    <row r="38" spans="1:44" x14ac:dyDescent="0.25">
      <c r="A38" s="3" t="s">
        <v>126</v>
      </c>
      <c r="B38" s="3">
        <f>D32</f>
        <v>2.9704224460067142E-2</v>
      </c>
      <c r="C38" s="3">
        <f>B38+($L$38-$B$38)/($L$37-$B$37)</f>
        <v>2.987157220350414E-2</v>
      </c>
      <c r="D38" s="3">
        <f t="shared" ref="D38:K38" si="0">C38+($L$38-$B$38)/($L$37-$B$37)</f>
        <v>3.0038919946941137E-2</v>
      </c>
      <c r="E38" s="3">
        <f t="shared" si="0"/>
        <v>3.0206267690378135E-2</v>
      </c>
      <c r="F38" s="3">
        <f t="shared" si="0"/>
        <v>3.0373615433815133E-2</v>
      </c>
      <c r="G38" s="3">
        <f t="shared" si="0"/>
        <v>3.054096317725213E-2</v>
      </c>
      <c r="H38" s="3">
        <f t="shared" si="0"/>
        <v>3.0708310920689128E-2</v>
      </c>
      <c r="I38" s="3">
        <f t="shared" si="0"/>
        <v>3.0875658664126126E-2</v>
      </c>
      <c r="J38" s="3">
        <f t="shared" si="0"/>
        <v>3.1043006407563124E-2</v>
      </c>
      <c r="K38" s="3">
        <f t="shared" si="0"/>
        <v>3.1210354151000121E-2</v>
      </c>
      <c r="L38" s="3">
        <f>D33</f>
        <v>3.1377701894437122E-2</v>
      </c>
      <c r="M38" s="3">
        <f>L38+($Y$38-$L$38)/($Y$37-$L$37)</f>
        <v>3.153459040390931E-2</v>
      </c>
      <c r="N38" s="3">
        <f t="shared" ref="N38:X38" si="1">M38+($Y$38-$L$38)/($Y$37-$L$37)</f>
        <v>3.1691478913381498E-2</v>
      </c>
      <c r="O38" s="3">
        <f t="shared" si="1"/>
        <v>3.1848367422853685E-2</v>
      </c>
      <c r="P38" s="3">
        <f t="shared" si="1"/>
        <v>3.2005255932325873E-2</v>
      </c>
      <c r="Q38" s="3">
        <f t="shared" si="1"/>
        <v>3.216214444179806E-2</v>
      </c>
      <c r="R38" s="3">
        <f t="shared" si="1"/>
        <v>3.2319032951270248E-2</v>
      </c>
      <c r="S38" s="3">
        <f t="shared" si="1"/>
        <v>3.2475921460742435E-2</v>
      </c>
      <c r="T38" s="3">
        <f t="shared" si="1"/>
        <v>3.2632809970214623E-2</v>
      </c>
      <c r="U38" s="3">
        <f t="shared" si="1"/>
        <v>3.278969847968681E-2</v>
      </c>
      <c r="V38" s="3">
        <f t="shared" si="1"/>
        <v>3.2946586989158998E-2</v>
      </c>
      <c r="W38" s="3">
        <f t="shared" si="1"/>
        <v>3.3103475498631185E-2</v>
      </c>
      <c r="X38" s="3">
        <f t="shared" si="1"/>
        <v>3.3260364008103373E-2</v>
      </c>
      <c r="Y38" s="3">
        <f>D34</f>
        <v>3.3417252517575532E-2</v>
      </c>
      <c r="Z38" s="3">
        <f>Y38+($AR$38-$Y$38)/($AR$37-$Y$37)</f>
        <v>3.4794129489778801E-2</v>
      </c>
      <c r="AA38" s="3">
        <f t="shared" ref="AA38:AQ38" si="2">Z38+($AR$38-$Y$38)/($AR$37-$Y$37)</f>
        <v>3.6171006461982069E-2</v>
      </c>
      <c r="AB38" s="3">
        <f t="shared" si="2"/>
        <v>3.7547883434185338E-2</v>
      </c>
      <c r="AC38" s="3">
        <f t="shared" si="2"/>
        <v>3.8924760406388606E-2</v>
      </c>
      <c r="AD38" s="3">
        <f t="shared" si="2"/>
        <v>4.0301637378591874E-2</v>
      </c>
      <c r="AE38" s="3">
        <f t="shared" si="2"/>
        <v>4.1678514350795143E-2</v>
      </c>
      <c r="AF38" s="3">
        <f t="shared" si="2"/>
        <v>4.3055391322998411E-2</v>
      </c>
      <c r="AG38" s="3">
        <f t="shared" si="2"/>
        <v>4.443226829520168E-2</v>
      </c>
      <c r="AH38" s="3">
        <f t="shared" si="2"/>
        <v>4.5809145267404948E-2</v>
      </c>
      <c r="AI38" s="3">
        <f t="shared" si="2"/>
        <v>4.7186022239608216E-2</v>
      </c>
      <c r="AJ38" s="3">
        <f t="shared" si="2"/>
        <v>4.8562899211811485E-2</v>
      </c>
      <c r="AK38" s="3">
        <f t="shared" si="2"/>
        <v>4.9939776184014753E-2</v>
      </c>
      <c r="AL38" s="3">
        <f t="shared" si="2"/>
        <v>5.1316653156218021E-2</v>
      </c>
      <c r="AM38" s="3">
        <f t="shared" si="2"/>
        <v>5.269353012842129E-2</v>
      </c>
      <c r="AN38" s="3">
        <f t="shared" si="2"/>
        <v>5.4070407100624558E-2</v>
      </c>
      <c r="AO38" s="3">
        <f t="shared" si="2"/>
        <v>5.5447284072827827E-2</v>
      </c>
      <c r="AP38" s="3">
        <f t="shared" si="2"/>
        <v>5.6824161045031095E-2</v>
      </c>
      <c r="AQ38" s="3">
        <f t="shared" si="2"/>
        <v>5.8201038017234363E-2</v>
      </c>
      <c r="AR38" s="3">
        <f>D35</f>
        <v>5.9577914989437569E-2</v>
      </c>
    </row>
    <row r="40" spans="1:44" x14ac:dyDescent="0.25">
      <c r="A40" s="3" t="s">
        <v>101</v>
      </c>
      <c r="B40" s="77">
        <f>B32</f>
        <v>0.22333333333333336</v>
      </c>
      <c r="L40" s="77">
        <f>B33</f>
        <v>0.23591549295774653</v>
      </c>
      <c r="Z40" s="77">
        <f>B34</f>
        <v>0.25125000000000003</v>
      </c>
      <c r="AQ40" s="77">
        <f>B35</f>
        <v>0.44794080941344272</v>
      </c>
    </row>
  </sheetData>
  <hyperlinks>
    <hyperlink ref="F19" r:id="rId1" xr:uid="{00000000-0004-0000-0C00-000000000000}"/>
    <hyperlink ref="A30" r:id="rId2" xr:uid="{00000000-0004-0000-0C00-000001000000}"/>
  </hyperlinks>
  <pageMargins left="0.7" right="0.7" top="0.75" bottom="0.75" header="0.3" footer="0.3"/>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D46"/>
  <sheetViews>
    <sheetView topLeftCell="A22" workbookViewId="0">
      <selection activeCell="G4" sqref="G4"/>
    </sheetView>
  </sheetViews>
  <sheetFormatPr defaultColWidth="9" defaultRowHeight="15" x14ac:dyDescent="0.25"/>
  <cols>
    <col min="1" max="1" width="10.25" style="3" customWidth="1"/>
    <col min="2" max="2" width="24.625" style="3" bestFit="1" customWidth="1"/>
    <col min="3" max="3" width="20.625" style="3" bestFit="1" customWidth="1"/>
    <col min="4" max="4" width="10.75" style="3" bestFit="1" customWidth="1"/>
    <col min="5" max="16384" width="9" style="3"/>
  </cols>
  <sheetData>
    <row r="3" spans="1:4" s="75" customFormat="1" x14ac:dyDescent="0.25">
      <c r="A3" s="87" t="s">
        <v>40</v>
      </c>
      <c r="B3" s="92" t="s">
        <v>35</v>
      </c>
      <c r="C3" s="93" t="s">
        <v>36</v>
      </c>
      <c r="D3" s="92" t="s">
        <v>37</v>
      </c>
    </row>
    <row r="4" spans="1:4" x14ac:dyDescent="0.25">
      <c r="A4" s="4">
        <v>1972</v>
      </c>
      <c r="B4" s="5">
        <v>1940.8095260918378</v>
      </c>
      <c r="C4" s="6">
        <v>18.662571885728717</v>
      </c>
      <c r="D4" s="7">
        <v>1120.1090074914266</v>
      </c>
    </row>
    <row r="5" spans="1:4" x14ac:dyDescent="0.25">
      <c r="A5" s="4">
        <v>1973</v>
      </c>
      <c r="B5" s="5"/>
      <c r="C5" s="6"/>
      <c r="D5" s="7">
        <v>1041.8235593459651</v>
      </c>
    </row>
    <row r="6" spans="1:4" x14ac:dyDescent="0.25">
      <c r="A6" s="4">
        <v>1974</v>
      </c>
      <c r="B6" s="5"/>
      <c r="C6" s="6"/>
      <c r="D6" s="7">
        <v>1048.463404944287</v>
      </c>
    </row>
    <row r="7" spans="1:4" x14ac:dyDescent="0.25">
      <c r="A7" s="4">
        <v>1975</v>
      </c>
      <c r="B7" s="5"/>
      <c r="C7" s="6"/>
      <c r="D7" s="7">
        <v>1082.5553180674044</v>
      </c>
    </row>
    <row r="8" spans="1:4" x14ac:dyDescent="0.25">
      <c r="A8" s="4">
        <v>1976</v>
      </c>
      <c r="B8" s="5"/>
      <c r="C8" s="6"/>
      <c r="D8" s="7">
        <v>1094.7555496142722</v>
      </c>
    </row>
    <row r="9" spans="1:4" x14ac:dyDescent="0.25">
      <c r="A9" s="4">
        <v>1977</v>
      </c>
      <c r="B9" s="5"/>
      <c r="C9" s="6"/>
      <c r="D9" s="7">
        <v>1128.8711866110468</v>
      </c>
    </row>
    <row r="10" spans="1:4" x14ac:dyDescent="0.25">
      <c r="A10" s="4">
        <v>1978</v>
      </c>
      <c r="B10" s="5">
        <v>1633.8422576938788</v>
      </c>
      <c r="C10" s="6">
        <v>20.269829563094476</v>
      </c>
      <c r="D10" s="7">
        <v>1099.7442059792843</v>
      </c>
    </row>
    <row r="11" spans="1:4" x14ac:dyDescent="0.25">
      <c r="A11" s="4">
        <v>1979</v>
      </c>
      <c r="B11" s="5"/>
      <c r="C11" s="6"/>
      <c r="D11" s="7">
        <v>1061.4297365476168</v>
      </c>
    </row>
    <row r="12" spans="1:4" x14ac:dyDescent="0.25">
      <c r="A12" s="4">
        <v>1980</v>
      </c>
      <c r="B12" s="5">
        <v>1437.073659384137</v>
      </c>
      <c r="C12" s="6">
        <v>20.12682584475855</v>
      </c>
      <c r="D12" s="7">
        <v>993.17971766491598</v>
      </c>
    </row>
    <row r="13" spans="1:4" x14ac:dyDescent="0.25">
      <c r="A13" s="4">
        <v>1981</v>
      </c>
      <c r="B13" s="5">
        <v>1338.3299324080556</v>
      </c>
      <c r="C13" s="6">
        <v>20.383704953005282</v>
      </c>
      <c r="D13" s="7">
        <v>937.26400095775284</v>
      </c>
    </row>
    <row r="14" spans="1:4" x14ac:dyDescent="0.25">
      <c r="A14" s="4">
        <v>1982</v>
      </c>
      <c r="B14" s="5">
        <v>1339.7368953281332</v>
      </c>
      <c r="C14" s="6">
        <v>20.478995086587201</v>
      </c>
      <c r="D14" s="7">
        <v>942.24720413965576</v>
      </c>
    </row>
    <row r="15" spans="1:4" x14ac:dyDescent="0.25">
      <c r="A15" s="4">
        <v>1983</v>
      </c>
      <c r="B15" s="5">
        <v>1305.2285056447433</v>
      </c>
      <c r="C15" s="6">
        <v>20.816792695171404</v>
      </c>
      <c r="D15" s="7">
        <v>937.56694667064176</v>
      </c>
    </row>
    <row r="16" spans="1:4" x14ac:dyDescent="0.25">
      <c r="A16" s="4">
        <v>1984</v>
      </c>
      <c r="B16" s="5">
        <v>1282.0945822447998</v>
      </c>
      <c r="C16" s="6">
        <v>21.017663642188761</v>
      </c>
      <c r="D16" s="7">
        <v>928.28119762416986</v>
      </c>
    </row>
    <row r="17" spans="1:4" x14ac:dyDescent="0.25">
      <c r="A17" s="4">
        <v>1985</v>
      </c>
      <c r="B17" s="5">
        <v>1191.5288760968422</v>
      </c>
      <c r="C17" s="6">
        <v>19.934053609319438</v>
      </c>
      <c r="D17" s="7">
        <v>895.90238744217572</v>
      </c>
    </row>
    <row r="18" spans="1:4" x14ac:dyDescent="0.25">
      <c r="A18" s="4">
        <v>1986</v>
      </c>
      <c r="B18" s="5">
        <v>1209.7767891634744</v>
      </c>
      <c r="C18" s="6">
        <v>20.557398917301708</v>
      </c>
      <c r="D18" s="7">
        <v>887.73646896074695</v>
      </c>
    </row>
    <row r="19" spans="1:4" x14ac:dyDescent="0.25">
      <c r="A19" s="4">
        <v>1987</v>
      </c>
      <c r="B19" s="5">
        <v>1097.3626443522439</v>
      </c>
      <c r="C19" s="6">
        <v>20.361159849974008</v>
      </c>
      <c r="D19" s="7">
        <v>869.50822354229638</v>
      </c>
    </row>
    <row r="20" spans="1:4" x14ac:dyDescent="0.25">
      <c r="A20" s="4">
        <v>1988</v>
      </c>
      <c r="B20" s="5">
        <v>1086.304479205505</v>
      </c>
      <c r="C20" s="6">
        <v>20.543183250685107</v>
      </c>
      <c r="D20" s="7">
        <v>838.17159500844207</v>
      </c>
    </row>
    <row r="21" spans="1:4" x14ac:dyDescent="0.25">
      <c r="A21" s="4">
        <v>1989</v>
      </c>
      <c r="B21" s="5">
        <v>1052.7613834061297</v>
      </c>
      <c r="C21" s="6">
        <v>20.367552489351645</v>
      </c>
      <c r="D21" s="7">
        <v>839.23235685189502</v>
      </c>
    </row>
    <row r="22" spans="1:4" x14ac:dyDescent="0.25">
      <c r="A22" s="4">
        <v>1990</v>
      </c>
      <c r="B22" s="5">
        <v>1032.7468755853324</v>
      </c>
      <c r="C22" s="6">
        <v>20.91555593319973</v>
      </c>
      <c r="D22" s="7">
        <v>767.04973344441544</v>
      </c>
    </row>
    <row r="23" spans="1:4" x14ac:dyDescent="0.25">
      <c r="A23" s="4">
        <v>1991</v>
      </c>
      <c r="B23" s="5">
        <v>966.38512964750009</v>
      </c>
      <c r="C23" s="6">
        <v>20.268937654815073</v>
      </c>
      <c r="D23" s="7">
        <v>769.17399417246975</v>
      </c>
    </row>
    <row r="24" spans="1:4" x14ac:dyDescent="0.25">
      <c r="A24" s="4">
        <v>1992</v>
      </c>
      <c r="B24" s="5">
        <v>925.954797109335</v>
      </c>
      <c r="C24" s="6">
        <v>20.226554355965661</v>
      </c>
      <c r="D24" s="7">
        <v>686.66807967539421</v>
      </c>
    </row>
    <row r="25" spans="1:4" x14ac:dyDescent="0.25">
      <c r="A25" s="4">
        <v>1993</v>
      </c>
      <c r="B25" s="5">
        <v>744.5010521138521</v>
      </c>
      <c r="C25" s="6">
        <v>20.55967009762653</v>
      </c>
      <c r="D25" s="7">
        <v>684.69614659993965</v>
      </c>
    </row>
    <row r="26" spans="1:4" x14ac:dyDescent="0.25">
      <c r="A26" s="4">
        <v>1994</v>
      </c>
      <c r="B26" s="5">
        <v>736.78054079237813</v>
      </c>
      <c r="C26" s="6">
        <v>20.482359798928382</v>
      </c>
      <c r="D26" s="7">
        <v>690.9217378928272</v>
      </c>
    </row>
    <row r="27" spans="1:4" x14ac:dyDescent="0.25">
      <c r="A27" s="4">
        <v>1995</v>
      </c>
      <c r="B27" s="5">
        <v>732.40051757012452</v>
      </c>
      <c r="C27" s="6">
        <v>20.394201004764238</v>
      </c>
      <c r="D27" s="7">
        <v>668.98534174790996</v>
      </c>
    </row>
    <row r="28" spans="1:4" x14ac:dyDescent="0.25">
      <c r="A28" s="4">
        <v>1996</v>
      </c>
      <c r="B28" s="5">
        <v>746.06248444069308</v>
      </c>
      <c r="C28" s="6">
        <v>20.760119230581012</v>
      </c>
      <c r="D28" s="7">
        <v>689.95879233979258</v>
      </c>
    </row>
    <row r="29" spans="1:4" x14ac:dyDescent="0.25">
      <c r="A29" s="4">
        <v>1997</v>
      </c>
      <c r="B29" s="5">
        <v>755.20512519748195</v>
      </c>
      <c r="C29" s="6">
        <v>20.878259623667439</v>
      </c>
      <c r="D29" s="7">
        <v>643.10978178307403</v>
      </c>
    </row>
    <row r="30" spans="1:4" x14ac:dyDescent="0.25">
      <c r="A30" s="4">
        <v>1998</v>
      </c>
      <c r="B30" s="5">
        <v>767.76467026635316</v>
      </c>
      <c r="C30" s="6">
        <v>20.948931067575888</v>
      </c>
      <c r="D30" s="7">
        <v>648.4213844394028</v>
      </c>
    </row>
    <row r="31" spans="1:4" x14ac:dyDescent="0.25">
      <c r="A31" s="4">
        <v>1999</v>
      </c>
      <c r="B31" s="5">
        <v>779.12920747383464</v>
      </c>
      <c r="C31" s="6">
        <v>21.079266215313051</v>
      </c>
      <c r="D31" s="7">
        <v>603.85608344684897</v>
      </c>
    </row>
    <row r="32" spans="1:4" x14ac:dyDescent="0.25">
      <c r="A32" s="4">
        <v>2000</v>
      </c>
      <c r="B32" s="5">
        <v>795.07945006147042</v>
      </c>
      <c r="C32" s="6">
        <v>22.362682223079151</v>
      </c>
      <c r="D32" s="7">
        <v>600.41951279301259</v>
      </c>
    </row>
    <row r="33" spans="1:4" x14ac:dyDescent="0.25">
      <c r="A33" s="4">
        <v>2001</v>
      </c>
      <c r="B33" s="5">
        <v>638.19231480707651</v>
      </c>
      <c r="C33" s="6">
        <v>22.409359508849825</v>
      </c>
      <c r="D33" s="7">
        <v>593.32685296134673</v>
      </c>
    </row>
    <row r="34" spans="1:4" x14ac:dyDescent="0.25">
      <c r="A34" s="4">
        <v>2002</v>
      </c>
      <c r="B34" s="5">
        <v>587.30376544754495</v>
      </c>
      <c r="C34" s="6">
        <v>22.600350585819278</v>
      </c>
      <c r="D34" s="7">
        <v>599.86276972654559</v>
      </c>
    </row>
    <row r="35" spans="1:4" x14ac:dyDescent="0.25">
      <c r="A35" s="4">
        <v>2003</v>
      </c>
      <c r="B35" s="5">
        <v>580.45765803945892</v>
      </c>
      <c r="C35" s="6">
        <v>22.708086605126574</v>
      </c>
      <c r="D35" s="7">
        <v>680.49635676675359</v>
      </c>
    </row>
    <row r="36" spans="1:4" x14ac:dyDescent="0.25">
      <c r="A36" s="4">
        <v>2004</v>
      </c>
      <c r="B36" s="5">
        <v>564.77271517605607</v>
      </c>
      <c r="C36" s="6">
        <v>21.946550964316746</v>
      </c>
      <c r="D36" s="7">
        <v>622.98866237789707</v>
      </c>
    </row>
    <row r="37" spans="1:4" x14ac:dyDescent="0.25">
      <c r="A37" s="4">
        <v>2005</v>
      </c>
      <c r="B37" s="5">
        <v>553.50209476141276</v>
      </c>
      <c r="C37" s="6">
        <v>21.134993363385831</v>
      </c>
      <c r="D37" s="7">
        <v>614.29500077252567</v>
      </c>
    </row>
    <row r="38" spans="1:4" x14ac:dyDescent="0.25">
      <c r="A38" s="4">
        <v>2006</v>
      </c>
      <c r="B38" s="5">
        <v>573.9067502289065</v>
      </c>
      <c r="C38" s="6">
        <v>22.709891292877526</v>
      </c>
      <c r="D38" s="7">
        <v>532.61890174968153</v>
      </c>
    </row>
    <row r="39" spans="1:4" x14ac:dyDescent="0.25">
      <c r="A39" s="4">
        <v>2007</v>
      </c>
      <c r="B39" s="5">
        <v>565.1861735494341</v>
      </c>
      <c r="C39" s="6">
        <v>22.302723966881654</v>
      </c>
      <c r="D39" s="7">
        <v>635.4168529212277</v>
      </c>
    </row>
    <row r="40" spans="1:4" x14ac:dyDescent="0.25">
      <c r="A40" s="4">
        <v>2008</v>
      </c>
      <c r="B40" s="5">
        <v>549.08605894906293</v>
      </c>
      <c r="C40" s="6">
        <v>21.757270960260879</v>
      </c>
      <c r="D40" s="7">
        <v>620.00728199018454</v>
      </c>
    </row>
    <row r="41" spans="1:4" x14ac:dyDescent="0.25">
      <c r="A41" s="4">
        <v>2009</v>
      </c>
      <c r="B41" s="5">
        <v>522.43608559249708</v>
      </c>
      <c r="C41" s="6">
        <v>21.385133662004645</v>
      </c>
      <c r="D41" s="7">
        <v>596.79464545878045</v>
      </c>
    </row>
    <row r="42" spans="1:4" x14ac:dyDescent="0.25">
      <c r="A42" s="4">
        <v>2010</v>
      </c>
      <c r="B42" s="5">
        <v>516.37772356244068</v>
      </c>
      <c r="C42" s="6">
        <v>22.405401895007653</v>
      </c>
      <c r="D42" s="7">
        <v>571.9704636021736</v>
      </c>
    </row>
    <row r="43" spans="1:4" x14ac:dyDescent="0.25">
      <c r="A43" s="4">
        <v>2011</v>
      </c>
      <c r="B43" s="5">
        <v>513.07844639646169</v>
      </c>
      <c r="C43" s="6">
        <v>22.441857487772619</v>
      </c>
    </row>
    <row r="44" spans="1:4" x14ac:dyDescent="0.25">
      <c r="A44" s="4">
        <v>2012</v>
      </c>
      <c r="B44" s="5">
        <v>515.4051380036575</v>
      </c>
      <c r="C44" s="6">
        <v>23.045272292016428</v>
      </c>
    </row>
    <row r="45" spans="1:4" x14ac:dyDescent="0.25">
      <c r="A45" s="4">
        <v>2013</v>
      </c>
      <c r="B45" s="5">
        <v>504.08578451956748</v>
      </c>
      <c r="C45" s="6">
        <v>22.095867426888066</v>
      </c>
    </row>
    <row r="46" spans="1:4" x14ac:dyDescent="0.25">
      <c r="A46" s="4">
        <v>2014</v>
      </c>
      <c r="B46" s="5">
        <v>502</v>
      </c>
      <c r="C46" s="4">
        <v>24.24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78"/>
  <sheetViews>
    <sheetView zoomScale="80" zoomScaleNormal="80" workbookViewId="0">
      <selection activeCell="E40" sqref="E40"/>
    </sheetView>
  </sheetViews>
  <sheetFormatPr defaultColWidth="9" defaultRowHeight="15" x14ac:dyDescent="0.25"/>
  <cols>
    <col min="1" max="1" width="9" style="3"/>
    <col min="2" max="2" width="17.125" style="3" bestFit="1" customWidth="1"/>
    <col min="3" max="3" width="10.375" style="3" bestFit="1" customWidth="1"/>
    <col min="4" max="5" width="9" style="3"/>
    <col min="6" max="6" width="9" style="4"/>
    <col min="7" max="7" width="13.375" style="4" bestFit="1" customWidth="1"/>
    <col min="8" max="8" width="20" style="4" bestFit="1" customWidth="1"/>
    <col min="9" max="10" width="9" style="4"/>
    <col min="11" max="11" width="13.375" style="4" bestFit="1" customWidth="1"/>
    <col min="12" max="12" width="20" style="4" bestFit="1" customWidth="1"/>
    <col min="13" max="16384" width="9" style="3"/>
  </cols>
  <sheetData>
    <row r="1" spans="1:12" x14ac:dyDescent="0.25">
      <c r="A1" s="3" t="s">
        <v>128</v>
      </c>
    </row>
    <row r="2" spans="1:12" x14ac:dyDescent="0.25">
      <c r="A2" s="76" t="s">
        <v>129</v>
      </c>
    </row>
    <row r="4" spans="1:12" x14ac:dyDescent="0.25">
      <c r="A4" s="80" t="s">
        <v>130</v>
      </c>
      <c r="B4" s="81"/>
      <c r="F4" s="82" t="str">
        <f>B6</f>
        <v>Refrigerator</v>
      </c>
      <c r="G4" s="82"/>
      <c r="H4" s="83"/>
      <c r="I4" s="84"/>
      <c r="J4" s="82" t="str">
        <f>B7</f>
        <v>Freezer</v>
      </c>
      <c r="K4" s="85"/>
      <c r="L4" s="86"/>
    </row>
    <row r="5" spans="1:12" x14ac:dyDescent="0.25">
      <c r="A5" s="87" t="s">
        <v>40</v>
      </c>
      <c r="B5" s="87" t="s">
        <v>98</v>
      </c>
      <c r="C5" s="87" t="s">
        <v>100</v>
      </c>
      <c r="D5" s="87" t="s">
        <v>131</v>
      </c>
      <c r="F5" s="87" t="s">
        <v>40</v>
      </c>
      <c r="G5" s="87" t="s">
        <v>132</v>
      </c>
      <c r="H5" s="87" t="s">
        <v>133</v>
      </c>
      <c r="J5" s="87" t="s">
        <v>40</v>
      </c>
      <c r="K5" s="87" t="s">
        <v>132</v>
      </c>
      <c r="L5" s="87" t="s">
        <v>133</v>
      </c>
    </row>
    <row r="6" spans="1:12" x14ac:dyDescent="0.25">
      <c r="A6" s="4">
        <v>1972</v>
      </c>
      <c r="B6" s="4" t="s">
        <v>134</v>
      </c>
      <c r="C6" s="4" t="s">
        <v>135</v>
      </c>
      <c r="D6" s="4">
        <v>3.84</v>
      </c>
      <c r="F6" s="4">
        <v>1972</v>
      </c>
      <c r="G6" s="6">
        <v>0</v>
      </c>
      <c r="H6" s="6">
        <f>$D$6*(1+(G6/100))</f>
        <v>3.84</v>
      </c>
      <c r="J6" s="4">
        <v>1972</v>
      </c>
      <c r="K6" s="6">
        <v>0</v>
      </c>
      <c r="L6" s="6">
        <f>$D$7*(1+(K6/100))</f>
        <v>7.29</v>
      </c>
    </row>
    <row r="7" spans="1:12" x14ac:dyDescent="0.25">
      <c r="A7" s="4">
        <v>1972</v>
      </c>
      <c r="B7" s="4" t="s">
        <v>136</v>
      </c>
      <c r="C7" s="4" t="s">
        <v>135</v>
      </c>
      <c r="D7" s="4">
        <v>7.29</v>
      </c>
      <c r="F7" s="4">
        <v>1973</v>
      </c>
      <c r="G7" s="6">
        <v>5.5709999999999997</v>
      </c>
      <c r="H7" s="6">
        <f t="shared" ref="H7:H21" si="0">$D$6*(1+(G7/100))</f>
        <v>4.0539263999999999</v>
      </c>
      <c r="J7" s="4">
        <v>1973</v>
      </c>
      <c r="K7" s="6">
        <v>6.6849999999999996</v>
      </c>
      <c r="L7" s="6">
        <f t="shared" ref="L7:L21" si="1">$D$7*(1+(K7/100))</f>
        <v>7.7773365000000005</v>
      </c>
    </row>
    <row r="8" spans="1:12" x14ac:dyDescent="0.25">
      <c r="A8" s="4">
        <v>1972</v>
      </c>
      <c r="B8" s="4" t="s">
        <v>137</v>
      </c>
      <c r="C8" s="4" t="s">
        <v>138</v>
      </c>
      <c r="D8" s="4">
        <v>6.66</v>
      </c>
      <c r="F8" s="4">
        <v>1974</v>
      </c>
      <c r="G8" s="6">
        <v>10.028</v>
      </c>
      <c r="H8" s="6">
        <f t="shared" si="0"/>
        <v>4.2250751999999991</v>
      </c>
      <c r="J8" s="4">
        <v>1974</v>
      </c>
      <c r="K8" s="6">
        <v>12.923</v>
      </c>
      <c r="L8" s="6">
        <f t="shared" si="1"/>
        <v>8.2320867</v>
      </c>
    </row>
    <row r="9" spans="1:12" x14ac:dyDescent="0.25">
      <c r="A9" s="4">
        <v>1972</v>
      </c>
      <c r="B9" s="4" t="s">
        <v>139</v>
      </c>
      <c r="C9" s="4" t="s">
        <v>140</v>
      </c>
      <c r="D9" s="4">
        <v>5.98</v>
      </c>
      <c r="F9" s="4">
        <v>1975</v>
      </c>
      <c r="G9" s="6">
        <v>14.903</v>
      </c>
      <c r="H9" s="6">
        <f t="shared" si="0"/>
        <v>4.4122751999999998</v>
      </c>
      <c r="J9" s="4">
        <v>1975</v>
      </c>
      <c r="K9" s="6">
        <v>17.966999999999999</v>
      </c>
      <c r="L9" s="6">
        <f t="shared" si="1"/>
        <v>8.5997942999999992</v>
      </c>
    </row>
    <row r="10" spans="1:12" x14ac:dyDescent="0.25">
      <c r="A10" s="4">
        <v>1972</v>
      </c>
      <c r="B10" s="4" t="s">
        <v>141</v>
      </c>
      <c r="C10" s="4" t="s">
        <v>142</v>
      </c>
      <c r="D10" s="88">
        <v>0.47399999999999998</v>
      </c>
      <c r="F10" s="4">
        <v>1976</v>
      </c>
      <c r="G10" s="6">
        <v>19.359000000000002</v>
      </c>
      <c r="H10" s="6">
        <f t="shared" si="0"/>
        <v>4.5833855999999997</v>
      </c>
      <c r="J10" s="4">
        <v>1976</v>
      </c>
      <c r="K10" s="6">
        <v>24.373000000000001</v>
      </c>
      <c r="L10" s="6">
        <f t="shared" si="1"/>
        <v>9.0667916999999996</v>
      </c>
    </row>
    <row r="11" spans="1:12" x14ac:dyDescent="0.25">
      <c r="A11" s="4">
        <v>1972</v>
      </c>
      <c r="B11" s="4" t="s">
        <v>143</v>
      </c>
      <c r="C11" s="4" t="s">
        <v>142</v>
      </c>
      <c r="D11" s="88">
        <v>0.627</v>
      </c>
      <c r="F11" s="4">
        <v>1977</v>
      </c>
      <c r="G11" s="6">
        <v>24.094999999999999</v>
      </c>
      <c r="H11" s="6">
        <f t="shared" si="0"/>
        <v>4.7652479999999997</v>
      </c>
      <c r="J11" s="4">
        <v>1977</v>
      </c>
      <c r="K11" s="6">
        <v>30.084</v>
      </c>
      <c r="L11" s="6">
        <f t="shared" si="1"/>
        <v>9.4831236000000008</v>
      </c>
    </row>
    <row r="12" spans="1:12" x14ac:dyDescent="0.25">
      <c r="A12" s="4">
        <v>1972</v>
      </c>
      <c r="B12" s="4" t="s">
        <v>144</v>
      </c>
      <c r="C12" s="4" t="s">
        <v>142</v>
      </c>
      <c r="D12" s="88">
        <v>0.73599999999999999</v>
      </c>
      <c r="F12" s="4">
        <v>1978</v>
      </c>
      <c r="G12" s="6">
        <v>29.943999999999999</v>
      </c>
      <c r="H12" s="6">
        <f t="shared" si="0"/>
        <v>4.9898495999999994</v>
      </c>
      <c r="J12" s="4">
        <v>1978</v>
      </c>
      <c r="K12" s="6">
        <v>35.933</v>
      </c>
      <c r="L12" s="6">
        <f t="shared" si="1"/>
        <v>9.9095157</v>
      </c>
    </row>
    <row r="13" spans="1:12" x14ac:dyDescent="0.25">
      <c r="A13" s="4">
        <v>1972</v>
      </c>
      <c r="B13" s="4" t="s">
        <v>145</v>
      </c>
      <c r="C13" s="4" t="s">
        <v>142</v>
      </c>
      <c r="D13" s="88">
        <v>0.79800000000000004</v>
      </c>
      <c r="F13" s="4">
        <v>1979</v>
      </c>
      <c r="G13" s="6">
        <v>36.212000000000003</v>
      </c>
      <c r="H13" s="6">
        <f t="shared" si="0"/>
        <v>5.2305408</v>
      </c>
      <c r="J13" s="4">
        <v>1979</v>
      </c>
      <c r="K13" s="6">
        <v>41.921999999999997</v>
      </c>
      <c r="L13" s="6">
        <f t="shared" si="1"/>
        <v>10.346113799999999</v>
      </c>
    </row>
    <row r="14" spans="1:12" x14ac:dyDescent="0.25">
      <c r="A14" s="4"/>
      <c r="B14" s="4"/>
      <c r="C14" s="4"/>
      <c r="D14" s="4"/>
      <c r="F14" s="4">
        <v>1980</v>
      </c>
      <c r="G14" s="6">
        <v>46.378999999999998</v>
      </c>
      <c r="H14" s="6">
        <f t="shared" si="0"/>
        <v>5.6209535999999991</v>
      </c>
      <c r="J14" s="4">
        <v>1980</v>
      </c>
      <c r="K14" s="6">
        <v>48.886000000000003</v>
      </c>
      <c r="L14" s="6">
        <f t="shared" si="1"/>
        <v>10.8537894</v>
      </c>
    </row>
    <row r="15" spans="1:12" x14ac:dyDescent="0.25">
      <c r="D15" s="4"/>
      <c r="F15" s="4">
        <v>1981</v>
      </c>
      <c r="G15" s="6">
        <v>59.052999999999997</v>
      </c>
      <c r="H15" s="6">
        <f t="shared" si="0"/>
        <v>6.1076351999999998</v>
      </c>
      <c r="J15" s="4">
        <v>1981</v>
      </c>
      <c r="K15" s="6">
        <v>52.786000000000001</v>
      </c>
      <c r="L15" s="6">
        <f t="shared" si="1"/>
        <v>11.1380994</v>
      </c>
    </row>
    <row r="16" spans="1:12" x14ac:dyDescent="0.25">
      <c r="D16" s="4"/>
      <c r="F16" s="4">
        <v>1982</v>
      </c>
      <c r="G16" s="6">
        <v>59.470999999999997</v>
      </c>
      <c r="H16" s="6">
        <f t="shared" si="0"/>
        <v>6.1236864000000004</v>
      </c>
      <c r="J16" s="4">
        <v>1982</v>
      </c>
      <c r="K16" s="6">
        <v>54.875</v>
      </c>
      <c r="L16" s="6">
        <f t="shared" si="1"/>
        <v>11.290387500000001</v>
      </c>
    </row>
    <row r="17" spans="4:12" x14ac:dyDescent="0.25">
      <c r="D17" s="4"/>
      <c r="F17" s="4">
        <v>1983</v>
      </c>
      <c r="G17" s="6">
        <v>65.319999999999993</v>
      </c>
      <c r="H17" s="6">
        <f t="shared" si="0"/>
        <v>6.3482880000000002</v>
      </c>
      <c r="J17" s="4">
        <v>1983</v>
      </c>
      <c r="K17" s="6">
        <v>55.71</v>
      </c>
      <c r="L17" s="6">
        <f t="shared" si="1"/>
        <v>11.351259000000001</v>
      </c>
    </row>
    <row r="18" spans="4:12" x14ac:dyDescent="0.25">
      <c r="D18" s="4"/>
      <c r="F18" s="4">
        <v>1984</v>
      </c>
      <c r="G18" s="6">
        <v>70.194999999999993</v>
      </c>
      <c r="H18" s="6">
        <f t="shared" si="0"/>
        <v>6.535488</v>
      </c>
      <c r="J18" s="4">
        <v>1984</v>
      </c>
      <c r="K18" s="6">
        <v>59.331000000000003</v>
      </c>
      <c r="L18" s="6">
        <f t="shared" si="1"/>
        <v>11.615229899999999</v>
      </c>
    </row>
    <row r="19" spans="4:12" x14ac:dyDescent="0.25">
      <c r="D19" s="4"/>
      <c r="F19" s="4">
        <v>1985</v>
      </c>
      <c r="G19" s="6">
        <v>74.652000000000001</v>
      </c>
      <c r="H19" s="6">
        <f t="shared" si="0"/>
        <v>6.7066367999999992</v>
      </c>
      <c r="J19" s="4">
        <v>1985</v>
      </c>
      <c r="K19" s="6">
        <v>57.798999999999999</v>
      </c>
      <c r="L19" s="6">
        <f t="shared" si="1"/>
        <v>11.5035471</v>
      </c>
    </row>
    <row r="20" spans="4:12" x14ac:dyDescent="0.25">
      <c r="F20" s="4">
        <v>1986</v>
      </c>
      <c r="G20" s="6">
        <v>77.855000000000004</v>
      </c>
      <c r="H20" s="6">
        <f t="shared" si="0"/>
        <v>6.8296320000000001</v>
      </c>
      <c r="J20" s="4">
        <v>1986</v>
      </c>
      <c r="K20" s="6">
        <v>65.459999999999994</v>
      </c>
      <c r="L20" s="6">
        <f t="shared" si="1"/>
        <v>12.062033999999999</v>
      </c>
    </row>
    <row r="21" spans="4:12" x14ac:dyDescent="0.25">
      <c r="F21" s="4">
        <v>1987</v>
      </c>
      <c r="G21" s="6">
        <v>93.733000000000004</v>
      </c>
      <c r="H21" s="6">
        <f t="shared" si="0"/>
        <v>7.4393471999999994</v>
      </c>
      <c r="J21" s="4">
        <v>1987</v>
      </c>
      <c r="K21" s="6">
        <v>76.602000000000004</v>
      </c>
      <c r="L21" s="6">
        <f t="shared" si="1"/>
        <v>12.874285800000001</v>
      </c>
    </row>
    <row r="23" spans="4:12" x14ac:dyDescent="0.25">
      <c r="F23" s="82" t="str">
        <f>B8</f>
        <v>Central A/C</v>
      </c>
      <c r="G23" s="85"/>
      <c r="H23" s="86"/>
      <c r="J23" s="85" t="str">
        <f>B9</f>
        <v>Room A/C</v>
      </c>
      <c r="K23" s="85"/>
      <c r="L23" s="86"/>
    </row>
    <row r="24" spans="4:12" x14ac:dyDescent="0.25">
      <c r="F24" s="87" t="s">
        <v>40</v>
      </c>
      <c r="G24" s="87" t="s">
        <v>132</v>
      </c>
      <c r="H24" s="87" t="s">
        <v>146</v>
      </c>
      <c r="J24" s="87" t="s">
        <v>40</v>
      </c>
      <c r="K24" s="87" t="s">
        <v>132</v>
      </c>
      <c r="L24" s="87" t="s">
        <v>147</v>
      </c>
    </row>
    <row r="25" spans="4:12" x14ac:dyDescent="0.25">
      <c r="F25" s="4">
        <v>1972</v>
      </c>
      <c r="G25" s="6">
        <v>0</v>
      </c>
      <c r="H25" s="6">
        <f>$D$8*(1+(G25/100))</f>
        <v>6.66</v>
      </c>
      <c r="J25" s="4">
        <v>1972</v>
      </c>
      <c r="K25" s="6">
        <v>0</v>
      </c>
      <c r="L25" s="6">
        <f>$D$9*(1+(K25/100))</f>
        <v>5.98</v>
      </c>
    </row>
    <row r="26" spans="4:12" x14ac:dyDescent="0.25">
      <c r="F26" s="4">
        <v>1973</v>
      </c>
      <c r="G26" s="6">
        <v>2.2280000000000002</v>
      </c>
      <c r="H26" s="6">
        <f t="shared" ref="H26:H40" si="2">$D$8*(1+(G26/100))</f>
        <v>6.8083848000000007</v>
      </c>
      <c r="J26" s="4">
        <v>1973</v>
      </c>
      <c r="K26" s="6">
        <v>2.786</v>
      </c>
      <c r="L26" s="6">
        <f t="shared" ref="L26:L40" si="3">$D$9*(1+(K26/100))</f>
        <v>6.1466028000000001</v>
      </c>
    </row>
    <row r="27" spans="4:12" x14ac:dyDescent="0.25">
      <c r="F27" s="4">
        <v>1974</v>
      </c>
      <c r="G27" s="6">
        <v>3.621</v>
      </c>
      <c r="H27" s="6">
        <f t="shared" si="2"/>
        <v>6.9011586000000005</v>
      </c>
      <c r="J27" s="4">
        <v>1974</v>
      </c>
      <c r="K27" s="6">
        <v>4.7350000000000003</v>
      </c>
      <c r="L27" s="6">
        <f t="shared" si="3"/>
        <v>6.2631530000000009</v>
      </c>
    </row>
    <row r="28" spans="4:12" x14ac:dyDescent="0.25">
      <c r="F28" s="4">
        <v>1975</v>
      </c>
      <c r="G28" s="6">
        <v>5.71</v>
      </c>
      <c r="H28" s="6">
        <f t="shared" si="2"/>
        <v>7.040286</v>
      </c>
      <c r="J28" s="4">
        <v>1975</v>
      </c>
      <c r="K28" s="6">
        <v>6.6849999999999996</v>
      </c>
      <c r="L28" s="6">
        <f t="shared" si="3"/>
        <v>6.3797630000000005</v>
      </c>
    </row>
    <row r="29" spans="4:12" x14ac:dyDescent="0.25">
      <c r="F29" s="4">
        <v>1976</v>
      </c>
      <c r="G29" s="6">
        <v>7.66</v>
      </c>
      <c r="H29" s="6">
        <f t="shared" si="2"/>
        <v>7.1701560000000004</v>
      </c>
      <c r="J29" s="4">
        <v>1976</v>
      </c>
      <c r="K29" s="6">
        <v>8.6349999999999998</v>
      </c>
      <c r="L29" s="6">
        <f t="shared" si="3"/>
        <v>6.4963730000000002</v>
      </c>
    </row>
    <row r="30" spans="4:12" x14ac:dyDescent="0.25">
      <c r="F30" s="4">
        <v>1977</v>
      </c>
      <c r="G30" s="6">
        <v>9.1920000000000002</v>
      </c>
      <c r="H30" s="6">
        <f t="shared" si="2"/>
        <v>7.2721872000000003</v>
      </c>
      <c r="J30" s="4">
        <v>1977</v>
      </c>
      <c r="K30" s="6">
        <v>10.864000000000001</v>
      </c>
      <c r="L30" s="6">
        <f t="shared" si="3"/>
        <v>6.629667200000001</v>
      </c>
    </row>
    <row r="31" spans="4:12" x14ac:dyDescent="0.25">
      <c r="F31" s="4">
        <v>1978</v>
      </c>
      <c r="G31" s="6">
        <v>11.003</v>
      </c>
      <c r="H31" s="6">
        <f t="shared" si="2"/>
        <v>7.3927998000000006</v>
      </c>
      <c r="J31" s="4">
        <v>1978</v>
      </c>
      <c r="K31" s="6">
        <v>13.092000000000001</v>
      </c>
      <c r="L31" s="6">
        <f t="shared" si="3"/>
        <v>6.7629016000000002</v>
      </c>
    </row>
    <row r="32" spans="4:12" x14ac:dyDescent="0.25">
      <c r="F32" s="4">
        <v>1979</v>
      </c>
      <c r="G32" s="6">
        <v>12.673999999999999</v>
      </c>
      <c r="H32" s="6">
        <f t="shared" si="2"/>
        <v>7.5040884000000005</v>
      </c>
      <c r="J32" s="4">
        <v>1979</v>
      </c>
      <c r="K32" s="6">
        <v>15.042</v>
      </c>
      <c r="L32" s="6">
        <f t="shared" si="3"/>
        <v>6.8795116000000007</v>
      </c>
    </row>
    <row r="33" spans="6:12" x14ac:dyDescent="0.25">
      <c r="F33" s="4">
        <v>1980</v>
      </c>
      <c r="G33" s="6">
        <v>14.067</v>
      </c>
      <c r="H33" s="6">
        <f t="shared" si="2"/>
        <v>7.5968622000000003</v>
      </c>
      <c r="J33" s="4">
        <v>1980</v>
      </c>
      <c r="K33" s="6">
        <v>17.966999999999999</v>
      </c>
      <c r="L33" s="6">
        <f t="shared" si="3"/>
        <v>7.0544266000000002</v>
      </c>
    </row>
    <row r="34" spans="6:12" x14ac:dyDescent="0.25">
      <c r="F34" s="4">
        <v>1981</v>
      </c>
      <c r="G34" s="6">
        <v>17.27</v>
      </c>
      <c r="H34" s="6">
        <f t="shared" si="2"/>
        <v>7.8101820000000011</v>
      </c>
      <c r="J34" s="4">
        <v>1981</v>
      </c>
      <c r="K34" s="6">
        <v>18.663</v>
      </c>
      <c r="L34" s="6">
        <f t="shared" si="3"/>
        <v>7.0960474000000007</v>
      </c>
    </row>
    <row r="35" spans="6:12" x14ac:dyDescent="0.25">
      <c r="F35" s="4">
        <v>1982</v>
      </c>
      <c r="G35" s="6">
        <v>25.626999999999999</v>
      </c>
      <c r="H35" s="6">
        <f t="shared" si="2"/>
        <v>8.3667581999999996</v>
      </c>
      <c r="J35" s="4">
        <v>1982</v>
      </c>
      <c r="K35" s="6">
        <v>20.334</v>
      </c>
      <c r="L35" s="6">
        <f t="shared" si="3"/>
        <v>7.195973200000001</v>
      </c>
    </row>
    <row r="36" spans="6:12" x14ac:dyDescent="0.25">
      <c r="F36" s="4">
        <v>1983</v>
      </c>
      <c r="G36" s="6">
        <v>27.158999999999999</v>
      </c>
      <c r="H36" s="6">
        <f t="shared" si="2"/>
        <v>8.4687894000000004</v>
      </c>
      <c r="J36" s="4">
        <v>1983</v>
      </c>
      <c r="K36" s="6">
        <v>22.841000000000001</v>
      </c>
      <c r="L36" s="6">
        <f t="shared" si="3"/>
        <v>7.3458918000000004</v>
      </c>
    </row>
    <row r="37" spans="6:12" x14ac:dyDescent="0.25">
      <c r="F37" s="4">
        <v>1984</v>
      </c>
      <c r="G37" s="6">
        <v>30.640999999999998</v>
      </c>
      <c r="H37" s="6">
        <f t="shared" si="2"/>
        <v>8.7006906000000015</v>
      </c>
      <c r="J37" s="4">
        <v>1984</v>
      </c>
      <c r="K37" s="6">
        <v>25.765999999999998</v>
      </c>
      <c r="L37" s="6">
        <f t="shared" si="3"/>
        <v>7.5208068000000008</v>
      </c>
    </row>
    <row r="38" spans="6:12" x14ac:dyDescent="0.25">
      <c r="F38" s="4">
        <v>1985</v>
      </c>
      <c r="G38" s="6">
        <v>32.869</v>
      </c>
      <c r="H38" s="6">
        <f t="shared" si="2"/>
        <v>8.8490754000000003</v>
      </c>
      <c r="J38" s="4">
        <v>1985</v>
      </c>
      <c r="K38" s="6">
        <v>29.248000000000001</v>
      </c>
      <c r="L38" s="6">
        <f t="shared" si="3"/>
        <v>7.729030400000001</v>
      </c>
    </row>
    <row r="39" spans="6:12" x14ac:dyDescent="0.25">
      <c r="F39" s="4">
        <v>1986</v>
      </c>
      <c r="G39" s="6">
        <v>33.704999999999998</v>
      </c>
      <c r="H39" s="6">
        <f t="shared" si="2"/>
        <v>8.9047530000000013</v>
      </c>
      <c r="J39" s="4">
        <v>1986</v>
      </c>
      <c r="K39" s="6">
        <v>30.919</v>
      </c>
      <c r="L39" s="6">
        <f t="shared" si="3"/>
        <v>7.8289562000000013</v>
      </c>
    </row>
    <row r="40" spans="6:12" x14ac:dyDescent="0.25">
      <c r="F40" s="4">
        <v>1987</v>
      </c>
      <c r="G40" s="6">
        <v>35.375999999999998</v>
      </c>
      <c r="H40" s="6">
        <f t="shared" si="2"/>
        <v>9.0160415999999994</v>
      </c>
      <c r="J40" s="4">
        <v>1987</v>
      </c>
      <c r="K40" s="6">
        <v>35.375999999999998</v>
      </c>
      <c r="L40" s="6">
        <f t="shared" si="3"/>
        <v>8.0954847999999995</v>
      </c>
    </row>
    <row r="42" spans="6:12" x14ac:dyDescent="0.25">
      <c r="F42" s="82" t="str">
        <f>B10</f>
        <v>Gas water heater</v>
      </c>
      <c r="G42" s="85"/>
      <c r="H42" s="86"/>
      <c r="J42" s="82" t="str">
        <f>B11</f>
        <v>Gas space heater</v>
      </c>
      <c r="K42" s="85"/>
      <c r="L42" s="86"/>
    </row>
    <row r="43" spans="6:12" x14ac:dyDescent="0.25">
      <c r="F43" s="87" t="s">
        <v>40</v>
      </c>
      <c r="G43" s="87" t="s">
        <v>132</v>
      </c>
      <c r="H43" s="87" t="s">
        <v>148</v>
      </c>
      <c r="J43" s="87" t="s">
        <v>40</v>
      </c>
      <c r="K43" s="87" t="s">
        <v>132</v>
      </c>
      <c r="L43" s="87" t="s">
        <v>148</v>
      </c>
    </row>
    <row r="44" spans="6:12" x14ac:dyDescent="0.25">
      <c r="F44" s="4">
        <v>1972</v>
      </c>
      <c r="G44" s="6">
        <v>0</v>
      </c>
      <c r="H44" s="88">
        <f>$D$10*(1+(G44/100))</f>
        <v>0.47399999999999998</v>
      </c>
      <c r="J44" s="4">
        <v>1972</v>
      </c>
      <c r="K44" s="6">
        <v>0</v>
      </c>
      <c r="L44" s="88">
        <f>$D$11*(1+(K44/100))</f>
        <v>0.627</v>
      </c>
    </row>
    <row r="45" spans="6:12" x14ac:dyDescent="0.25">
      <c r="F45" s="4">
        <v>1973</v>
      </c>
      <c r="G45" s="6">
        <v>0.55700000000000005</v>
      </c>
      <c r="H45" s="88">
        <f t="shared" ref="H45:H56" si="4">$D$10*(1+(G45/100))</f>
        <v>0.47664018000000002</v>
      </c>
      <c r="J45" s="4">
        <v>1973</v>
      </c>
      <c r="K45" s="6">
        <v>0.69599999999999995</v>
      </c>
      <c r="L45" s="88">
        <f t="shared" ref="L45:L59" si="5">$D$11*(1+(K45/100))</f>
        <v>0.63136392000000008</v>
      </c>
    </row>
    <row r="46" spans="6:12" x14ac:dyDescent="0.25">
      <c r="F46" s="4">
        <v>1974</v>
      </c>
      <c r="G46" s="6">
        <v>0.97499999999999998</v>
      </c>
      <c r="H46" s="88">
        <f t="shared" si="4"/>
        <v>0.47862149999999992</v>
      </c>
      <c r="J46" s="4">
        <v>1974</v>
      </c>
      <c r="K46" s="6">
        <v>0.83599999999999997</v>
      </c>
      <c r="L46" s="88">
        <f t="shared" si="5"/>
        <v>0.63224172000000001</v>
      </c>
    </row>
    <row r="47" spans="6:12" x14ac:dyDescent="0.25">
      <c r="F47" s="4">
        <v>1975</v>
      </c>
      <c r="G47" s="6">
        <v>1.671</v>
      </c>
      <c r="H47" s="88">
        <f t="shared" si="4"/>
        <v>0.48192053999999995</v>
      </c>
      <c r="J47" s="4">
        <v>1975</v>
      </c>
      <c r="K47" s="6">
        <v>1.393</v>
      </c>
      <c r="L47" s="88">
        <f t="shared" si="5"/>
        <v>0.63573411000000002</v>
      </c>
    </row>
    <row r="48" spans="6:12" x14ac:dyDescent="0.25">
      <c r="F48" s="4">
        <v>1976</v>
      </c>
      <c r="G48" s="6">
        <v>1.8109999999999999</v>
      </c>
      <c r="H48" s="88">
        <f t="shared" si="4"/>
        <v>0.48258413999999999</v>
      </c>
      <c r="J48" s="4">
        <v>1976</v>
      </c>
      <c r="K48" s="6">
        <v>1.671</v>
      </c>
      <c r="L48" s="88">
        <f t="shared" si="5"/>
        <v>0.63747717000000004</v>
      </c>
    </row>
    <row r="49" spans="6:12" x14ac:dyDescent="0.25">
      <c r="F49" s="4">
        <v>1977</v>
      </c>
      <c r="G49" s="6">
        <v>1.9</v>
      </c>
      <c r="H49" s="88">
        <f t="shared" si="4"/>
        <v>0.48300599999999994</v>
      </c>
      <c r="J49" s="4">
        <v>1977</v>
      </c>
      <c r="K49" s="6">
        <v>2.2280000000000002</v>
      </c>
      <c r="L49" s="88">
        <f t="shared" si="5"/>
        <v>0.64096956000000005</v>
      </c>
    </row>
    <row r="50" spans="6:12" x14ac:dyDescent="0.25">
      <c r="F50" s="4">
        <v>1978</v>
      </c>
      <c r="G50" s="6">
        <v>2.5070000000000001</v>
      </c>
      <c r="H50" s="88">
        <f t="shared" si="4"/>
        <v>0.48588317999999991</v>
      </c>
      <c r="J50" s="4">
        <v>1978</v>
      </c>
      <c r="K50" s="6">
        <v>2.6459999999999999</v>
      </c>
      <c r="L50" s="88">
        <f t="shared" si="5"/>
        <v>0.64359042</v>
      </c>
    </row>
    <row r="51" spans="6:12" x14ac:dyDescent="0.25">
      <c r="F51" s="4">
        <v>1979</v>
      </c>
      <c r="G51" s="6">
        <v>5.4320000000000004</v>
      </c>
      <c r="H51" s="88">
        <f t="shared" si="4"/>
        <v>0.49974767999999992</v>
      </c>
      <c r="J51" s="4">
        <v>1979</v>
      </c>
      <c r="K51" s="6">
        <v>3.621</v>
      </c>
      <c r="L51" s="88">
        <f t="shared" si="5"/>
        <v>0.64970367000000007</v>
      </c>
    </row>
    <row r="52" spans="6:12" x14ac:dyDescent="0.25">
      <c r="F52" s="4">
        <v>1980</v>
      </c>
      <c r="G52" s="6">
        <v>8.4960000000000004</v>
      </c>
      <c r="H52" s="88">
        <f t="shared" si="4"/>
        <v>0.5142710399999999</v>
      </c>
      <c r="J52" s="4">
        <v>1980</v>
      </c>
      <c r="K52" s="6">
        <v>5.2919999999999998</v>
      </c>
      <c r="L52" s="88">
        <f t="shared" si="5"/>
        <v>0.6601808400000001</v>
      </c>
    </row>
    <row r="53" spans="6:12" x14ac:dyDescent="0.25">
      <c r="F53" s="4">
        <v>1981</v>
      </c>
      <c r="G53" s="6">
        <v>10.864000000000001</v>
      </c>
      <c r="H53" s="88">
        <f t="shared" si="4"/>
        <v>0.52549535999999997</v>
      </c>
      <c r="J53" s="4">
        <v>1981</v>
      </c>
      <c r="K53" s="6">
        <v>7.1029999999999998</v>
      </c>
      <c r="L53" s="88">
        <f t="shared" si="5"/>
        <v>0.67153580999999996</v>
      </c>
    </row>
    <row r="54" spans="6:12" x14ac:dyDescent="0.25">
      <c r="F54" s="4">
        <v>1982</v>
      </c>
      <c r="G54" s="6">
        <v>13.37</v>
      </c>
      <c r="H54" s="88">
        <f t="shared" si="4"/>
        <v>0.5373737999999999</v>
      </c>
      <c r="J54" s="4">
        <v>1982</v>
      </c>
      <c r="K54" s="6">
        <v>9.0530000000000008</v>
      </c>
      <c r="L54" s="88">
        <f t="shared" si="5"/>
        <v>0.68376230999999998</v>
      </c>
    </row>
    <row r="55" spans="6:12" x14ac:dyDescent="0.25">
      <c r="F55" s="4">
        <v>1983</v>
      </c>
      <c r="G55" s="6">
        <v>15.877000000000001</v>
      </c>
      <c r="H55" s="88">
        <f t="shared" si="4"/>
        <v>0.54925698000000001</v>
      </c>
      <c r="J55" s="4">
        <v>1983</v>
      </c>
      <c r="K55" s="6">
        <v>11.699</v>
      </c>
      <c r="L55" s="88">
        <f t="shared" si="5"/>
        <v>0.70035272999999998</v>
      </c>
    </row>
    <row r="56" spans="6:12" x14ac:dyDescent="0.25">
      <c r="F56" s="4">
        <v>1984</v>
      </c>
      <c r="G56" s="6">
        <v>18.942</v>
      </c>
      <c r="H56" s="88">
        <f t="shared" si="4"/>
        <v>0.56378507999999994</v>
      </c>
      <c r="J56" s="4">
        <v>1984</v>
      </c>
      <c r="K56" s="6">
        <v>17.408999999999999</v>
      </c>
      <c r="L56" s="88">
        <f t="shared" si="5"/>
        <v>0.73615443000000003</v>
      </c>
    </row>
    <row r="57" spans="6:12" x14ac:dyDescent="0.25">
      <c r="F57" s="4">
        <v>1985</v>
      </c>
      <c r="J57" s="4">
        <v>1985</v>
      </c>
      <c r="K57" s="6">
        <v>18.384</v>
      </c>
      <c r="L57" s="88">
        <f t="shared" si="5"/>
        <v>0.74226767999999999</v>
      </c>
    </row>
    <row r="58" spans="6:12" x14ac:dyDescent="0.25">
      <c r="F58" s="4">
        <v>1986</v>
      </c>
      <c r="J58" s="4">
        <v>1986</v>
      </c>
      <c r="K58" s="6">
        <v>19.22</v>
      </c>
      <c r="L58" s="88">
        <f t="shared" si="5"/>
        <v>0.74750939999999999</v>
      </c>
    </row>
    <row r="59" spans="6:12" x14ac:dyDescent="0.25">
      <c r="F59" s="4">
        <v>1987</v>
      </c>
      <c r="J59" s="4">
        <v>1987</v>
      </c>
      <c r="K59" s="6">
        <v>20.334</v>
      </c>
      <c r="L59" s="88">
        <f t="shared" si="5"/>
        <v>0.75449418000000001</v>
      </c>
    </row>
    <row r="61" spans="6:12" x14ac:dyDescent="0.25">
      <c r="F61" s="82" t="str">
        <f>B12</f>
        <v>Oil space heater</v>
      </c>
      <c r="G61" s="85"/>
      <c r="H61" s="86"/>
      <c r="J61" s="82" t="str">
        <f>B13</f>
        <v>Electric water heater</v>
      </c>
      <c r="K61" s="85"/>
      <c r="L61" s="86"/>
    </row>
    <row r="62" spans="6:12" x14ac:dyDescent="0.25">
      <c r="F62" s="87" t="s">
        <v>40</v>
      </c>
      <c r="G62" s="87" t="s">
        <v>132</v>
      </c>
      <c r="H62" s="87" t="s">
        <v>148</v>
      </c>
      <c r="J62" s="87" t="s">
        <v>40</v>
      </c>
      <c r="K62" s="87" t="s">
        <v>132</v>
      </c>
      <c r="L62" s="87" t="s">
        <v>148</v>
      </c>
    </row>
    <row r="63" spans="6:12" x14ac:dyDescent="0.25">
      <c r="F63" s="4">
        <v>1972</v>
      </c>
      <c r="G63" s="6">
        <v>0</v>
      </c>
      <c r="H63" s="88">
        <f>$D$12*(1+(G63/100))</f>
        <v>0.73599999999999999</v>
      </c>
      <c r="J63" s="4">
        <v>1972</v>
      </c>
      <c r="K63" s="6">
        <v>0</v>
      </c>
      <c r="L63" s="88">
        <f>$D$13*(1+(K63/100))</f>
        <v>0.79800000000000004</v>
      </c>
    </row>
    <row r="64" spans="6:12" x14ac:dyDescent="0.25">
      <c r="F64" s="4">
        <v>1973</v>
      </c>
      <c r="G64" s="6">
        <v>0.83599999999999997</v>
      </c>
      <c r="H64" s="88">
        <f t="shared" ref="H64:H78" si="6">$D$12*(1+(G64/100))</f>
        <v>0.74215295999999997</v>
      </c>
      <c r="J64" s="4">
        <v>1973</v>
      </c>
      <c r="K64" s="6">
        <v>0.41799999999999998</v>
      </c>
      <c r="L64" s="88">
        <f t="shared" ref="L64:L75" si="7">$D$13*(1+(K64/100))</f>
        <v>0.80133564000000013</v>
      </c>
    </row>
    <row r="65" spans="6:12" x14ac:dyDescent="0.25">
      <c r="F65" s="4">
        <v>1974</v>
      </c>
      <c r="G65" s="6">
        <v>1.1140000000000001</v>
      </c>
      <c r="H65" s="88">
        <f t="shared" si="6"/>
        <v>0.74419903999999992</v>
      </c>
      <c r="J65" s="4">
        <v>1974</v>
      </c>
      <c r="K65" s="6">
        <v>0.83599999999999997</v>
      </c>
      <c r="L65" s="88">
        <f t="shared" si="7"/>
        <v>0.80467127999999999</v>
      </c>
    </row>
    <row r="66" spans="6:12" x14ac:dyDescent="0.25">
      <c r="F66" s="4">
        <v>1975</v>
      </c>
      <c r="G66" s="6">
        <v>1.532</v>
      </c>
      <c r="H66" s="88">
        <f t="shared" si="6"/>
        <v>0.74727551999999997</v>
      </c>
      <c r="J66" s="4">
        <v>1975</v>
      </c>
      <c r="K66" s="6">
        <v>0.97499999999999998</v>
      </c>
      <c r="L66" s="88">
        <f t="shared" si="7"/>
        <v>0.80578050000000001</v>
      </c>
    </row>
    <row r="67" spans="6:12" x14ac:dyDescent="0.25">
      <c r="F67" s="4">
        <v>1976</v>
      </c>
      <c r="G67" s="6">
        <v>1.8109999999999999</v>
      </c>
      <c r="H67" s="88">
        <f t="shared" si="6"/>
        <v>0.74932896000000004</v>
      </c>
      <c r="J67" s="4">
        <v>1976</v>
      </c>
      <c r="K67" s="6">
        <v>1.1140000000000001</v>
      </c>
      <c r="L67" s="88">
        <f t="shared" si="7"/>
        <v>0.80688972000000003</v>
      </c>
    </row>
    <row r="68" spans="6:12" x14ac:dyDescent="0.25">
      <c r="F68" s="4">
        <v>1977</v>
      </c>
      <c r="G68" s="6">
        <v>1.95</v>
      </c>
      <c r="H68" s="88">
        <f t="shared" si="6"/>
        <v>0.75035200000000002</v>
      </c>
      <c r="J68" s="4">
        <v>1977</v>
      </c>
      <c r="K68" s="6">
        <v>1.1140000000000001</v>
      </c>
      <c r="L68" s="88">
        <f t="shared" si="7"/>
        <v>0.80688972000000003</v>
      </c>
    </row>
    <row r="69" spans="6:12" x14ac:dyDescent="0.25">
      <c r="F69" s="4">
        <v>1978</v>
      </c>
      <c r="G69" s="6">
        <v>2.6459999999999999</v>
      </c>
      <c r="H69" s="88">
        <f t="shared" si="6"/>
        <v>0.75547455999999991</v>
      </c>
      <c r="J69" s="4">
        <v>1978</v>
      </c>
      <c r="K69" s="6">
        <v>1.8109999999999999</v>
      </c>
      <c r="L69" s="88">
        <f t="shared" si="7"/>
        <v>0.81245178000000007</v>
      </c>
    </row>
    <row r="70" spans="6:12" x14ac:dyDescent="0.25">
      <c r="F70" s="4">
        <v>1979</v>
      </c>
      <c r="G70" s="6">
        <v>2.9249999999999998</v>
      </c>
      <c r="H70" s="88">
        <f t="shared" si="6"/>
        <v>0.75752799999999998</v>
      </c>
      <c r="J70" s="4">
        <v>1979</v>
      </c>
      <c r="K70" s="6">
        <v>1.8109999999999999</v>
      </c>
      <c r="L70" s="88">
        <f t="shared" si="7"/>
        <v>0.81245178000000007</v>
      </c>
    </row>
    <row r="71" spans="6:12" x14ac:dyDescent="0.25">
      <c r="F71" s="4">
        <v>1980</v>
      </c>
      <c r="G71" s="6">
        <v>3.76</v>
      </c>
      <c r="H71" s="88">
        <f t="shared" si="6"/>
        <v>0.76367360000000006</v>
      </c>
      <c r="J71" s="4">
        <v>1980</v>
      </c>
      <c r="K71" s="6">
        <v>1.95</v>
      </c>
      <c r="L71" s="88">
        <f t="shared" si="7"/>
        <v>0.81356100000000009</v>
      </c>
    </row>
    <row r="72" spans="6:12" x14ac:dyDescent="0.25">
      <c r="F72" s="4">
        <v>1981</v>
      </c>
      <c r="G72" s="6">
        <v>4.4569999999999999</v>
      </c>
      <c r="H72" s="88">
        <f t="shared" si="6"/>
        <v>0.76880351999999996</v>
      </c>
      <c r="J72" s="4">
        <v>1981</v>
      </c>
      <c r="K72" s="6">
        <v>2.3679999999999999</v>
      </c>
      <c r="L72" s="88">
        <f t="shared" si="7"/>
        <v>0.81689663999999995</v>
      </c>
    </row>
    <row r="73" spans="6:12" x14ac:dyDescent="0.25">
      <c r="F73" s="4">
        <v>1982</v>
      </c>
      <c r="G73" s="6">
        <v>5.85</v>
      </c>
      <c r="H73" s="88">
        <f t="shared" si="6"/>
        <v>0.77905599999999997</v>
      </c>
      <c r="J73" s="4">
        <v>1982</v>
      </c>
      <c r="K73" s="6">
        <v>2.44</v>
      </c>
      <c r="L73" s="88">
        <f t="shared" si="7"/>
        <v>0.81747120000000006</v>
      </c>
    </row>
    <row r="74" spans="6:12" x14ac:dyDescent="0.25">
      <c r="F74" s="4">
        <v>1983</v>
      </c>
      <c r="G74" s="6">
        <v>6.8250000000000002</v>
      </c>
      <c r="H74" s="88">
        <f t="shared" si="6"/>
        <v>0.78623199999999993</v>
      </c>
      <c r="J74" s="4">
        <v>1983</v>
      </c>
      <c r="K74" s="6">
        <v>2.5070000000000001</v>
      </c>
      <c r="L74" s="88">
        <f t="shared" si="7"/>
        <v>0.81800585999999997</v>
      </c>
    </row>
    <row r="75" spans="6:12" x14ac:dyDescent="0.25">
      <c r="F75" s="4">
        <v>1984</v>
      </c>
      <c r="G75" s="6">
        <v>7.242</v>
      </c>
      <c r="H75" s="88">
        <f t="shared" si="6"/>
        <v>0.78930111999999997</v>
      </c>
      <c r="J75" s="4">
        <v>1984</v>
      </c>
      <c r="K75" s="6">
        <v>2.61</v>
      </c>
      <c r="L75" s="88">
        <f t="shared" si="7"/>
        <v>0.81882780000000011</v>
      </c>
    </row>
    <row r="76" spans="6:12" x14ac:dyDescent="0.25">
      <c r="F76" s="4">
        <v>1985</v>
      </c>
      <c r="G76" s="6">
        <v>7.5209999999999999</v>
      </c>
      <c r="H76" s="88">
        <f t="shared" si="6"/>
        <v>0.79135456000000004</v>
      </c>
      <c r="J76" s="4">
        <v>1985</v>
      </c>
    </row>
    <row r="77" spans="6:12" x14ac:dyDescent="0.25">
      <c r="F77" s="4">
        <v>1986</v>
      </c>
      <c r="G77" s="6">
        <v>8.3569999999999993</v>
      </c>
      <c r="H77" s="88">
        <f t="shared" si="6"/>
        <v>0.79750751999999991</v>
      </c>
      <c r="J77" s="4">
        <v>1986</v>
      </c>
    </row>
    <row r="78" spans="6:12" x14ac:dyDescent="0.25">
      <c r="F78" s="4">
        <v>1987</v>
      </c>
      <c r="G78" s="6">
        <v>8.4960000000000004</v>
      </c>
      <c r="H78" s="88">
        <f t="shared" si="6"/>
        <v>0.79853055999999989</v>
      </c>
      <c r="J78" s="4">
        <v>1987</v>
      </c>
    </row>
  </sheetData>
  <hyperlinks>
    <hyperlink ref="A2" r:id="rId1" xr:uid="{00000000-0004-0000-0E00-000000000000}"/>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13</vt:i4>
      </vt:variant>
    </vt:vector>
  </HeadingPairs>
  <TitlesOfParts>
    <vt:vector size="29" baseType="lpstr">
      <vt:lpstr>REFS</vt:lpstr>
      <vt:lpstr>FIN_ETA</vt:lpstr>
      <vt:lpstr>Calcs</vt:lpstr>
      <vt:lpstr>Calcs_USA</vt:lpstr>
      <vt:lpstr>Dahmus_2014</vt:lpstr>
      <vt:lpstr>AHAM_2017</vt:lpstr>
      <vt:lpstr>Daioglou_2010</vt:lpstr>
      <vt:lpstr>Geller_1988</vt:lpstr>
      <vt:lpstr>Laguerre_2010</vt:lpstr>
      <vt:lpstr>Constants</vt:lpstr>
      <vt:lpstr>Air_Properties</vt:lpstr>
      <vt:lpstr>Weiss_2008</vt:lpstr>
      <vt:lpstr>Heun_2019</vt:lpstr>
      <vt:lpstr>VerBeek_2020</vt:lpstr>
      <vt:lpstr>ASAP_2016</vt:lpstr>
      <vt:lpstr>Schipper_1991</vt:lpstr>
      <vt:lpstr>COP_max</vt:lpstr>
      <vt:lpstr>ft3_to_m3</vt:lpstr>
      <vt:lpstr>heat_transfer_coefficient</vt:lpstr>
      <vt:lpstr>int_temp</vt:lpstr>
      <vt:lpstr>internalvol_to_internalarea</vt:lpstr>
      <vt:lpstr>l_to_m3</vt:lpstr>
      <vt:lpstr>T_0</vt:lpstr>
      <vt:lpstr>VerBeek_2020!T_0_ref</vt:lpstr>
      <vt:lpstr>T_0_ref</vt:lpstr>
      <vt:lpstr>VerBeek_2020!T_ref</vt:lpstr>
      <vt:lpstr>T_ref</vt:lpstr>
      <vt:lpstr>temp_diff</vt:lpstr>
      <vt:lpstr>year_to_hour</vt:lpstr>
    </vt:vector>
  </TitlesOfParts>
  <Company>University of Leeds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Zeke Marshall</dc:creator>
  <cp:lastModifiedBy>User</cp:lastModifiedBy>
  <dcterms:created xsi:type="dcterms:W3CDTF">2021-01-14T11:57:33Z</dcterms:created>
  <dcterms:modified xsi:type="dcterms:W3CDTF">2022-07-13T11:04:06Z</dcterms:modified>
</cp:coreProperties>
</file>