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comments6.xml" ContentType="application/vnd.openxmlformats-officedocument.spreadsheetml.comment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6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Ammonia_synthesizers\"/>
    </mc:Choice>
  </mc:AlternateContent>
  <xr:revisionPtr revIDLastSave="0" documentId="13_ncr:1_{5AB5C89B-33A4-40D5-97BD-6463D2559784}" xr6:coauthVersionLast="47" xr6:coauthVersionMax="47" xr10:uidLastSave="{00000000-0000-0000-0000-000000000000}"/>
  <bookViews>
    <workbookView xWindow="-28920" yWindow="-1620" windowWidth="29040" windowHeight="16440" tabRatio="747" xr2:uid="{00000000-000D-0000-FFFF-FFFF00000000}"/>
  </bookViews>
  <sheets>
    <sheet name="REFS" sheetId="28" r:id="rId1"/>
    <sheet name="FIN_ETA" sheetId="10" r:id="rId2"/>
    <sheet name="Calcs" sheetId="9" r:id="rId3"/>
    <sheet name="Smith_2020" sheetId="1" r:id="rId4"/>
    <sheet name="OTA_1983" sheetId="27" r:id="rId5"/>
    <sheet name="Patzek_2004" sheetId="29" r:id="rId6"/>
    <sheet name="Kermeli_2017" sheetId="26" r:id="rId7"/>
    <sheet name="DOE_2007" sheetId="25" r:id="rId8"/>
    <sheet name="Rafiqul_2005" sheetId="13" r:id="rId9"/>
    <sheet name="IEA_2007" sheetId="12" r:id="rId10"/>
    <sheet name="IEA 2009" sheetId="31" r:id="rId11"/>
    <sheet name="Heath_1985" sheetId="22" r:id="rId12"/>
    <sheet name="Constant_1992" sheetId="23" r:id="rId13"/>
    <sheet name="Sheldrick_1987" sheetId="24" r:id="rId14"/>
    <sheet name="Goldemberg_1985" sheetId="20" r:id="rId15"/>
    <sheet name="DOE_2000" sheetId="19" r:id="rId16"/>
    <sheet name="Aguilera_2015_b" sheetId="7" r:id="rId17"/>
    <sheet name="Saygin_2011" sheetId="21" r:id="rId18"/>
    <sheet name="ChemExergy" sheetId="15" r:id="rId19"/>
    <sheet name="Worrel_2000" sheetId="17" r:id="rId20"/>
    <sheet name="Schumacher_1999" sheetId="14" r:id="rId21"/>
    <sheet name="Dahmus_2014" sheetId="4" r:id="rId22"/>
    <sheet name="IndianMOP_2015" sheetId="16" r:id="rId23"/>
    <sheet name="Aguilera_2015_a" sheetId="6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\0">[1]TABLE1a!$U$1:$U$7</definedName>
    <definedName name="\p">[1]TABLE1a!$P$1</definedName>
    <definedName name="\t">[1]TABLE1a!$U$3:$U$3</definedName>
    <definedName name="_1.2__Average_distance_travelled_by_mode_of_travel__1975_76__1985_86_and_1993_95">#REF!</definedName>
    <definedName name="_1981">#REF!</definedName>
    <definedName name="_tab13">#REF!</definedName>
    <definedName name="_tab14">#REF!</definedName>
    <definedName name="Absc_graph">INDIRECT(#REF!)</definedName>
    <definedName name="activeCell">#REF!</definedName>
    <definedName name="ALL">#N/A</definedName>
    <definedName name="ANNBELGIUM">[1]TABLE5!$D$5:$D$12</definedName>
    <definedName name="ANNDVR">[1]TABLE4AL!$D$6:$D$12</definedName>
    <definedName name="ANNENG">[1]TABLE4AL!$F$6:$F$12</definedName>
    <definedName name="ANNFORIEGN">[1]TABLE1a!$P$37:$P$37</definedName>
    <definedName name="ANNFRANCE">[1]TABLE5!$B$5:$B$12</definedName>
    <definedName name="ANNL">[1]TABLE5!$F$5:$F$12</definedName>
    <definedName name="ANNOTHER">[1]TABLE5!$J$5:$J$12</definedName>
    <definedName name="ANNSE">[1]TABLE4AL!$B$6:$B$12</definedName>
    <definedName name="ANNUAL">#REF!</definedName>
    <definedName name="ANNUK">[1]TABLE1a!$E$8:$E$14</definedName>
    <definedName name="ANNUT">[1]TABLE1a!$M$8:$M$14</definedName>
    <definedName name="BARQTR">#REF!</definedName>
    <definedName name="BELGIUM">#REF!</definedName>
    <definedName name="BF_BOF_min">[2]Freuhan_2000!$C$2</definedName>
    <definedName name="btu.MJ">[3]Conversores!$F$2</definedName>
    <definedName name="BULL">#N/A</definedName>
    <definedName name="CAMARA">[1]TABLE1a!$P$4</definedName>
    <definedName name="CategoryTitle">#REF!</definedName>
    <definedName name="CLONE">[1]TABLE1a!$P$6</definedName>
    <definedName name="Companies">#REF!</definedName>
    <definedName name="Countries">#REF!</definedName>
    <definedName name="DEFLATOR">#REF!</definedName>
    <definedName name="dgdsfyh">#REF!</definedName>
    <definedName name="DK">#REF!</definedName>
    <definedName name="DNK_D">#REF!</definedName>
    <definedName name="DOVER">#N/A</definedName>
    <definedName name="EIRE">#REF!</definedName>
    <definedName name="ENGLISH">#N/A</definedName>
    <definedName name="fbegyear">#REF!</definedName>
    <definedName name="fendyear">[4]Year!$B$3</definedName>
    <definedName name="FL">#REF!</definedName>
    <definedName name="Footnotes">#REF!</definedName>
    <definedName name="FOREIGN">[1]TABLE1a!$P$38:$P$52</definedName>
    <definedName name="FRANCE">#REF!</definedName>
    <definedName name="fyear">[4]c11!$D$42</definedName>
    <definedName name="GERMANY">#REF!</definedName>
    <definedName name="GJ_kgCO2e.diesel">[5]Conversores!$W$5</definedName>
    <definedName name="GraphData">'[6]TIS-INDEX'!$B$13:$Q$44,'[6]TIS-INDEX'!$E$9:$R$9</definedName>
    <definedName name="GraphTitle">#REF!</definedName>
    <definedName name="Indicators">#REF!</definedName>
    <definedName name="ITALY">#REF!</definedName>
    <definedName name="kg_l.NatGas">[3]Conversores!$L$9</definedName>
    <definedName name="kg_MJ.Coal">[3]Conversores!$M$11</definedName>
    <definedName name="kg_MJ.Dsl">[7]Conversores!$M$5</definedName>
    <definedName name="kg_MJ.Gasoline">[7]Conversores!$M$4</definedName>
    <definedName name="kg_MJ.kero">[7]Conversores!$M$3</definedName>
    <definedName name="kg_MJ.NatGas">[7]Conversores!$M$9</definedName>
    <definedName name="kWh.MJ">[3]Conversores!$F$15</definedName>
    <definedName name="kWh_to_GJ">[2]Units!$B$3</definedName>
    <definedName name="l_MJ.Diesel">[8]Conversores!$N$5</definedName>
    <definedName name="l_MJ.NatGas">[3]Conversores!$N$9</definedName>
    <definedName name="l_MJ.Oil">[3]Conversores!$N$10</definedName>
    <definedName name="mcal_to_GJ">[2]Units!$B$4</definedName>
    <definedName name="NLS">#REF!</definedName>
    <definedName name="NONEC">#REF!</definedName>
    <definedName name="NORTHSEA">#N/A</definedName>
    <definedName name="OldData">#REF!</definedName>
    <definedName name="Ord_graph">INDIRECT(#REF!)</definedName>
    <definedName name="OTHER">#N/A</definedName>
    <definedName name="OTHEREC">#REF!</definedName>
    <definedName name="PIE">#REF!</definedName>
    <definedName name="_xlnm.Print_Area">#REF!</definedName>
    <definedName name="Print_Area_MI">[1]TABLE1a!$A$1:$O$37</definedName>
    <definedName name="PUBLISH_Print_Area">#REF!</definedName>
    <definedName name="PUBLISH1998_Print_Area">#REF!</definedName>
    <definedName name="qryNonEUBreakdown">#REF!</definedName>
    <definedName name="QUARTER">#REF!</definedName>
    <definedName name="Region">#REF!</definedName>
    <definedName name="Report_type">#REF!</definedName>
    <definedName name="SPAIN">#REF!</definedName>
    <definedName name="tab">[9]TABLE1a!$U$3:$U$3</definedName>
    <definedName name="TAB4ALL">#N/A</definedName>
    <definedName name="TAB4PV">#N/A</definedName>
    <definedName name="TAB4UT">#N/A</definedName>
    <definedName name="TableTitle">#REF!</definedName>
    <definedName name="testing">#REF!</definedName>
    <definedName name="Type">[10]MD!$D$2:$D$57</definedName>
    <definedName name="UK">#N/A</definedName>
    <definedName name="UT">#N/A</definedName>
    <definedName name="ValueTit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3" i="9" l="1"/>
  <c r="Q47" i="9"/>
  <c r="Q48" i="9"/>
  <c r="Q73" i="9"/>
  <c r="Q83" i="9"/>
  <c r="B3" i="9"/>
  <c r="C3" i="9"/>
  <c r="B4" i="9"/>
  <c r="C4" i="9"/>
  <c r="B5" i="9"/>
  <c r="C5" i="9"/>
  <c r="B6" i="9"/>
  <c r="C6" i="9"/>
  <c r="B7" i="9"/>
  <c r="C7" i="9"/>
  <c r="B8" i="9"/>
  <c r="C8" i="9"/>
  <c r="B9" i="9"/>
  <c r="C9" i="9"/>
  <c r="B10" i="9"/>
  <c r="C10" i="9"/>
  <c r="B11" i="9"/>
  <c r="C11" i="9"/>
  <c r="B12" i="9"/>
  <c r="C12" i="9"/>
  <c r="B13" i="9"/>
  <c r="C13" i="9"/>
  <c r="X13" i="9" s="1"/>
  <c r="B14" i="9"/>
  <c r="C14" i="9"/>
  <c r="B15" i="9"/>
  <c r="C15" i="9"/>
  <c r="B16" i="9"/>
  <c r="C16" i="9"/>
  <c r="B17" i="9"/>
  <c r="C17" i="9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X28" i="9" s="1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X35" i="9" s="1"/>
  <c r="B36" i="9"/>
  <c r="C36" i="9"/>
  <c r="B37" i="9"/>
  <c r="C37" i="9"/>
  <c r="B38" i="9"/>
  <c r="C38" i="9"/>
  <c r="B39" i="9"/>
  <c r="C39" i="9"/>
  <c r="B40" i="9"/>
  <c r="C40" i="9"/>
  <c r="B41" i="9"/>
  <c r="C41" i="9"/>
  <c r="X41" i="9" s="1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95" i="1"/>
  <c r="B96" i="1" s="1"/>
  <c r="B97" i="1" s="1"/>
  <c r="B98" i="1" s="1"/>
  <c r="Q62" i="9" s="1"/>
  <c r="B119" i="1"/>
  <c r="B114" i="1"/>
  <c r="Q78" i="9" s="1"/>
  <c r="B109" i="1"/>
  <c r="B104" i="1"/>
  <c r="Q68" i="9" s="1"/>
  <c r="B99" i="1"/>
  <c r="Q63" i="9" s="1"/>
  <c r="B94" i="1"/>
  <c r="Q58" i="9" s="1"/>
  <c r="B89" i="1"/>
  <c r="B90" i="1" s="1"/>
  <c r="B91" i="1" s="1"/>
  <c r="B92" i="1" s="1"/>
  <c r="B93" i="1" s="1"/>
  <c r="Q57" i="9" s="1"/>
  <c r="B84" i="1"/>
  <c r="B85" i="1" s="1"/>
  <c r="B86" i="1" s="1"/>
  <c r="B87" i="1" s="1"/>
  <c r="B88" i="1" s="1"/>
  <c r="Q52" i="9" s="1"/>
  <c r="B79" i="1"/>
  <c r="B80" i="1" s="1"/>
  <c r="B81" i="1" s="1"/>
  <c r="B82" i="1" s="1"/>
  <c r="B83" i="1" s="1"/>
  <c r="B74" i="1"/>
  <c r="B75" i="1" s="1"/>
  <c r="B76" i="1" s="1"/>
  <c r="B77" i="1" s="1"/>
  <c r="B78" i="1" s="1"/>
  <c r="Q42" i="9" s="1"/>
  <c r="B69" i="1"/>
  <c r="B64" i="1"/>
  <c r="B65" i="1" s="1"/>
  <c r="B66" i="1" s="1"/>
  <c r="B67" i="1" s="1"/>
  <c r="B68" i="1" s="1"/>
  <c r="Q32" i="9" s="1"/>
  <c r="B59" i="1"/>
  <c r="Q23" i="9" s="1"/>
  <c r="B54" i="1"/>
  <c r="B55" i="1" s="1"/>
  <c r="B56" i="1" s="1"/>
  <c r="B57" i="1" s="1"/>
  <c r="B58" i="1" s="1"/>
  <c r="Q22" i="9" s="1"/>
  <c r="B49" i="1"/>
  <c r="B50" i="1" s="1"/>
  <c r="B51" i="1" s="1"/>
  <c r="B52" i="1" s="1"/>
  <c r="B53" i="1" s="1"/>
  <c r="Q17" i="9" s="1"/>
  <c r="B110" i="1" l="1"/>
  <c r="Q31" i="9"/>
  <c r="Q46" i="9"/>
  <c r="T46" i="9" s="1"/>
  <c r="Q53" i="9"/>
  <c r="B115" i="1"/>
  <c r="B116" i="1" s="1"/>
  <c r="Q80" i="9" s="1"/>
  <c r="T80" i="9" s="1"/>
  <c r="Q51" i="9"/>
  <c r="Q30" i="9"/>
  <c r="Q50" i="9"/>
  <c r="T50" i="9" s="1"/>
  <c r="Q29" i="9"/>
  <c r="T29" i="9" s="1"/>
  <c r="B70" i="1"/>
  <c r="B71" i="1" s="1"/>
  <c r="B72" i="1" s="1"/>
  <c r="B73" i="1" s="1"/>
  <c r="Q37" i="9" s="1"/>
  <c r="T47" i="9"/>
  <c r="Q49" i="9"/>
  <c r="Q28" i="9"/>
  <c r="T28" i="9" s="1"/>
  <c r="T33" i="9"/>
  <c r="Q45" i="9"/>
  <c r="Q13" i="9"/>
  <c r="T13" i="9" s="1"/>
  <c r="Q44" i="9"/>
  <c r="T44" i="9" s="1"/>
  <c r="T62" i="9"/>
  <c r="T32" i="9"/>
  <c r="T22" i="9"/>
  <c r="Q43" i="9"/>
  <c r="T43" i="9" s="1"/>
  <c r="T57" i="9"/>
  <c r="T73" i="9"/>
  <c r="T31" i="9"/>
  <c r="Q61" i="9"/>
  <c r="Q41" i="9"/>
  <c r="T41" i="9" s="1"/>
  <c r="Q21" i="9"/>
  <c r="T21" i="9" s="1"/>
  <c r="T23" i="9"/>
  <c r="Q60" i="9"/>
  <c r="T60" i="9" s="1"/>
  <c r="Q40" i="9"/>
  <c r="T40" i="9" s="1"/>
  <c r="Q20" i="9"/>
  <c r="T20" i="9" s="1"/>
  <c r="T34" i="9"/>
  <c r="T63" i="9"/>
  <c r="T42" i="9"/>
  <c r="T30" i="9"/>
  <c r="Q59" i="9"/>
  <c r="Q39" i="9"/>
  <c r="T39" i="9" s="1"/>
  <c r="Q19" i="9"/>
  <c r="T19" i="9" s="1"/>
  <c r="T37" i="9"/>
  <c r="T61" i="9"/>
  <c r="Q38" i="9"/>
  <c r="T38" i="9" s="1"/>
  <c r="Q18" i="9"/>
  <c r="T54" i="9"/>
  <c r="T53" i="9"/>
  <c r="T49" i="9"/>
  <c r="Q56" i="9"/>
  <c r="T56" i="9" s="1"/>
  <c r="Q36" i="9"/>
  <c r="T36" i="9" s="1"/>
  <c r="Q16" i="9"/>
  <c r="T16" i="9" s="1"/>
  <c r="T17" i="9"/>
  <c r="T45" i="9"/>
  <c r="T52" i="9"/>
  <c r="T78" i="9"/>
  <c r="T58" i="9"/>
  <c r="T48" i="9"/>
  <c r="T18" i="9"/>
  <c r="Q55" i="9"/>
  <c r="T55" i="9" s="1"/>
  <c r="Q35" i="9"/>
  <c r="Q15" i="9"/>
  <c r="T15" i="9" s="1"/>
  <c r="T68" i="9"/>
  <c r="Q54" i="9"/>
  <c r="Q34" i="9"/>
  <c r="Q14" i="9"/>
  <c r="T14" i="9" s="1"/>
  <c r="T59" i="9"/>
  <c r="T83" i="9"/>
  <c r="T51" i="9"/>
  <c r="T35" i="9"/>
  <c r="B60" i="1"/>
  <c r="B100" i="1"/>
  <c r="B105" i="1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5" i="26"/>
  <c r="Q74" i="9" l="1"/>
  <c r="T74" i="9" s="1"/>
  <c r="B111" i="1"/>
  <c r="B117" i="1"/>
  <c r="Q81" i="9" s="1"/>
  <c r="T81" i="9" s="1"/>
  <c r="Q79" i="9"/>
  <c r="T79" i="9" s="1"/>
  <c r="B101" i="1"/>
  <c r="Q64" i="9"/>
  <c r="T64" i="9" s="1"/>
  <c r="B61" i="1"/>
  <c r="Q24" i="9"/>
  <c r="T24" i="9" s="1"/>
  <c r="B118" i="1"/>
  <c r="Q82" i="9" s="1"/>
  <c r="T82" i="9" s="1"/>
  <c r="B106" i="1"/>
  <c r="Q69" i="9"/>
  <c r="T69" i="9" s="1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D74" i="9" s="1"/>
  <c r="K75" i="9"/>
  <c r="K76" i="9"/>
  <c r="K77" i="9"/>
  <c r="K78" i="9"/>
  <c r="D78" i="9" s="1"/>
  <c r="K79" i="9"/>
  <c r="D79" i="9" s="1"/>
  <c r="K80" i="9"/>
  <c r="D80" i="9" s="1"/>
  <c r="K81" i="9"/>
  <c r="K82" i="9"/>
  <c r="K83" i="9"/>
  <c r="D83" i="9" s="1"/>
  <c r="K13" i="9"/>
  <c r="B112" i="1" l="1"/>
  <c r="Q75" i="9"/>
  <c r="T75" i="9" s="1"/>
  <c r="D82" i="9"/>
  <c r="B102" i="1"/>
  <c r="Q65" i="9"/>
  <c r="T65" i="9" s="1"/>
  <c r="B62" i="1"/>
  <c r="Q25" i="9"/>
  <c r="T25" i="9" s="1"/>
  <c r="B107" i="1"/>
  <c r="Q70" i="9"/>
  <c r="T70" i="9" s="1"/>
  <c r="D81" i="9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J124" i="26"/>
  <c r="J129" i="26"/>
  <c r="J133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5" i="26"/>
  <c r="J26" i="26"/>
  <c r="J27" i="26"/>
  <c r="J28" i="26"/>
  <c r="J29" i="26"/>
  <c r="J30" i="26"/>
  <c r="J31" i="26"/>
  <c r="J32" i="26"/>
  <c r="J33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5" i="26"/>
  <c r="B113" i="1" l="1"/>
  <c r="Q77" i="9" s="1"/>
  <c r="Q76" i="9"/>
  <c r="D75" i="9"/>
  <c r="B108" i="1"/>
  <c r="Q72" i="9" s="1"/>
  <c r="T72" i="9" s="1"/>
  <c r="Q71" i="9"/>
  <c r="T71" i="9" s="1"/>
  <c r="B63" i="1"/>
  <c r="Q27" i="9" s="1"/>
  <c r="T27" i="9" s="1"/>
  <c r="Q26" i="9"/>
  <c r="T26" i="9" s="1"/>
  <c r="B103" i="1"/>
  <c r="Q67" i="9" s="1"/>
  <c r="T67" i="9" s="1"/>
  <c r="Q66" i="9"/>
  <c r="T66" i="9" s="1"/>
  <c r="E7" i="25"/>
  <c r="E8" i="25"/>
  <c r="E9" i="25"/>
  <c r="E10" i="25"/>
  <c r="E6" i="25"/>
  <c r="V65" i="9" s="1"/>
  <c r="T76" i="9" l="1"/>
  <c r="D76" i="9"/>
  <c r="T77" i="9"/>
  <c r="D77" i="9"/>
  <c r="H2" i="10" a="1"/>
  <c r="D8" i="24"/>
  <c r="D6" i="23"/>
  <c r="C18" i="13"/>
  <c r="C10" i="13"/>
  <c r="V58" i="9" s="1"/>
  <c r="X58" i="9" s="1"/>
  <c r="AX2" i="10" l="1"/>
  <c r="AP2" i="10"/>
  <c r="BL2" i="10"/>
  <c r="AR2" i="10"/>
  <c r="BE2" i="10"/>
  <c r="BD2" i="10"/>
  <c r="AE2" i="10"/>
  <c r="AI2" i="10"/>
  <c r="AJ2" i="10"/>
  <c r="L2" i="10"/>
  <c r="AK2" i="10"/>
  <c r="AO2" i="10"/>
  <c r="AG2" i="10"/>
  <c r="N2" i="10"/>
  <c r="AZ2" i="10"/>
  <c r="AQ2" i="10"/>
  <c r="AD2" i="10"/>
  <c r="M2" i="10"/>
  <c r="BO2" i="10"/>
  <c r="AN2" i="10"/>
  <c r="AF2" i="10"/>
  <c r="BG2" i="10"/>
  <c r="Y2" i="10"/>
  <c r="AC2" i="10"/>
  <c r="AM2" i="10"/>
  <c r="BP2" i="10"/>
  <c r="AT2" i="10"/>
  <c r="X2" i="10"/>
  <c r="BA2" i="10"/>
  <c r="R2" i="10"/>
  <c r="BF2" i="10"/>
  <c r="AA2" i="10"/>
  <c r="AU2" i="10"/>
  <c r="AS2" i="10"/>
  <c r="W2" i="10"/>
  <c r="AB2" i="10"/>
  <c r="O2" i="10"/>
  <c r="J2" i="10"/>
  <c r="AL2" i="10"/>
  <c r="U2" i="10"/>
  <c r="AH2" i="10"/>
  <c r="AY2" i="10"/>
  <c r="BN2" i="10"/>
  <c r="BB2" i="10"/>
  <c r="BJ2" i="10"/>
  <c r="BI2" i="10"/>
  <c r="BM2" i="10"/>
  <c r="P2" i="10"/>
  <c r="S2" i="10"/>
  <c r="BC2" i="10"/>
  <c r="BH2" i="10"/>
  <c r="H2" i="10"/>
  <c r="Q2" i="10"/>
  <c r="AV2" i="10"/>
  <c r="BK2" i="10"/>
  <c r="AW2" i="10"/>
  <c r="I2" i="10"/>
  <c r="K2" i="10"/>
  <c r="Z2" i="10"/>
  <c r="V2" i="10"/>
  <c r="T2" i="10"/>
  <c r="AE68" i="9"/>
  <c r="N68" i="9"/>
  <c r="Z68" i="9"/>
  <c r="AB68" i="9" s="1"/>
  <c r="C7" i="19"/>
  <c r="D7" i="19" s="1"/>
  <c r="V51" i="9"/>
  <c r="X51" i="9" s="1"/>
  <c r="D11" i="23"/>
  <c r="D10" i="23"/>
  <c r="V3" i="9" s="1"/>
  <c r="N3" i="9"/>
  <c r="N16" i="9"/>
  <c r="N18" i="9"/>
  <c r="N23" i="9"/>
  <c r="N26" i="9"/>
  <c r="N45" i="9"/>
  <c r="N47" i="9"/>
  <c r="N15" i="9"/>
  <c r="C12" i="22"/>
  <c r="N33" i="9" s="1"/>
  <c r="AB76" i="9" l="1"/>
  <c r="AB74" i="9"/>
  <c r="AB79" i="9"/>
  <c r="AB78" i="9"/>
  <c r="AB77" i="9"/>
  <c r="AB73" i="9"/>
  <c r="AB80" i="9"/>
  <c r="AB75" i="9"/>
  <c r="AB83" i="9"/>
  <c r="AB81" i="9"/>
  <c r="AB69" i="9"/>
  <c r="AB82" i="9"/>
  <c r="AB70" i="9"/>
  <c r="AB72" i="9"/>
  <c r="AB71" i="9"/>
  <c r="V57" i="9"/>
  <c r="X57" i="9" s="1"/>
  <c r="Z44" i="9"/>
  <c r="AB44" i="9" s="1"/>
  <c r="Z52" i="9"/>
  <c r="AB52" i="9" s="1"/>
  <c r="C22" i="14"/>
  <c r="Z59" i="9" s="1"/>
  <c r="AB59" i="9" s="1"/>
  <c r="AB60" i="9" s="1"/>
  <c r="AB61" i="9" s="1"/>
  <c r="AB62" i="9" s="1"/>
  <c r="AB63" i="9" s="1"/>
  <c r="AB64" i="9" s="1"/>
  <c r="AB65" i="9" s="1"/>
  <c r="AB66" i="9" s="1"/>
  <c r="AB67" i="9" s="1"/>
  <c r="C21" i="14"/>
  <c r="Z58" i="9" s="1"/>
  <c r="AB58" i="9" s="1"/>
  <c r="C20" i="14"/>
  <c r="Z57" i="9" s="1"/>
  <c r="AB57" i="9" s="1"/>
  <c r="C19" i="14"/>
  <c r="Z56" i="9" s="1"/>
  <c r="AB56" i="9" s="1"/>
  <c r="C18" i="14"/>
  <c r="Z55" i="9" s="1"/>
  <c r="AB55" i="9" s="1"/>
  <c r="C17" i="14"/>
  <c r="Z54" i="9" s="1"/>
  <c r="AB54" i="9" s="1"/>
  <c r="C16" i="14"/>
  <c r="Z53" i="9" s="1"/>
  <c r="AB53" i="9" s="1"/>
  <c r="C15" i="14"/>
  <c r="C14" i="14"/>
  <c r="Z51" i="9" s="1"/>
  <c r="AB51" i="9" s="1"/>
  <c r="C13" i="14"/>
  <c r="Z50" i="9" s="1"/>
  <c r="AB50" i="9" s="1"/>
  <c r="C12" i="14"/>
  <c r="Z49" i="9" s="1"/>
  <c r="AB49" i="9" s="1"/>
  <c r="C11" i="14"/>
  <c r="Z48" i="9" s="1"/>
  <c r="AB48" i="9" s="1"/>
  <c r="C10" i="14"/>
  <c r="Z47" i="9" s="1"/>
  <c r="AB47" i="9" s="1"/>
  <c r="C9" i="14"/>
  <c r="Z46" i="9" s="1"/>
  <c r="AB46" i="9" s="1"/>
  <c r="C8" i="14"/>
  <c r="Z45" i="9" s="1"/>
  <c r="AB45" i="9" s="1"/>
  <c r="C7" i="14"/>
  <c r="C6" i="14"/>
  <c r="Z43" i="9" s="1"/>
  <c r="AB43" i="9" s="1"/>
  <c r="C5" i="14"/>
  <c r="Z42" i="9" s="1"/>
  <c r="AB42" i="9" s="1"/>
  <c r="R26" i="1"/>
  <c r="N83" i="9" s="1"/>
  <c r="AB16" i="9" l="1"/>
  <c r="AB35" i="9"/>
  <c r="AB18" i="9"/>
  <c r="AB28" i="9"/>
  <c r="AB22" i="9"/>
  <c r="AB21" i="9"/>
  <c r="AB34" i="9"/>
  <c r="AB17" i="9"/>
  <c r="AB13" i="9"/>
  <c r="AB15" i="9"/>
  <c r="AB19" i="9"/>
  <c r="AB20" i="9"/>
  <c r="AB41" i="9"/>
  <c r="AB31" i="9"/>
  <c r="AB39" i="9"/>
  <c r="AB36" i="9"/>
  <c r="AB40" i="9"/>
  <c r="AB23" i="9"/>
  <c r="AB14" i="9"/>
  <c r="AB37" i="9"/>
  <c r="AB33" i="9"/>
  <c r="AB32" i="9"/>
  <c r="AB30" i="9"/>
  <c r="AB29" i="9"/>
  <c r="AB38" i="9"/>
  <c r="AB24" i="9"/>
  <c r="AB25" i="9"/>
  <c r="AB27" i="9"/>
  <c r="AB26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13" i="9"/>
  <c r="H3" i="10" l="1" a="1"/>
  <c r="BC3" i="10" s="1"/>
  <c r="F2" i="7"/>
  <c r="P2" i="7"/>
  <c r="Z2" i="7"/>
  <c r="AJ2" i="7"/>
  <c r="AT2" i="7"/>
  <c r="BD2" i="7"/>
  <c r="BN2" i="7"/>
  <c r="F3" i="7"/>
  <c r="P3" i="7"/>
  <c r="Z3" i="7"/>
  <c r="AJ3" i="7"/>
  <c r="AT3" i="7"/>
  <c r="BD3" i="7"/>
  <c r="BN3" i="7"/>
  <c r="F4" i="7"/>
  <c r="P4" i="7"/>
  <c r="Z4" i="7"/>
  <c r="AJ4" i="7"/>
  <c r="AT4" i="7"/>
  <c r="BD4" i="7"/>
  <c r="BN4" i="7"/>
  <c r="AK3" i="10" l="1"/>
  <c r="L3" i="10"/>
  <c r="BG3" i="10"/>
  <c r="AS3" i="10"/>
  <c r="AV3" i="10"/>
  <c r="T3" i="10"/>
  <c r="K3" i="10"/>
  <c r="Z3" i="10"/>
  <c r="AD3" i="10"/>
  <c r="P3" i="10"/>
  <c r="AG3" i="10"/>
  <c r="AX3" i="10"/>
  <c r="AF3" i="10"/>
  <c r="BJ3" i="10"/>
  <c r="S3" i="10"/>
  <c r="AO3" i="10"/>
  <c r="BI3" i="10"/>
  <c r="AH3" i="10"/>
  <c r="BK3" i="10"/>
  <c r="AQ3" i="10"/>
  <c r="M3" i="10"/>
  <c r="BA3" i="10"/>
  <c r="AU3" i="10"/>
  <c r="X3" i="10"/>
  <c r="AB3" i="10"/>
  <c r="BP3" i="10"/>
  <c r="V3" i="10"/>
  <c r="AM3" i="10"/>
  <c r="AN3" i="10"/>
  <c r="AJ3" i="10"/>
  <c r="AW3" i="10"/>
  <c r="R3" i="10"/>
  <c r="AP3" i="10"/>
  <c r="AA3" i="10"/>
  <c r="Y3" i="10"/>
  <c r="AC3" i="10"/>
  <c r="AT3" i="10"/>
  <c r="H3" i="10"/>
  <c r="BD3" i="10"/>
  <c r="I3" i="10"/>
  <c r="AR3" i="10"/>
  <c r="BF3" i="10"/>
  <c r="BM3" i="10"/>
  <c r="AL3" i="10"/>
  <c r="AE3" i="10"/>
  <c r="O3" i="10"/>
  <c r="BL3" i="10"/>
  <c r="Q3" i="10"/>
  <c r="BH3" i="10"/>
  <c r="U3" i="10"/>
  <c r="J3" i="10"/>
  <c r="W3" i="10"/>
  <c r="BO3" i="10"/>
  <c r="BN3" i="10"/>
  <c r="AI3" i="10"/>
  <c r="AY3" i="10"/>
  <c r="AZ3" i="10"/>
  <c r="BE3" i="10"/>
  <c r="N3" i="10"/>
  <c r="BB3" i="10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5" i="16"/>
  <c r="N5" i="16" l="1"/>
  <c r="M5" i="16"/>
  <c r="N2" i="15"/>
  <c r="O2" i="15" s="1"/>
  <c r="Q6" i="16" l="1"/>
  <c r="Q26" i="16"/>
  <c r="Q46" i="16"/>
  <c r="Q5" i="16"/>
  <c r="Q47" i="16"/>
  <c r="Q52" i="16"/>
  <c r="Q34" i="16"/>
  <c r="Q56" i="16"/>
  <c r="Q58" i="16"/>
  <c r="Q60" i="16"/>
  <c r="Q41" i="16"/>
  <c r="Q43" i="16"/>
  <c r="Q7" i="16"/>
  <c r="Q27" i="16"/>
  <c r="Q48" i="16"/>
  <c r="Q12" i="16"/>
  <c r="Q33" i="16"/>
  <c r="Q36" i="16"/>
  <c r="Q19" i="16"/>
  <c r="Q22" i="16"/>
  <c r="Q8" i="16"/>
  <c r="Q28" i="16"/>
  <c r="Q29" i="16"/>
  <c r="Q49" i="16"/>
  <c r="Q10" i="16"/>
  <c r="Q50" i="16"/>
  <c r="Q31" i="16"/>
  <c r="Q13" i="16"/>
  <c r="Q53" i="16"/>
  <c r="Q15" i="16"/>
  <c r="Q55" i="16"/>
  <c r="Q37" i="16"/>
  <c r="Q39" i="16"/>
  <c r="Q61" i="16"/>
  <c r="Q42" i="16"/>
  <c r="Q65" i="16"/>
  <c r="Q9" i="16"/>
  <c r="Q11" i="16"/>
  <c r="Q32" i="16"/>
  <c r="Q54" i="16"/>
  <c r="Q35" i="16"/>
  <c r="Q38" i="16"/>
  <c r="Q40" i="16"/>
  <c r="Q62" i="16"/>
  <c r="Q64" i="16"/>
  <c r="Q30" i="16"/>
  <c r="Q14" i="16"/>
  <c r="Q57" i="16"/>
  <c r="Q20" i="16"/>
  <c r="Q23" i="16"/>
  <c r="Q51" i="16"/>
  <c r="Q16" i="16"/>
  <c r="Q59" i="16"/>
  <c r="Q21" i="16"/>
  <c r="Q45" i="16"/>
  <c r="Q17" i="16"/>
  <c r="Q63" i="16"/>
  <c r="Q25" i="16"/>
  <c r="Q18" i="16"/>
  <c r="Q44" i="16"/>
  <c r="Q24" i="16"/>
  <c r="BD7" i="7"/>
  <c r="AJ8" i="7"/>
  <c r="AJ6" i="7"/>
  <c r="P6" i="7"/>
  <c r="Z6" i="7"/>
  <c r="AT6" i="7"/>
  <c r="BD6" i="7"/>
  <c r="BN6" i="7"/>
  <c r="P7" i="7"/>
  <c r="Z7" i="7"/>
  <c r="AJ7" i="7"/>
  <c r="AT7" i="7"/>
  <c r="BN7" i="7"/>
  <c r="P8" i="7"/>
  <c r="Z8" i="7"/>
  <c r="AA8" i="7" s="1"/>
  <c r="AB8" i="7" s="1"/>
  <c r="AC8" i="7" s="1"/>
  <c r="AD8" i="7" s="1"/>
  <c r="AE8" i="7" s="1"/>
  <c r="AF8" i="7" s="1"/>
  <c r="AG8" i="7" s="1"/>
  <c r="AH8" i="7" s="1"/>
  <c r="AI8" i="7" s="1"/>
  <c r="AT8" i="7"/>
  <c r="BD8" i="7"/>
  <c r="BN8" i="7"/>
  <c r="F8" i="7"/>
  <c r="F7" i="7"/>
  <c r="F6" i="7"/>
  <c r="AA6" i="7" l="1"/>
  <c r="AB6" i="7" s="1"/>
  <c r="AC6" i="7" s="1"/>
  <c r="AD6" i="7" s="1"/>
  <c r="AE6" i="7" s="1"/>
  <c r="AF6" i="7" s="1"/>
  <c r="AG6" i="7" s="1"/>
  <c r="AH6" i="7" s="1"/>
  <c r="AI6" i="7" s="1"/>
  <c r="AU7" i="7"/>
  <c r="AV7" i="7" s="1"/>
  <c r="AW7" i="7" s="1"/>
  <c r="AX7" i="7" s="1"/>
  <c r="AY7" i="7" s="1"/>
  <c r="AZ7" i="7" s="1"/>
  <c r="BA7" i="7" s="1"/>
  <c r="BB7" i="7" s="1"/>
  <c r="BC7" i="7" s="1"/>
  <c r="BE8" i="7"/>
  <c r="BF8" i="7" s="1"/>
  <c r="BG8" i="7" s="1"/>
  <c r="BH8" i="7" s="1"/>
  <c r="BI8" i="7" s="1"/>
  <c r="BJ8" i="7" s="1"/>
  <c r="BK8" i="7" s="1"/>
  <c r="BL8" i="7" s="1"/>
  <c r="BM8" i="7" s="1"/>
  <c r="BE6" i="7"/>
  <c r="BF6" i="7" s="1"/>
  <c r="BG6" i="7" s="1"/>
  <c r="BH6" i="7" s="1"/>
  <c r="BI6" i="7" s="1"/>
  <c r="BJ6" i="7" s="1"/>
  <c r="BK6" i="7" s="1"/>
  <c r="BL6" i="7" s="1"/>
  <c r="BM6" i="7" s="1"/>
  <c r="Q6" i="7"/>
  <c r="R6" i="7" s="1"/>
  <c r="S6" i="7" s="1"/>
  <c r="T6" i="7" s="1"/>
  <c r="U6" i="7" s="1"/>
  <c r="V6" i="7" s="1"/>
  <c r="W6" i="7" s="1"/>
  <c r="X6" i="7" s="1"/>
  <c r="Y6" i="7" s="1"/>
  <c r="AU8" i="7"/>
  <c r="AV8" i="7" s="1"/>
  <c r="AW8" i="7" s="1"/>
  <c r="AX8" i="7" s="1"/>
  <c r="AY8" i="7" s="1"/>
  <c r="AZ8" i="7" s="1"/>
  <c r="BA8" i="7" s="1"/>
  <c r="BB8" i="7" s="1"/>
  <c r="BC8" i="7" s="1"/>
  <c r="Q7" i="7"/>
  <c r="R7" i="7" s="1"/>
  <c r="S7" i="7" s="1"/>
  <c r="T7" i="7" s="1"/>
  <c r="U7" i="7" s="1"/>
  <c r="V7" i="7" s="1"/>
  <c r="W7" i="7" s="1"/>
  <c r="X7" i="7" s="1"/>
  <c r="Y7" i="7" s="1"/>
  <c r="AK7" i="7"/>
  <c r="AL7" i="7" s="1"/>
  <c r="AM7" i="7" s="1"/>
  <c r="AN7" i="7" s="1"/>
  <c r="AO7" i="7" s="1"/>
  <c r="AP7" i="7" s="1"/>
  <c r="AQ7" i="7" s="1"/>
  <c r="AR7" i="7" s="1"/>
  <c r="AS7" i="7" s="1"/>
  <c r="AA7" i="7"/>
  <c r="AB7" i="7" s="1"/>
  <c r="AC7" i="7" s="1"/>
  <c r="AD7" i="7" s="1"/>
  <c r="AE7" i="7" s="1"/>
  <c r="AF7" i="7" s="1"/>
  <c r="AG7" i="7" s="1"/>
  <c r="AH7" i="7" s="1"/>
  <c r="AI7" i="7" s="1"/>
  <c r="G6" i="7"/>
  <c r="H6" i="7" s="1"/>
  <c r="I6" i="7" s="1"/>
  <c r="J6" i="7" s="1"/>
  <c r="K6" i="7" s="1"/>
  <c r="L6" i="7" s="1"/>
  <c r="M6" i="7" s="1"/>
  <c r="N6" i="7" s="1"/>
  <c r="O6" i="7" s="1"/>
  <c r="Q8" i="7"/>
  <c r="R8" i="7" s="1"/>
  <c r="S8" i="7" s="1"/>
  <c r="T8" i="7" s="1"/>
  <c r="U8" i="7" s="1"/>
  <c r="V8" i="7" s="1"/>
  <c r="W8" i="7" s="1"/>
  <c r="X8" i="7" s="1"/>
  <c r="Y8" i="7" s="1"/>
  <c r="AU6" i="7"/>
  <c r="AV6" i="7" s="1"/>
  <c r="AW6" i="7" s="1"/>
  <c r="AX6" i="7" s="1"/>
  <c r="AY6" i="7" s="1"/>
  <c r="AZ6" i="7" s="1"/>
  <c r="BA6" i="7" s="1"/>
  <c r="BB6" i="7" s="1"/>
  <c r="BC6" i="7" s="1"/>
  <c r="G7" i="7"/>
  <c r="H7" i="7" s="1"/>
  <c r="I7" i="7" s="1"/>
  <c r="J7" i="7" s="1"/>
  <c r="K7" i="7" s="1"/>
  <c r="L7" i="7" s="1"/>
  <c r="M7" i="7" s="1"/>
  <c r="N7" i="7" s="1"/>
  <c r="O7" i="7" s="1"/>
  <c r="G8" i="7"/>
  <c r="H8" i="7" s="1"/>
  <c r="I8" i="7" s="1"/>
  <c r="J8" i="7" s="1"/>
  <c r="K8" i="7" s="1"/>
  <c r="L8" i="7" s="1"/>
  <c r="M8" i="7" s="1"/>
  <c r="N8" i="7" s="1"/>
  <c r="O8" i="7" s="1"/>
  <c r="AK6" i="7"/>
  <c r="AL6" i="7" s="1"/>
  <c r="AM6" i="7" s="1"/>
  <c r="AN6" i="7" s="1"/>
  <c r="AO6" i="7" s="1"/>
  <c r="AP6" i="7" s="1"/>
  <c r="AQ6" i="7" s="1"/>
  <c r="AR6" i="7" s="1"/>
  <c r="AS6" i="7" s="1"/>
  <c r="AK8" i="7"/>
  <c r="AL8" i="7" s="1"/>
  <c r="AM8" i="7" s="1"/>
  <c r="AN8" i="7" s="1"/>
  <c r="AO8" i="7" s="1"/>
  <c r="AP8" i="7" s="1"/>
  <c r="AQ8" i="7" s="1"/>
  <c r="AR8" i="7" s="1"/>
  <c r="AS8" i="7" s="1"/>
  <c r="BE7" i="7"/>
  <c r="BF7" i="7" s="1"/>
  <c r="BG7" i="7" s="1"/>
  <c r="BH7" i="7" s="1"/>
  <c r="BI7" i="7" s="1"/>
  <c r="BJ7" i="7" s="1"/>
  <c r="BK7" i="7" s="1"/>
  <c r="BL7" i="7" s="1"/>
  <c r="BM7" i="7" s="1"/>
  <c r="K90" i="4"/>
  <c r="K89" i="4"/>
  <c r="K88" i="4"/>
  <c r="K87" i="4"/>
  <c r="K86" i="4"/>
  <c r="K85" i="4"/>
  <c r="K84" i="4"/>
  <c r="F80" i="4"/>
  <c r="C80" i="4"/>
  <c r="F79" i="4"/>
  <c r="C79" i="4"/>
  <c r="F78" i="4"/>
  <c r="C78" i="4"/>
  <c r="I79" i="4" s="1"/>
  <c r="F77" i="4"/>
  <c r="C77" i="4"/>
  <c r="F76" i="4"/>
  <c r="C76" i="4"/>
  <c r="I77" i="4" s="1"/>
  <c r="F75" i="4"/>
  <c r="C75" i="4"/>
  <c r="F74" i="4"/>
  <c r="C74" i="4"/>
  <c r="I75" i="4" s="1"/>
  <c r="F73" i="4"/>
  <c r="C73" i="4"/>
  <c r="F72" i="4"/>
  <c r="H72" i="4" s="1"/>
  <c r="C72" i="4"/>
  <c r="I73" i="4" s="1"/>
  <c r="F71" i="4"/>
  <c r="C71" i="4"/>
  <c r="F70" i="4"/>
  <c r="H70" i="4" s="1"/>
  <c r="C70" i="4"/>
  <c r="I70" i="4" s="1"/>
  <c r="F69" i="4"/>
  <c r="C69" i="4"/>
  <c r="F68" i="4"/>
  <c r="H68" i="4" s="1"/>
  <c r="C68" i="4"/>
  <c r="I68" i="4" s="1"/>
  <c r="F67" i="4"/>
  <c r="C67" i="4"/>
  <c r="I66" i="4"/>
  <c r="F66" i="4"/>
  <c r="H66" i="4" s="1"/>
  <c r="C66" i="4"/>
  <c r="F65" i="4"/>
  <c r="C65" i="4"/>
  <c r="F64" i="4"/>
  <c r="H64" i="4" s="1"/>
  <c r="C64" i="4"/>
  <c r="F63" i="4"/>
  <c r="C63" i="4"/>
  <c r="F62" i="4"/>
  <c r="H62" i="4" s="1"/>
  <c r="C62" i="4"/>
  <c r="F61" i="4"/>
  <c r="C61" i="4"/>
  <c r="F60" i="4"/>
  <c r="H61" i="4" s="1"/>
  <c r="C60" i="4"/>
  <c r="F59" i="4"/>
  <c r="C59" i="4"/>
  <c r="I59" i="4" s="1"/>
  <c r="F58" i="4"/>
  <c r="C58" i="4"/>
  <c r="F57" i="4"/>
  <c r="C57" i="4"/>
  <c r="I57" i="4" s="1"/>
  <c r="F56" i="4"/>
  <c r="C56" i="4"/>
  <c r="F55" i="4"/>
  <c r="C55" i="4"/>
  <c r="I55" i="4" s="1"/>
  <c r="I54" i="4"/>
  <c r="F54" i="4"/>
  <c r="C54" i="4"/>
  <c r="F53" i="4"/>
  <c r="H53" i="4" s="1"/>
  <c r="C53" i="4"/>
  <c r="I53" i="4" s="1"/>
  <c r="F52" i="4"/>
  <c r="C52" i="4"/>
  <c r="F51" i="4"/>
  <c r="C51" i="4"/>
  <c r="F50" i="4"/>
  <c r="C50" i="4"/>
  <c r="F49" i="4"/>
  <c r="C49" i="4"/>
  <c r="F48" i="4"/>
  <c r="C48" i="4"/>
  <c r="F47" i="4"/>
  <c r="C47" i="4"/>
  <c r="F46" i="4"/>
  <c r="C46" i="4"/>
  <c r="F45" i="4"/>
  <c r="C45" i="4"/>
  <c r="F44" i="4"/>
  <c r="C44" i="4"/>
  <c r="F43" i="4"/>
  <c r="C43" i="4"/>
  <c r="F42" i="4"/>
  <c r="C42" i="4"/>
  <c r="F41" i="4"/>
  <c r="C41" i="4"/>
  <c r="F40" i="4"/>
  <c r="C40" i="4"/>
  <c r="F39" i="4"/>
  <c r="C39" i="4"/>
  <c r="I40" i="4" s="1"/>
  <c r="F38" i="4"/>
  <c r="C38" i="4"/>
  <c r="F37" i="4"/>
  <c r="C37" i="4"/>
  <c r="I38" i="4" s="1"/>
  <c r="F36" i="4"/>
  <c r="C36" i="4"/>
  <c r="F35" i="4"/>
  <c r="C35" i="4"/>
  <c r="F34" i="4"/>
  <c r="C34" i="4"/>
  <c r="F33" i="4"/>
  <c r="C33" i="4"/>
  <c r="I34" i="4" s="1"/>
  <c r="F32" i="4"/>
  <c r="C32" i="4"/>
  <c r="F31" i="4"/>
  <c r="C31" i="4"/>
  <c r="I32" i="4" s="1"/>
  <c r="F30" i="4"/>
  <c r="C30" i="4"/>
  <c r="F29" i="4"/>
  <c r="H29" i="4" s="1"/>
  <c r="C29" i="4"/>
  <c r="I29" i="4" s="1"/>
  <c r="F28" i="4"/>
  <c r="C28" i="4"/>
  <c r="F27" i="4"/>
  <c r="H27" i="4" s="1"/>
  <c r="C27" i="4"/>
  <c r="I27" i="4" s="1"/>
  <c r="F26" i="4"/>
  <c r="C26" i="4"/>
  <c r="F25" i="4"/>
  <c r="H25" i="4" s="1"/>
  <c r="C25" i="4"/>
  <c r="I25" i="4" s="1"/>
  <c r="F24" i="4"/>
  <c r="C24" i="4"/>
  <c r="F23" i="4"/>
  <c r="H23" i="4" s="1"/>
  <c r="C23" i="4"/>
  <c r="I23" i="4" s="1"/>
  <c r="F22" i="4"/>
  <c r="C22" i="4"/>
  <c r="F21" i="4"/>
  <c r="C21" i="4"/>
  <c r="F20" i="4"/>
  <c r="C20" i="4"/>
  <c r="F19" i="4"/>
  <c r="C19" i="4"/>
  <c r="I19" i="4" s="1"/>
  <c r="F18" i="4"/>
  <c r="C18" i="4"/>
  <c r="F17" i="4"/>
  <c r="C17" i="4"/>
  <c r="F16" i="4"/>
  <c r="H16" i="4" s="1"/>
  <c r="C16" i="4"/>
  <c r="I16" i="4" s="1"/>
  <c r="F15" i="4"/>
  <c r="C15" i="4"/>
  <c r="F14" i="4"/>
  <c r="H14" i="4" s="1"/>
  <c r="C14" i="4"/>
  <c r="I14" i="4" s="1"/>
  <c r="F13" i="4"/>
  <c r="C13" i="4"/>
  <c r="I12" i="4"/>
  <c r="F12" i="4"/>
  <c r="H12" i="4" s="1"/>
  <c r="C12" i="4"/>
  <c r="F11" i="4"/>
  <c r="C11" i="4"/>
  <c r="F10" i="4"/>
  <c r="H10" i="4" s="1"/>
  <c r="C10" i="4"/>
  <c r="F9" i="4"/>
  <c r="C9" i="4"/>
  <c r="F8" i="4"/>
  <c r="H8" i="4" s="1"/>
  <c r="C8" i="4"/>
  <c r="F7" i="4"/>
  <c r="C7" i="4"/>
  <c r="F6" i="4"/>
  <c r="C6" i="4"/>
  <c r="F5" i="4"/>
  <c r="C5" i="4"/>
  <c r="F4" i="4"/>
  <c r="C4" i="4"/>
  <c r="H17" i="4" l="1"/>
  <c r="I15" i="4"/>
  <c r="I18" i="4"/>
  <c r="I46" i="4"/>
  <c r="H57" i="4"/>
  <c r="H65" i="4"/>
  <c r="I17" i="4"/>
  <c r="H18" i="4"/>
  <c r="H22" i="4"/>
  <c r="H26" i="4"/>
  <c r="H30" i="4"/>
  <c r="H46" i="4"/>
  <c r="H54" i="4"/>
  <c r="I58" i="4"/>
  <c r="I62" i="4"/>
  <c r="H69" i="4"/>
  <c r="H73" i="4"/>
  <c r="I13" i="4"/>
  <c r="I21" i="4"/>
  <c r="I28" i="4"/>
  <c r="I52" i="4"/>
  <c r="H55" i="4"/>
  <c r="H59" i="4"/>
  <c r="H63" i="4"/>
  <c r="I67" i="4"/>
  <c r="I71" i="4"/>
  <c r="I10" i="4"/>
  <c r="H21" i="4"/>
  <c r="H24" i="4"/>
  <c r="H28" i="4"/>
  <c r="H36" i="4"/>
  <c r="I56" i="4"/>
  <c r="I60" i="4"/>
  <c r="I64" i="4"/>
  <c r="H67" i="4"/>
  <c r="I47" i="4"/>
  <c r="H74" i="4"/>
  <c r="H11" i="4"/>
  <c r="I48" i="4"/>
  <c r="H39" i="4"/>
  <c r="H75" i="4"/>
  <c r="H56" i="4"/>
  <c r="H13" i="4"/>
  <c r="I63" i="4"/>
  <c r="H76" i="4"/>
  <c r="H40" i="4"/>
  <c r="I69" i="4"/>
  <c r="I41" i="4"/>
  <c r="H77" i="4"/>
  <c r="H48" i="4"/>
  <c r="I42" i="4"/>
  <c r="I50" i="4"/>
  <c r="H32" i="4"/>
  <c r="H42" i="4"/>
  <c r="H52" i="4"/>
  <c r="H78" i="4"/>
  <c r="I43" i="4"/>
  <c r="H58" i="4"/>
  <c r="H37" i="4"/>
  <c r="I30" i="4"/>
  <c r="I26" i="4"/>
  <c r="I7" i="4"/>
  <c r="H7" i="4"/>
  <c r="I20" i="4"/>
  <c r="M20" i="4" s="1"/>
  <c r="M85" i="4" s="1"/>
  <c r="H33" i="4"/>
  <c r="H79" i="4"/>
  <c r="I49" i="4"/>
  <c r="H50" i="4"/>
  <c r="H31" i="4"/>
  <c r="I6" i="4"/>
  <c r="I8" i="4"/>
  <c r="H15" i="4"/>
  <c r="L10" i="4" s="1"/>
  <c r="L84" i="4" s="1"/>
  <c r="I44" i="4"/>
  <c r="I65" i="4"/>
  <c r="I80" i="4"/>
  <c r="I24" i="4"/>
  <c r="H5" i="4"/>
  <c r="H20" i="4"/>
  <c r="H34" i="4"/>
  <c r="H44" i="4"/>
  <c r="H80" i="4"/>
  <c r="I61" i="4"/>
  <c r="H38" i="4"/>
  <c r="H19" i="4"/>
  <c r="H6" i="4"/>
  <c r="L92" i="4" s="1"/>
  <c r="I36" i="4"/>
  <c r="I45" i="4"/>
  <c r="H71" i="4"/>
  <c r="L70" i="4" s="1"/>
  <c r="L90" i="4" s="1"/>
  <c r="I5" i="4"/>
  <c r="H41" i="4"/>
  <c r="I9" i="4"/>
  <c r="H9" i="4"/>
  <c r="I22" i="4"/>
  <c r="H35" i="4"/>
  <c r="E13" i="9" a="1"/>
  <c r="L20" i="4"/>
  <c r="L85" i="4" s="1"/>
  <c r="H60" i="4"/>
  <c r="I33" i="4"/>
  <c r="I37" i="4"/>
  <c r="I72" i="4"/>
  <c r="I76" i="4"/>
  <c r="I11" i="4"/>
  <c r="M10" i="4" s="1"/>
  <c r="H43" i="4"/>
  <c r="H45" i="4"/>
  <c r="H47" i="4"/>
  <c r="H49" i="4"/>
  <c r="I31" i="4"/>
  <c r="I35" i="4"/>
  <c r="I39" i="4"/>
  <c r="I74" i="4"/>
  <c r="I78" i="4"/>
  <c r="H51" i="4"/>
  <c r="I51" i="4"/>
  <c r="M40" i="4" l="1"/>
  <c r="L30" i="4"/>
  <c r="L86" i="4" s="1"/>
  <c r="M70" i="4"/>
  <c r="M30" i="4"/>
  <c r="L40" i="4"/>
  <c r="L87" i="4" s="1"/>
  <c r="L60" i="4"/>
  <c r="L89" i="4" s="1"/>
  <c r="M87" i="4"/>
  <c r="M50" i="4"/>
  <c r="L50" i="4"/>
  <c r="L88" i="4" s="1"/>
  <c r="M60" i="4"/>
  <c r="E13" i="9"/>
  <c r="D13" i="9" s="1"/>
  <c r="E36" i="9"/>
  <c r="D36" i="9" s="1"/>
  <c r="E59" i="9"/>
  <c r="D59" i="9" s="1"/>
  <c r="E44" i="9"/>
  <c r="D44" i="9" s="1"/>
  <c r="E49" i="9"/>
  <c r="D49" i="9" s="1"/>
  <c r="E48" i="9"/>
  <c r="D48" i="9" s="1"/>
  <c r="E39" i="9"/>
  <c r="D39" i="9" s="1"/>
  <c r="E38" i="9"/>
  <c r="D38" i="9" s="1"/>
  <c r="E37" i="9"/>
  <c r="D37" i="9" s="1"/>
  <c r="E26" i="9"/>
  <c r="D26" i="9" s="1"/>
  <c r="E50" i="9"/>
  <c r="D50" i="9" s="1"/>
  <c r="E25" i="9"/>
  <c r="D25" i="9" s="1"/>
  <c r="E15" i="9"/>
  <c r="D15" i="9" s="1"/>
  <c r="E45" i="9"/>
  <c r="D45" i="9" s="1"/>
  <c r="E67" i="9"/>
  <c r="D67" i="9" s="1"/>
  <c r="E19" i="9"/>
  <c r="D19" i="9" s="1"/>
  <c r="E51" i="9"/>
  <c r="D51" i="9" s="1"/>
  <c r="E41" i="9"/>
  <c r="D41" i="9" s="1"/>
  <c r="E40" i="9"/>
  <c r="D40" i="9" s="1"/>
  <c r="E31" i="9"/>
  <c r="D31" i="9" s="1"/>
  <c r="E30" i="9"/>
  <c r="D30" i="9" s="1"/>
  <c r="E29" i="9"/>
  <c r="D29" i="9" s="1"/>
  <c r="E35" i="9"/>
  <c r="D35" i="9" s="1"/>
  <c r="E58" i="9"/>
  <c r="D58" i="9" s="1"/>
  <c r="E66" i="9"/>
  <c r="D66" i="9" s="1"/>
  <c r="E33" i="9"/>
  <c r="D33" i="9" s="1"/>
  <c r="E24" i="9"/>
  <c r="D24" i="9" s="1"/>
  <c r="E23" i="9"/>
  <c r="D23" i="9" s="1"/>
  <c r="E22" i="9"/>
  <c r="D22" i="9" s="1"/>
  <c r="E21" i="9"/>
  <c r="D21" i="9" s="1"/>
  <c r="E34" i="9"/>
  <c r="D34" i="9" s="1"/>
  <c r="E16" i="9"/>
  <c r="D16" i="9" s="1"/>
  <c r="E14" i="9"/>
  <c r="D14" i="9" s="1"/>
  <c r="E52" i="9"/>
  <c r="D52" i="9" s="1"/>
  <c r="E32" i="9"/>
  <c r="D32" i="9" s="1"/>
  <c r="E42" i="9"/>
  <c r="D42" i="9" s="1"/>
  <c r="E17" i="9"/>
  <c r="D17" i="9" s="1"/>
  <c r="E71" i="9"/>
  <c r="D71" i="9" s="1"/>
  <c r="E70" i="9"/>
  <c r="D70" i="9" s="1"/>
  <c r="E69" i="9"/>
  <c r="D69" i="9" s="1"/>
  <c r="E60" i="9"/>
  <c r="D60" i="9" s="1"/>
  <c r="E73" i="9"/>
  <c r="D73" i="9" s="1"/>
  <c r="E64" i="9"/>
  <c r="D64" i="9" s="1"/>
  <c r="E55" i="9"/>
  <c r="D55" i="9" s="1"/>
  <c r="E53" i="9"/>
  <c r="D53" i="9" s="1"/>
  <c r="E20" i="9"/>
  <c r="D20" i="9" s="1"/>
  <c r="E57" i="9"/>
  <c r="D57" i="9" s="1"/>
  <c r="E46" i="9"/>
  <c r="D46" i="9" s="1"/>
  <c r="E43" i="9"/>
  <c r="D43" i="9" s="1"/>
  <c r="E28" i="9"/>
  <c r="D28" i="9" s="1"/>
  <c r="E18" i="9"/>
  <c r="D18" i="9" s="1"/>
  <c r="E72" i="9"/>
  <c r="D72" i="9" s="1"/>
  <c r="E63" i="9"/>
  <c r="D63" i="9" s="1"/>
  <c r="E62" i="9"/>
  <c r="D62" i="9" s="1"/>
  <c r="E61" i="9"/>
  <c r="D61" i="9" s="1"/>
  <c r="E27" i="9"/>
  <c r="D27" i="9" s="1"/>
  <c r="E54" i="9"/>
  <c r="D54" i="9" s="1"/>
  <c r="E68" i="9"/>
  <c r="D68" i="9" s="1"/>
  <c r="E65" i="9"/>
  <c r="D65" i="9" s="1"/>
  <c r="E56" i="9"/>
  <c r="D56" i="9" s="1"/>
  <c r="E47" i="9"/>
  <c r="D47" i="9" s="1"/>
  <c r="M90" i="4"/>
  <c r="N70" i="4"/>
  <c r="N90" i="4" s="1"/>
  <c r="M88" i="4"/>
  <c r="N50" i="4"/>
  <c r="N88" i="4" s="1"/>
  <c r="N10" i="4"/>
  <c r="N84" i="4" s="1"/>
  <c r="M84" i="4"/>
  <c r="N30" i="4"/>
  <c r="N86" i="4" s="1"/>
  <c r="M86" i="4"/>
  <c r="N20" i="4"/>
  <c r="N85" i="4" s="1"/>
  <c r="M92" i="4"/>
  <c r="N92" i="4" s="1"/>
  <c r="N40" i="4" l="1"/>
  <c r="N87" i="4" s="1"/>
  <c r="M89" i="4"/>
  <c r="N60" i="4"/>
  <c r="N89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I1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Kermeli (2017) and Smith (2020) are both a closer fit for Dahmus's trend, therefore Dahmus (2014) is used for the moment.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K. Kermeli</author>
  </authors>
  <commentList>
    <comment ref="D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IPCC, 2008; IFA, 2009; IFA, 2014.
Numbers were taken from the graphs</t>
        </r>
      </text>
    </comment>
    <comment ref="E4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IFA, 2009
</t>
        </r>
      </text>
    </comment>
    <comment ref="H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based on the 2008 IFA Benchmarking study, the energy intensity range of the 10 best plants was 28-33 GJ/tonne NH3 (IFA, 2009). This column was only contructed to depict the range in the Figure on the right</t>
        </r>
      </text>
    </comment>
    <comment ref="C124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IPCC, 2008</t>
        </r>
      </text>
    </comment>
    <comment ref="G124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2004 IFA Benchmarking survey.</t>
        </r>
      </text>
    </comment>
    <comment ref="C12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IFA, 2009</t>
        </r>
      </text>
    </comment>
    <comment ref="G12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IFA, 2009</t>
        </r>
      </text>
    </comment>
    <comment ref="C133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IFA, 2014</t>
        </r>
      </text>
    </comment>
    <comment ref="D133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K. Kermeli:</t>
        </r>
        <r>
          <rPr>
            <sz val="9"/>
            <color indexed="81"/>
            <rFont val="Tahoma"/>
            <family val="2"/>
          </rPr>
          <t xml:space="preserve">
IFA, 2009. I have not used IFA, 2009 that indicates a lower SEC (around 25 GJ/t) because I have not seen such a low figure before. Better wait until they release the report.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C5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Thermal energy intensity</t>
        </r>
      </text>
    </comment>
    <comment ref="C9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Thermal energy intensity</t>
        </r>
      </text>
    </comment>
    <comment ref="C14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Thermal energy intensity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C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Thermal energy intensity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C6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Zeke Marshall
Thermal or Total?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7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BEL, NLD, LUX values taken from Benelux entry</t>
        </r>
      </text>
    </comment>
  </commentList>
</comments>
</file>

<file path=xl/sharedStrings.xml><?xml version="1.0" encoding="utf-8"?>
<sst xmlns="http://schemas.openxmlformats.org/spreadsheetml/2006/main" count="957" uniqueCount="246">
  <si>
    <t>https://pubs.rsc.org/en/content/articlepdf/2020/ee/c9ee02873k</t>
  </si>
  <si>
    <r>
      <t xml:space="preserve">Smith, C., Hill, A.K. and Torrente-Murciano, L., 2020. Current and future role of Haber–Bosch ammonia in a carbon-free energy landscape. </t>
    </r>
    <r>
      <rPr>
        <i/>
        <sz val="11"/>
        <color theme="1"/>
        <rFont val="Calibri"/>
        <family val="2"/>
        <scheme val="minor"/>
      </rPr>
      <t>Energy &amp; Environmental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(2), pp.331-344.</t>
    </r>
  </si>
  <si>
    <t>https://www.researchgate.net/publication/319137040_Energy_Efficiency_and_Cost_Saving_Opportunities_for_Ammonia_and_Nitrogenous_Fertilizer_Production_An_ENERGY_STARR_Guide_for_Energy_Plant_Managers</t>
  </si>
  <si>
    <t>Nitrogen Fertilizer</t>
  </si>
  <si>
    <t>Year</t>
  </si>
  <si>
    <r>
      <t>Worldwide - Total Nitrogen Production 
(million metric tons nitrogen)</t>
    </r>
    <r>
      <rPr>
        <b/>
        <vertAlign val="superscript"/>
        <sz val="8"/>
        <rFont val="Arial"/>
        <family val="2"/>
      </rPr>
      <t>1</t>
    </r>
  </si>
  <si>
    <t>Worldwide - Total Nitrogen Production 
(billion kilograms nitrogen)</t>
  </si>
  <si>
    <r>
      <t>Worldwide - Total energy consumed per tonne of NH</t>
    </r>
    <r>
      <rPr>
        <b/>
        <vertAlign val="subscript"/>
        <sz val="8"/>
        <rFont val="Arial"/>
        <family val="2"/>
      </rPr>
      <t>3</t>
    </r>
    <r>
      <rPr>
        <b/>
        <sz val="8"/>
        <rFont val="Arial"/>
        <family val="2"/>
      </rPr>
      <t xml:space="preserve"> produced 
(GJ per tonne NH</t>
    </r>
    <r>
      <rPr>
        <b/>
        <vertAlign val="subscript"/>
        <sz val="8"/>
        <rFont val="Arial"/>
        <family val="2"/>
      </rPr>
      <t>3</t>
    </r>
    <r>
      <rPr>
        <b/>
        <sz val="8"/>
        <rFont val="Arial"/>
        <family val="2"/>
      </rPr>
      <t>)</t>
    </r>
    <r>
      <rPr>
        <b/>
        <vertAlign val="superscript"/>
        <sz val="8"/>
        <rFont val="Arial"/>
        <family val="2"/>
      </rPr>
      <t>2</t>
    </r>
  </si>
  <si>
    <t>Worldwide Efficiency - Total kg of nitrogen produced per GJ of energy consumed 
(kg per GJ)</t>
  </si>
  <si>
    <t>Annual change in efficiency (Δe/e)</t>
  </si>
  <si>
    <t>Annual change in quantity (ΔQ/Q)</t>
  </si>
  <si>
    <t>Decade</t>
  </si>
  <si>
    <t>Average annual change in efficiency (Δe/e) by decade</t>
  </si>
  <si>
    <t>Average annual change in quantity (ΔQ/Q) by decade</t>
  </si>
  <si>
    <t>Average ΔQ/Q / Average Δe/e</t>
  </si>
  <si>
    <t>1930-1939</t>
  </si>
  <si>
    <t>1940-1949</t>
  </si>
  <si>
    <t>1950-1959</t>
  </si>
  <si>
    <t>1960-1969</t>
  </si>
  <si>
    <t>1970-1979</t>
  </si>
  <si>
    <t>1980-1989</t>
  </si>
  <si>
    <t>1990-1999</t>
  </si>
  <si>
    <t>Conversion factors</t>
  </si>
  <si>
    <t>Consolidated Results</t>
  </si>
  <si>
    <t>tonne</t>
  </si>
  <si>
    <t>kg</t>
  </si>
  <si>
    <r>
      <t>molecular mass NH</t>
    </r>
    <r>
      <rPr>
        <vertAlign val="subscript"/>
        <sz val="8"/>
        <color theme="1"/>
        <rFont val="Arial"/>
        <family val="2"/>
      </rPr>
      <t>3</t>
    </r>
  </si>
  <si>
    <t>molecular mass N</t>
  </si>
  <si>
    <t>1925-2000</t>
  </si>
  <si>
    <t>References:</t>
  </si>
  <si>
    <t>1.  Quantity and efficiency data</t>
  </si>
  <si>
    <r>
      <t xml:space="preserve">Smil, V., 2001.  </t>
    </r>
    <r>
      <rPr>
        <u/>
        <sz val="8"/>
        <rFont val="Arial"/>
        <family val="2"/>
      </rPr>
      <t>Enriching the Earth: Fritz Haber, Carl Bosch, and the Transformation of World Food Production</t>
    </r>
    <r>
      <rPr>
        <sz val="8"/>
        <rFont val="Arial"/>
        <family val="2"/>
      </rPr>
      <t>.  Cambridge, Massachusetts, USA: The MIT Press.</t>
    </r>
  </si>
  <si>
    <t>NH3</t>
  </si>
  <si>
    <t>Energy</t>
  </si>
  <si>
    <t>Non-Renewable Energy (NRE)</t>
  </si>
  <si>
    <t>Direct energy requirements (MJ/kg N)</t>
  </si>
  <si>
    <t>Direct NRE (MJ/kg N)</t>
  </si>
  <si>
    <t>China</t>
  </si>
  <si>
    <t>World excl. China</t>
  </si>
  <si>
    <t>World</t>
  </si>
  <si>
    <t>Fuel production energy requirements (MJ/kg N)</t>
  </si>
  <si>
    <t>Fuel production NRE (MJ/kg N)</t>
  </si>
  <si>
    <t>Buildings embodied energy (MJ/kg N)</t>
  </si>
  <si>
    <t>Buildings NRE (MJ/kg N)</t>
  </si>
  <si>
    <t>Total embodied energy(MJ/kg N)</t>
  </si>
  <si>
    <t>Total NRE (MJ/kg N)</t>
  </si>
  <si>
    <t>N FERTILIZERS PRODUCTION, EXCLUDING NH3</t>
  </si>
  <si>
    <t>Process direct energy requirements (MJ/kg N)</t>
  </si>
  <si>
    <t>Process NRE (MJ/kg N)</t>
  </si>
  <si>
    <t>AN</t>
  </si>
  <si>
    <t>DAP, MAP</t>
  </si>
  <si>
    <t>AS</t>
  </si>
  <si>
    <t>CAN</t>
  </si>
  <si>
    <t>NPK</t>
  </si>
  <si>
    <t>U</t>
  </si>
  <si>
    <t>N fertilizers average</t>
  </si>
  <si>
    <t>Process indirect energy requirments (MJ/kg N)</t>
  </si>
  <si>
    <t>Process indirect NRE (MJ/kg N)</t>
  </si>
  <si>
    <t>Buildings and packing energy (MJ/kg N)</t>
  </si>
  <si>
    <t>Buildings and packing NRE (MJ/kg N)</t>
  </si>
  <si>
    <t>Transport energy (MJ/kg N)</t>
  </si>
  <si>
    <t>Transport NRE (MJ/kg N)</t>
  </si>
  <si>
    <t>Total embodied energy, excluding NH3 production (MJ/kg N)</t>
  </si>
  <si>
    <t>Total production NRE, excluding NH3 production (MJ/kg N)</t>
  </si>
  <si>
    <t>N FERTILIZERS PRODUCTION, INCLUDING NH3</t>
  </si>
  <si>
    <t>Total embodied energy, China (MJ/kg N)</t>
  </si>
  <si>
    <t>Total NRE, China (MJ/kg N)</t>
  </si>
  <si>
    <t>Total embodied energy, World excluding China (MJ/kg N)</t>
  </si>
  <si>
    <t>Total NRE, World excluding China (MJ/kg N)</t>
  </si>
  <si>
    <t>Total embodied energy, World (MJ/kg N)</t>
  </si>
  <si>
    <t>Total NRE, World (MJ/kg N)</t>
  </si>
  <si>
    <t>Kermeli et al (2017) - Energy Efficiency and Cost Saving Opportunities for Ammonia and Nitrogenous Fertilizer Production An ENERGY STAR® Guide for Energy &amp; Plant Managers</t>
  </si>
  <si>
    <t>Country</t>
  </si>
  <si>
    <t>Machine</t>
  </si>
  <si>
    <t>Eu.product</t>
  </si>
  <si>
    <t>Metric</t>
  </si>
  <si>
    <t>https://www.researchgate.net/publication/279804486_IEA_Tracking_Industrial_Energy_Efficiency_and_CO2_Emissions</t>
  </si>
  <si>
    <t>Aguilera et al (2015)</t>
  </si>
  <si>
    <t>Source</t>
  </si>
  <si>
    <t>Energy Intensity</t>
  </si>
  <si>
    <t>Units</t>
  </si>
  <si>
    <t>GJ/ton</t>
  </si>
  <si>
    <t>World (excl. China)</t>
  </si>
  <si>
    <t>Status</t>
  </si>
  <si>
    <t>Raw</t>
  </si>
  <si>
    <t>Filled</t>
  </si>
  <si>
    <t>Schumacher &amp; Sathye (1999) - India's Fertiliser Industry: Productivity and Energy Efficiency</t>
  </si>
  <si>
    <t>Gcal</t>
  </si>
  <si>
    <t>GJ</t>
  </si>
  <si>
    <t>4.19 </t>
  </si>
  <si>
    <t>LHV</t>
  </si>
  <si>
    <t>Methne Process Minimum</t>
  </si>
  <si>
    <t>Electric Process Minimum</t>
  </si>
  <si>
    <t>Metrics</t>
  </si>
  <si>
    <t>Unit</t>
  </si>
  <si>
    <t>Value</t>
  </si>
  <si>
    <t>Chemical Exergy [kJ/kg]</t>
  </si>
  <si>
    <t>Chemical Exergy [GJ/ton]</t>
  </si>
  <si>
    <t>Chemical Exergy [kJ/ton]</t>
  </si>
  <si>
    <t>https://beeindia.gov.in/content/pat-downloads</t>
  </si>
  <si>
    <t>Indian Ministry of Power (2015) - Fertiliser Sector</t>
  </si>
  <si>
    <t>Energy Intensity [Gcal/MT]</t>
  </si>
  <si>
    <t>Energy Intensity [GJ/ton]</t>
  </si>
  <si>
    <t>Dahmus (2014)</t>
  </si>
  <si>
    <t>Source/Method</t>
  </si>
  <si>
    <t>M</t>
  </si>
  <si>
    <t>C</t>
  </si>
  <si>
    <t>Data for some years is below theoretical minimum of the process (see Smith et al (2020))</t>
  </si>
  <si>
    <t>https://www.osti.gov/biblio/773773</t>
  </si>
  <si>
    <t>Worrell (2000) - Energy Use and Energy Intensity of the U.S. Chemical Industry</t>
  </si>
  <si>
    <t>Ammonia synthesis machine</t>
  </si>
  <si>
    <t>Aguilera et al (2015) - Embodied Energy in Agricultural Inputs Incorporating a Historical Perspective</t>
  </si>
  <si>
    <t>https://ideas.repec.org/p/seh/wpaper/1507.html</t>
  </si>
  <si>
    <t>Saygin et al (2011) - Potential of best practice technology to improve energy efficiency in the globalchemical and petrochemical sector</t>
  </si>
  <si>
    <t>https://www.sciencedirect.com/science/article/pii/S0360544211003446?casa_token=kWMGil4J7UoAAAAA:aEcFJWf7NSa17-uvknymB30rjiXxHA3ZAKQnfhuL4uhANcx5e94VbB5xCRGrWaYaJHvH0r2y_g</t>
  </si>
  <si>
    <t>DOE (2000) - Energy and Environmental Profile of the U.S. Chemical Industry</t>
  </si>
  <si>
    <t>Goldemberg (1985) - Basic Needs and Much More with One Kilowatt per Capita</t>
  </si>
  <si>
    <t>https://www.jstor.org/stable/4313148?seq=1#metadata_info_tab_contents</t>
  </si>
  <si>
    <t>Ammonia</t>
  </si>
  <si>
    <t>1923-50</t>
  </si>
  <si>
    <t>USA</t>
  </si>
  <si>
    <t>Goldemberg et al (1985)</t>
  </si>
  <si>
    <t>Rafiqul et al (2005) - Energy efficiency improvements in ammonia production—perspectives and uncertainties</t>
  </si>
  <si>
    <t>https://www.sciencedirect.com/science/article/pii/S0360544204004943?casa_token=BiAfkmhLi_MAAAAA:hhEQ7yjYwaXAZgyC2EnueXCjB65B2so2unBEPkC6tCwuBEigKmyfNfY76PrPzCFa2q529wPItQ</t>
  </si>
  <si>
    <t>Ammonia synthesizers</t>
  </si>
  <si>
    <t>Methane Process BAT</t>
  </si>
  <si>
    <t>Smith et al (2020)</t>
  </si>
  <si>
    <t>https://www.osti.gov/biblio/764326</t>
  </si>
  <si>
    <t>Energy Intensity [Gcal/Mt]</t>
  </si>
  <si>
    <t>IND</t>
  </si>
  <si>
    <t>Schumacher &amp; Sathye (1999)</t>
  </si>
  <si>
    <t>Worrel et al (2000)</t>
  </si>
  <si>
    <t>Energy intensity [GJ/ton]</t>
  </si>
  <si>
    <t>Steam Cracking</t>
  </si>
  <si>
    <t>Methanol</t>
  </si>
  <si>
    <t>Chlorine</t>
  </si>
  <si>
    <t>Soda ash</t>
  </si>
  <si>
    <t>JPN</t>
  </si>
  <si>
    <t>-</t>
  </si>
  <si>
    <t>BEL</t>
  </si>
  <si>
    <t>NLD</t>
  </si>
  <si>
    <t>LUX</t>
  </si>
  <si>
    <t>DEU</t>
  </si>
  <si>
    <t>BRA</t>
  </si>
  <si>
    <t>CHN</t>
  </si>
  <si>
    <t>FRA</t>
  </si>
  <si>
    <t>ITA</t>
  </si>
  <si>
    <t>KOR</t>
  </si>
  <si>
    <t>SAU</t>
  </si>
  <si>
    <t>TWN</t>
  </si>
  <si>
    <t>Heath et al (1985) - The Potential for Energy Efficiency in the Fertiliser Industry</t>
  </si>
  <si>
    <t>http://documents1.worldbank.org/curated/en/930741468739305174/pdf/multi-page.pdf</t>
  </si>
  <si>
    <t>Constant &amp; Sheldrick (1992) - World Nitrogen Survey</t>
  </si>
  <si>
    <t>http://documents1.worldbank.org/curated/en/965921468766220943/pdf/multi-page.pdf</t>
  </si>
  <si>
    <t>Sheldrick (1987) - World Nitrogen Survey</t>
  </si>
  <si>
    <t>http://documents1.worldbank.org/curated/en/963761468739213764/pdf/multi-page.pdf</t>
  </si>
  <si>
    <t>Table IV/Table V</t>
  </si>
  <si>
    <t>Figure A</t>
  </si>
  <si>
    <t>Heath et al (1985)</t>
  </si>
  <si>
    <t>Energy Intensity [1000Btu/ton]</t>
  </si>
  <si>
    <t>Table 20</t>
  </si>
  <si>
    <t>Paragraph below Table 20</t>
  </si>
  <si>
    <t>Figure 30</t>
  </si>
  <si>
    <t>Energy Intensity [MMBtu/ton]</t>
  </si>
  <si>
    <t>Constant &amp; Sheldrick (1992)</t>
  </si>
  <si>
    <t>Energy Intensity [Btu/lb]</t>
  </si>
  <si>
    <t>Table 5-3</t>
  </si>
  <si>
    <t>WEU</t>
  </si>
  <si>
    <t>NAM</t>
  </si>
  <si>
    <t>CIS</t>
  </si>
  <si>
    <t>CEU</t>
  </si>
  <si>
    <t>OAS</t>
  </si>
  <si>
    <t>LAM</t>
  </si>
  <si>
    <t>AFR</t>
  </si>
  <si>
    <t>MEA</t>
  </si>
  <si>
    <t>OCN</t>
  </si>
  <si>
    <t>IEA (2007)</t>
  </si>
  <si>
    <t>IEA (2007) - IEA, Tracking Industrial Energy Efficiency and CO2 Emissions</t>
  </si>
  <si>
    <t>SAS</t>
  </si>
  <si>
    <t>EU</t>
  </si>
  <si>
    <t>Rafiqul et al (2005)</t>
  </si>
  <si>
    <t>Table 17</t>
  </si>
  <si>
    <t>DOE (2007) - U.S. Energy requirements for Aluminum production</t>
  </si>
  <si>
    <t>https://www1.eere.energy.gov/manufacturing/resources/aluminum/pdfs/al_theoretical.pdf</t>
  </si>
  <si>
    <t>Energy intensity [Btu/lb]</t>
  </si>
  <si>
    <t>Product</t>
  </si>
  <si>
    <t>Ethylene</t>
  </si>
  <si>
    <t>Propylene</t>
  </si>
  <si>
    <t>Benzene</t>
  </si>
  <si>
    <t>Distillate</t>
  </si>
  <si>
    <t>DOE (2007)</t>
  </si>
  <si>
    <t>AMMONIA - ALL DATA IN GJ/tonne NH3 LHV</t>
  </si>
  <si>
    <t>Plant SEC</t>
  </si>
  <si>
    <t>Average SEC IFA Members</t>
  </si>
  <si>
    <t>Plant design efficiency</t>
  </si>
  <si>
    <t>BAT 2008</t>
  </si>
  <si>
    <t>Thermodynamic limit</t>
  </si>
  <si>
    <t>Best performance</t>
  </si>
  <si>
    <t>10 best plants</t>
  </si>
  <si>
    <t>28.0-29.3</t>
  </si>
  <si>
    <t>28.0-33.0</t>
  </si>
  <si>
    <t>Sources:</t>
  </si>
  <si>
    <t>IFA, 2009. ENERGY EFFICIENCY AND CO2 EMISSIONS IN AMMONIA PRODUCTION.</t>
  </si>
  <si>
    <t xml:space="preserve">IFA, 2014. Ammonia production: moving towards maximum efficiency and lower GHG emissions. http://www.fertilizer.org/imis20/images/Library_Downloads/2014_ifa_ff_ammonia_emissions_july.pdf?WebsiteKey=411e9724-4bda-422f-abfc-8152ed74f306&amp;=404%3bhttp%3a%2f%2fwww.fertilizer.org%3a80%2fen%2fimages%2fLibrary_Downloads%2f2014_ifa_ff_ammonia_emissions_july.pdf </t>
  </si>
  <si>
    <t>IPCC, 2008. IPCC Fourth Assessment Report, Working Group III: Chapter 7. http://www.eoearth.org/view/article/153713/</t>
  </si>
  <si>
    <t>Plant SEC &amp; Average IFA</t>
  </si>
  <si>
    <t>Trend (Scatter)</t>
  </si>
  <si>
    <t>Trend (Final, 1910)</t>
  </si>
  <si>
    <t>Kermeli et al (2017), exponential fit, forcing through 29.6 in 2020</t>
  </si>
  <si>
    <t>Kermeli et al (2017), exponential fit, forcing through 36 in 2012 (IFA data)</t>
  </si>
  <si>
    <t>Energy Efficiency [%]</t>
  </si>
  <si>
    <t>Trend (Final, 1950)</t>
  </si>
  <si>
    <t>Quantity</t>
  </si>
  <si>
    <t>Energy.type</t>
  </si>
  <si>
    <t>Last.stage</t>
  </si>
  <si>
    <t>Method</t>
  </si>
  <si>
    <t>E</t>
  </si>
  <si>
    <t>Final</t>
  </si>
  <si>
    <t>PCM</t>
  </si>
  <si>
    <t>eta.fu</t>
  </si>
  <si>
    <t>Data from line of best fit from Figure 3</t>
  </si>
  <si>
    <t>Interpolated data</t>
  </si>
  <si>
    <t>Linear interpolation</t>
  </si>
  <si>
    <t>Theoretical Minimum (Methane) [GJ/ton]</t>
  </si>
  <si>
    <t>Theoretical Minimum (Electric) [GJ/ton]</t>
  </si>
  <si>
    <t>OTA (1983) - Industrial Energy Use (9-12) - Chemicals</t>
  </si>
  <si>
    <t>https://ota.fas.org/reports/8312.pdf</t>
  </si>
  <si>
    <t xml:space="preserve">  title={Current and future role of Haber--Bosch ammonia in a carbon-free energy landscape},</t>
  </si>
  <si>
    <t xml:space="preserve">  author={Smith, Collin and Hill, Alfred K and Torrente-Murciano, Laura},</t>
  </si>
  <si>
    <t xml:space="preserve">  journal={Energy \&amp; Environmental Science},</t>
  </si>
  <si>
    <t xml:space="preserve">  volume={13},</t>
  </si>
  <si>
    <t xml:space="preserve">  number={2},</t>
  </si>
  <si>
    <t xml:space="preserve">  pages={331--344},</t>
  </si>
  <si>
    <t xml:space="preserve">  year={2020},</t>
  </si>
  <si>
    <t xml:space="preserve">  publisher={Royal Society of Chemistry},</t>
  </si>
  <si>
    <t xml:space="preserve">  DOI={https://doi.org/10.1039/C9EE02873K}</t>
  </si>
  <si>
    <t>}</t>
  </si>
  <si>
    <t>http://dx.doi.org/10.1080/07352680490886905</t>
  </si>
  <si>
    <t>Patzek (2004) - Thermodynamics of the Corn-Ethanol Biofuel Cycle</t>
  </si>
  <si>
    <t>HTH.400.C</t>
  </si>
  <si>
    <t xml:space="preserve">see Table 12 of </t>
  </si>
  <si>
    <t>http://www.iea.org/publications/freepublications/publication/chemical_petrochemical_sector.pdf</t>
  </si>
  <si>
    <t>China - 49.6GJ/tes in 2006</t>
  </si>
  <si>
    <t>Indexed to World</t>
  </si>
  <si>
    <t>WRLD</t>
  </si>
  <si>
    <t>@article{smith2020,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</si>
</sst>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%"/>
    <numFmt numFmtId="167" formatCode="0.0"/>
  </numFmts>
  <fonts count="3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vertAlign val="superscript"/>
      <sz val="8"/>
      <name val="Arial"/>
      <family val="2"/>
    </font>
    <font>
      <b/>
      <vertAlign val="subscript"/>
      <sz val="8"/>
      <name val="Arial"/>
      <family val="2"/>
    </font>
    <font>
      <sz val="7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8"/>
      <color indexed="10"/>
      <name val="Arial"/>
      <family val="2"/>
    </font>
    <font>
      <b/>
      <sz val="8"/>
      <color theme="1"/>
      <name val="Arial"/>
      <family val="2"/>
    </font>
    <font>
      <vertAlign val="subscript"/>
      <sz val="8"/>
      <color theme="1"/>
      <name val="Arial"/>
      <family val="2"/>
    </font>
    <font>
      <u/>
      <sz val="8"/>
      <name val="Arial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rgb="FF000000"/>
      <name val="Arial Unicode MS"/>
      <family val="2"/>
    </font>
    <font>
      <u/>
      <sz val="8.1999999999999993"/>
      <color indexed="12"/>
      <name val="Times New Roman"/>
      <family val="1"/>
    </font>
    <font>
      <u/>
      <sz val="12"/>
      <color indexed="12"/>
      <name val="Times New Roman"/>
      <family val="1"/>
    </font>
    <font>
      <sz val="11"/>
      <color theme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16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9" fillId="0" borderId="0"/>
    <xf numFmtId="0" fontId="27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" fillId="0" borderId="0"/>
    <xf numFmtId="0" fontId="5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2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1"/>
    <xf numFmtId="0" fontId="6" fillId="0" borderId="0" xfId="3" applyFont="1"/>
    <xf numFmtId="0" fontId="5" fillId="0" borderId="0" xfId="3"/>
    <xf numFmtId="0" fontId="5" fillId="0" borderId="0" xfId="3" applyFill="1"/>
    <xf numFmtId="0" fontId="7" fillId="0" borderId="0" xfId="3" applyFont="1" applyBorder="1" applyAlignment="1">
      <alignment horizontal="center" vertical="center"/>
    </xf>
    <xf numFmtId="0" fontId="7" fillId="0" borderId="0" xfId="3" applyFont="1" applyBorder="1" applyAlignment="1">
      <alignment horizontal="center" vertical="center" wrapText="1"/>
    </xf>
    <xf numFmtId="0" fontId="7" fillId="0" borderId="0" xfId="3" applyFont="1" applyFill="1" applyBorder="1" applyAlignment="1">
      <alignment horizontal="center" vertical="center" wrapText="1"/>
    </xf>
    <xf numFmtId="0" fontId="7" fillId="0" borderId="0" xfId="4" applyNumberFormat="1" applyFont="1" applyFill="1" applyBorder="1" applyAlignment="1">
      <alignment horizontal="center" vertical="center" wrapText="1"/>
    </xf>
    <xf numFmtId="0" fontId="7" fillId="0" borderId="0" xfId="3" applyFont="1" applyFill="1" applyBorder="1" applyAlignment="1">
      <alignment wrapText="1"/>
    </xf>
    <xf numFmtId="0" fontId="10" fillId="0" borderId="0" xfId="3" applyFont="1"/>
    <xf numFmtId="0" fontId="11" fillId="0" borderId="0" xfId="3" applyFont="1"/>
    <xf numFmtId="165" fontId="11" fillId="0" borderId="0" xfId="3" applyNumberFormat="1" applyFont="1"/>
    <xf numFmtId="2" fontId="12" fillId="0" borderId="0" xfId="3" applyNumberFormat="1" applyFont="1" applyFill="1"/>
    <xf numFmtId="166" fontId="11" fillId="0" borderId="0" xfId="5" applyNumberFormat="1" applyFont="1"/>
    <xf numFmtId="0" fontId="13" fillId="0" borderId="0" xfId="3" applyFont="1" applyFill="1" applyBorder="1"/>
    <xf numFmtId="2" fontId="11" fillId="0" borderId="0" xfId="3" applyNumberFormat="1" applyFont="1" applyFill="1" applyBorder="1"/>
    <xf numFmtId="166" fontId="11" fillId="0" borderId="0" xfId="5" applyNumberFormat="1" applyFont="1" applyFill="1" applyBorder="1" applyAlignment="1">
      <alignment horizontal="right"/>
    </xf>
    <xf numFmtId="167" fontId="11" fillId="0" borderId="0" xfId="5" applyNumberFormat="1" applyFont="1" applyFill="1" applyBorder="1" applyAlignment="1">
      <alignment horizontal="center"/>
    </xf>
    <xf numFmtId="2" fontId="11" fillId="0" borderId="0" xfId="3" applyNumberFormat="1" applyFont="1"/>
    <xf numFmtId="0" fontId="11" fillId="0" borderId="0" xfId="3" applyFont="1" applyFill="1"/>
    <xf numFmtId="0" fontId="14" fillId="0" borderId="0" xfId="3" applyFont="1"/>
    <xf numFmtId="2" fontId="11" fillId="0" borderId="0" xfId="3" applyNumberFormat="1" applyFont="1" applyFill="1"/>
    <xf numFmtId="0" fontId="12" fillId="0" borderId="0" xfId="3" applyFont="1" applyAlignment="1">
      <alignment horizontal="left"/>
    </xf>
    <xf numFmtId="0" fontId="12" fillId="0" borderId="0" xfId="3" applyFont="1" applyAlignment="1">
      <alignment horizontal="center"/>
    </xf>
    <xf numFmtId="0" fontId="12" fillId="0" borderId="0" xfId="3" applyFont="1" applyFill="1" applyBorder="1" applyAlignment="1">
      <alignment horizontal="center"/>
    </xf>
    <xf numFmtId="166" fontId="11" fillId="0" borderId="0" xfId="5" applyNumberFormat="1" applyFont="1" applyFill="1" applyBorder="1"/>
    <xf numFmtId="2" fontId="11" fillId="0" borderId="0" xfId="3" applyNumberFormat="1" applyFont="1" applyFill="1" applyBorder="1" applyAlignment="1">
      <alignment horizontal="center"/>
    </xf>
    <xf numFmtId="0" fontId="11" fillId="0" borderId="0" xfId="3" applyFont="1" applyAlignment="1">
      <alignment horizontal="center"/>
    </xf>
    <xf numFmtId="0" fontId="12" fillId="0" borderId="0" xfId="3" applyFont="1" applyFill="1" applyBorder="1" applyAlignment="1">
      <alignment horizontal="left"/>
    </xf>
    <xf numFmtId="0" fontId="7" fillId="0" borderId="0" xfId="3" applyFont="1"/>
    <xf numFmtId="166" fontId="14" fillId="0" borderId="0" xfId="5" applyNumberFormat="1" applyFont="1"/>
    <xf numFmtId="167" fontId="7" fillId="0" borderId="0" xfId="5" applyNumberFormat="1" applyFont="1" applyFill="1" applyBorder="1" applyAlignment="1">
      <alignment horizontal="center"/>
    </xf>
    <xf numFmtId="2" fontId="17" fillId="0" borderId="0" xfId="0" applyNumberFormat="1" applyFont="1" applyFill="1"/>
    <xf numFmtId="9" fontId="17" fillId="0" borderId="0" xfId="2" applyFont="1" applyFill="1"/>
    <xf numFmtId="0" fontId="17" fillId="0" borderId="0" xfId="0" applyFont="1"/>
    <xf numFmtId="0" fontId="18" fillId="2" borderId="1" xfId="0" applyFont="1" applyFill="1" applyBorder="1"/>
    <xf numFmtId="0" fontId="18" fillId="2" borderId="0" xfId="0" applyFont="1" applyFill="1" applyBorder="1"/>
    <xf numFmtId="166" fontId="18" fillId="2" borderId="0" xfId="2" applyNumberFormat="1" applyFont="1" applyFill="1" applyBorder="1"/>
    <xf numFmtId="0" fontId="18" fillId="2" borderId="0" xfId="0" applyFont="1" applyFill="1"/>
    <xf numFmtId="0" fontId="17" fillId="0" borderId="1" xfId="0" applyFont="1" applyFill="1" applyBorder="1"/>
    <xf numFmtId="0" fontId="18" fillId="0" borderId="0" xfId="0" applyFont="1" applyFill="1" applyBorder="1"/>
    <xf numFmtId="166" fontId="17" fillId="0" borderId="0" xfId="2" applyNumberFormat="1" applyFont="1" applyFill="1" applyBorder="1"/>
    <xf numFmtId="166" fontId="17" fillId="0" borderId="0" xfId="2" applyNumberFormat="1" applyFont="1" applyBorder="1"/>
    <xf numFmtId="0" fontId="18" fillId="0" borderId="0" xfId="0" applyFont="1"/>
    <xf numFmtId="0" fontId="17" fillId="0" borderId="0" xfId="0" applyFont="1" applyFill="1" applyBorder="1"/>
    <xf numFmtId="166" fontId="18" fillId="0" borderId="0" xfId="2" applyNumberFormat="1" applyFont="1" applyFill="1" applyBorder="1"/>
    <xf numFmtId="3" fontId="18" fillId="2" borderId="0" xfId="0" applyNumberFormat="1" applyFont="1" applyFill="1" applyBorder="1"/>
    <xf numFmtId="3" fontId="18" fillId="2" borderId="0" xfId="2" applyNumberFormat="1" applyFont="1" applyFill="1" applyBorder="1"/>
    <xf numFmtId="3" fontId="18" fillId="0" borderId="0" xfId="0" applyNumberFormat="1" applyFont="1"/>
    <xf numFmtId="0" fontId="17" fillId="2" borderId="0" xfId="0" applyFont="1" applyFill="1" applyBorder="1"/>
    <xf numFmtId="167" fontId="17" fillId="2" borderId="0" xfId="2" applyNumberFormat="1" applyFont="1" applyFill="1" applyBorder="1"/>
    <xf numFmtId="167" fontId="17" fillId="2" borderId="0" xfId="0" applyNumberFormat="1" applyFont="1" applyFill="1" applyBorder="1"/>
    <xf numFmtId="167" fontId="17" fillId="0" borderId="0" xfId="0" applyNumberFormat="1" applyFont="1" applyFill="1" applyBorder="1"/>
    <xf numFmtId="167" fontId="18" fillId="0" borderId="0" xfId="0" applyNumberFormat="1" applyFont="1" applyFill="1" applyBorder="1"/>
    <xf numFmtId="1" fontId="17" fillId="2" borderId="0" xfId="2" applyNumberFormat="1" applyFont="1" applyFill="1" applyBorder="1"/>
    <xf numFmtId="3" fontId="17" fillId="0" borderId="0" xfId="0" applyNumberFormat="1" applyFont="1"/>
    <xf numFmtId="2" fontId="18" fillId="2" borderId="0" xfId="0" applyNumberFormat="1" applyFont="1" applyFill="1"/>
    <xf numFmtId="9" fontId="18" fillId="2" borderId="0" xfId="2" applyFont="1" applyFill="1"/>
    <xf numFmtId="3" fontId="18" fillId="2" borderId="0" xfId="0" applyNumberFormat="1" applyFont="1" applyFill="1"/>
    <xf numFmtId="2" fontId="18" fillId="0" borderId="0" xfId="0" applyNumberFormat="1" applyFont="1" applyFill="1"/>
    <xf numFmtId="2" fontId="17" fillId="2" borderId="0" xfId="0" applyNumberFormat="1" applyFont="1" applyFill="1"/>
    <xf numFmtId="0" fontId="17" fillId="2" borderId="0" xfId="0" applyFont="1" applyFill="1"/>
    <xf numFmtId="167" fontId="17" fillId="2" borderId="0" xfId="0" applyNumberFormat="1" applyFont="1" applyFill="1"/>
    <xf numFmtId="0" fontId="17" fillId="0" borderId="0" xfId="0" applyFont="1" applyFill="1"/>
    <xf numFmtId="167" fontId="18" fillId="0" borderId="0" xfId="0" applyNumberFormat="1" applyFont="1" applyFill="1"/>
    <xf numFmtId="0" fontId="18" fillId="0" borderId="0" xfId="0" applyFont="1" applyFill="1"/>
    <xf numFmtId="3" fontId="17" fillId="2" borderId="0" xfId="0" applyNumberFormat="1" applyFont="1" applyFill="1"/>
    <xf numFmtId="0" fontId="20" fillId="0" borderId="2" xfId="6" applyFont="1" applyBorder="1"/>
    <xf numFmtId="0" fontId="21" fillId="0" borderId="2" xfId="0" applyFont="1" applyBorder="1"/>
    <xf numFmtId="0" fontId="0" fillId="0" borderId="2" xfId="0" applyBorder="1"/>
    <xf numFmtId="0" fontId="21" fillId="0" borderId="2" xfId="0" applyFont="1" applyBorder="1" applyAlignment="1">
      <alignment horizontal="center"/>
    </xf>
    <xf numFmtId="0" fontId="22" fillId="0" borderId="0" xfId="0" applyFont="1"/>
    <xf numFmtId="0" fontId="0" fillId="0" borderId="0" xfId="0" applyAlignment="1"/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/>
    <xf numFmtId="2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/>
    </xf>
    <xf numFmtId="0" fontId="21" fillId="3" borderId="0" xfId="0" applyFont="1" applyFill="1" applyAlignment="1">
      <alignment horizontal="left"/>
    </xf>
    <xf numFmtId="2" fontId="2" fillId="0" borderId="0" xfId="1" applyNumberFormat="1" applyFill="1"/>
    <xf numFmtId="0" fontId="20" fillId="0" borderId="2" xfId="6" applyFont="1" applyBorder="1" applyAlignment="1">
      <alignment horizontal="center"/>
    </xf>
    <xf numFmtId="0" fontId="21" fillId="4" borderId="0" xfId="0" applyFont="1" applyFill="1" applyAlignment="1">
      <alignment horizontal="left"/>
    </xf>
    <xf numFmtId="0" fontId="21" fillId="5" borderId="0" xfId="0" applyFont="1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4" borderId="0" xfId="0" applyFill="1"/>
    <xf numFmtId="0" fontId="21" fillId="3" borderId="0" xfId="0" applyFont="1" applyFill="1"/>
    <xf numFmtId="0" fontId="22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Font="1" applyBorder="1"/>
    <xf numFmtId="2" fontId="0" fillId="0" borderId="0" xfId="0" applyNumberFormat="1" applyFont="1" applyBorder="1" applyAlignment="1">
      <alignment horizontal="center"/>
    </xf>
    <xf numFmtId="0" fontId="21" fillId="6" borderId="0" xfId="0" applyFont="1" applyFill="1" applyAlignment="1">
      <alignment horizontal="left"/>
    </xf>
    <xf numFmtId="0" fontId="0" fillId="6" borderId="0" xfId="0" applyFill="1"/>
    <xf numFmtId="2" fontId="22" fillId="0" borderId="0" xfId="0" applyNumberFormat="1" applyFont="1" applyAlignment="1">
      <alignment horizontal="center"/>
    </xf>
    <xf numFmtId="0" fontId="6" fillId="0" borderId="0" xfId="7" applyFont="1"/>
    <xf numFmtId="0" fontId="27" fillId="0" borderId="0" xfId="7"/>
    <xf numFmtId="0" fontId="5" fillId="0" borderId="0" xfId="7" applyFont="1"/>
    <xf numFmtId="0" fontId="6" fillId="0" borderId="0" xfId="7" applyFont="1" applyAlignment="1">
      <alignment horizontal="center"/>
    </xf>
    <xf numFmtId="0" fontId="27" fillId="0" borderId="0" xfId="7" applyAlignment="1">
      <alignment horizontal="center"/>
    </xf>
    <xf numFmtId="0" fontId="5" fillId="0" borderId="0" xfId="7" applyFont="1" applyAlignment="1">
      <alignment horizontal="center"/>
    </xf>
    <xf numFmtId="0" fontId="26" fillId="0" borderId="0" xfId="7" applyFont="1" applyAlignment="1">
      <alignment horizontal="center"/>
    </xf>
    <xf numFmtId="2" fontId="27" fillId="0" borderId="0" xfId="7" applyNumberFormat="1" applyAlignment="1">
      <alignment horizontal="center"/>
    </xf>
    <xf numFmtId="0" fontId="0" fillId="0" borderId="0" xfId="0" applyAlignment="1">
      <alignment horizontal="center" wrapText="1"/>
    </xf>
    <xf numFmtId="10" fontId="0" fillId="0" borderId="0" xfId="0" applyNumberFormat="1" applyAlignment="1">
      <alignment horizontal="center"/>
    </xf>
    <xf numFmtId="0" fontId="29" fillId="0" borderId="0" xfId="0" applyFont="1" applyAlignment="1">
      <alignment horizontal="center" vertical="center"/>
    </xf>
    <xf numFmtId="0" fontId="0" fillId="7" borderId="0" xfId="0" applyFill="1"/>
    <xf numFmtId="0" fontId="22" fillId="0" borderId="0" xfId="0" applyFont="1" applyAlignment="1">
      <alignment horizontal="left"/>
    </xf>
    <xf numFmtId="0" fontId="31" fillId="0" borderId="0" xfId="12" applyFont="1" applyAlignment="1" applyProtection="1"/>
    <xf numFmtId="0" fontId="5" fillId="0" borderId="0" xfId="0" applyFont="1"/>
    <xf numFmtId="10" fontId="0" fillId="0" borderId="0" xfId="0" applyNumberFormat="1"/>
    <xf numFmtId="10" fontId="0" fillId="4" borderId="0" xfId="0" applyNumberFormat="1" applyFill="1"/>
    <xf numFmtId="10" fontId="21" fillId="0" borderId="0" xfId="0" applyNumberFormat="1" applyFont="1" applyBorder="1" applyAlignment="1">
      <alignment horizontal="center"/>
    </xf>
    <xf numFmtId="0" fontId="21" fillId="0" borderId="2" xfId="0" applyNumberFormat="1" applyFont="1" applyBorder="1" applyAlignment="1">
      <alignment horizontal="center"/>
    </xf>
    <xf numFmtId="0" fontId="21" fillId="0" borderId="2" xfId="0" applyNumberFormat="1" applyFont="1" applyBorder="1"/>
    <xf numFmtId="10" fontId="22" fillId="0" borderId="0" xfId="0" applyNumberFormat="1" applyFont="1" applyAlignment="1">
      <alignment horizontal="center"/>
    </xf>
    <xf numFmtId="0" fontId="32" fillId="7" borderId="0" xfId="0" applyFont="1" applyFill="1"/>
    <xf numFmtId="0" fontId="6" fillId="0" borderId="0" xfId="7" applyFont="1" applyAlignment="1">
      <alignment horizontal="left" vertical="top" wrapText="1"/>
    </xf>
    <xf numFmtId="0" fontId="32" fillId="7" borderId="0" xfId="0" quotePrefix="1" applyFont="1" applyFill="1"/>
  </cellXfs>
  <cellStyles count="16">
    <cellStyle name="Comma 2" xfId="4" xr:uid="{00000000-0005-0000-0000-000000000000}"/>
    <cellStyle name="Comma 3" xfId="15" xr:uid="{00000000-0005-0000-0000-000001000000}"/>
    <cellStyle name="Hyperlink" xfId="1" builtinId="8"/>
    <cellStyle name="Hyperlink 2" xfId="8" xr:uid="{00000000-0005-0000-0000-000003000000}"/>
    <cellStyle name="Hyperlink 2 2" xfId="12" xr:uid="{00000000-0005-0000-0000-000004000000}"/>
    <cellStyle name="Hyperlink 3 2" xfId="14" xr:uid="{00000000-0005-0000-0000-000005000000}"/>
    <cellStyle name="Normal" xfId="0" builtinId="0"/>
    <cellStyle name="Normal 11" xfId="11" xr:uid="{00000000-0005-0000-0000-000007000000}"/>
    <cellStyle name="Normal 11 2" xfId="13" xr:uid="{00000000-0005-0000-0000-000008000000}"/>
    <cellStyle name="Normal 2" xfId="3" xr:uid="{00000000-0005-0000-0000-000009000000}"/>
    <cellStyle name="Normal 2 2" xfId="9" xr:uid="{00000000-0005-0000-0000-00000A000000}"/>
    <cellStyle name="Normal 2 2 3" xfId="6" xr:uid="{00000000-0005-0000-0000-00000B000000}"/>
    <cellStyle name="Normal 3" xfId="7" xr:uid="{00000000-0005-0000-0000-00000C000000}"/>
    <cellStyle name="Normal 7" xfId="10" xr:uid="{00000000-0005-0000-0000-00000D000000}"/>
    <cellStyle name="Percent" xfId="2" builtinId="5"/>
    <cellStyle name="Percent 2" xfId="5" xr:uid="{00000000-0005-0000-0000-00000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externalLink" Target="externalLinks/externalLink9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Calcs!$F$13</c:f>
              <c:strCache>
                <c:ptCount val="1"/>
                <c:pt idx="0">
                  <c:v>Aguilera et al (2015)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Calcs!$A$13:$A$83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Calcs!$E$13:$E$73</c:f>
              <c:numCache>
                <c:formatCode>0.00</c:formatCode>
                <c:ptCount val="61"/>
                <c:pt idx="0">
                  <c:v>73.869000909658936</c:v>
                </c:pt>
                <c:pt idx="1">
                  <c:v>72.775085266825911</c:v>
                </c:pt>
                <c:pt idx="2">
                  <c:v>71.681169623992886</c:v>
                </c:pt>
                <c:pt idx="3">
                  <c:v>70.587253981159861</c:v>
                </c:pt>
                <c:pt idx="4">
                  <c:v>69.493338338326836</c:v>
                </c:pt>
                <c:pt idx="5">
                  <c:v>68.399422695493811</c:v>
                </c:pt>
                <c:pt idx="6">
                  <c:v>67.305507052660786</c:v>
                </c:pt>
                <c:pt idx="7">
                  <c:v>66.211591409827761</c:v>
                </c:pt>
                <c:pt idx="8">
                  <c:v>65.117675766994736</c:v>
                </c:pt>
                <c:pt idx="9">
                  <c:v>64.023760124161711</c:v>
                </c:pt>
                <c:pt idx="10">
                  <c:v>62.929844481328693</c:v>
                </c:pt>
                <c:pt idx="11">
                  <c:v>62.314759904927612</c:v>
                </c:pt>
                <c:pt idx="12">
                  <c:v>61.699675328526531</c:v>
                </c:pt>
                <c:pt idx="13">
                  <c:v>61.08459075212545</c:v>
                </c:pt>
                <c:pt idx="14">
                  <c:v>60.469506175724369</c:v>
                </c:pt>
                <c:pt idx="15">
                  <c:v>59.854421599323288</c:v>
                </c:pt>
                <c:pt idx="16">
                  <c:v>59.239337022922207</c:v>
                </c:pt>
                <c:pt idx="17">
                  <c:v>58.624252446521126</c:v>
                </c:pt>
                <c:pt idx="18">
                  <c:v>58.009167870120045</c:v>
                </c:pt>
                <c:pt idx="19">
                  <c:v>57.394083293718964</c:v>
                </c:pt>
                <c:pt idx="20">
                  <c:v>56.77899871731789</c:v>
                </c:pt>
                <c:pt idx="21">
                  <c:v>56.42164904412715</c:v>
                </c:pt>
                <c:pt idx="22">
                  <c:v>56.064299370936411</c:v>
                </c:pt>
                <c:pt idx="23">
                  <c:v>55.706949697745671</c:v>
                </c:pt>
                <c:pt idx="24">
                  <c:v>55.349600024554931</c:v>
                </c:pt>
                <c:pt idx="25">
                  <c:v>54.992250351364191</c:v>
                </c:pt>
                <c:pt idx="26">
                  <c:v>54.634900678173452</c:v>
                </c:pt>
                <c:pt idx="27">
                  <c:v>54.277551004982712</c:v>
                </c:pt>
                <c:pt idx="28">
                  <c:v>53.920201331791972</c:v>
                </c:pt>
                <c:pt idx="29">
                  <c:v>53.562851658601232</c:v>
                </c:pt>
                <c:pt idx="30">
                  <c:v>53.205501985410493</c:v>
                </c:pt>
                <c:pt idx="31">
                  <c:v>52.812283800946972</c:v>
                </c:pt>
                <c:pt idx="32">
                  <c:v>52.419065616483451</c:v>
                </c:pt>
                <c:pt idx="33">
                  <c:v>52.02584743201993</c:v>
                </c:pt>
                <c:pt idx="34">
                  <c:v>51.632629247556409</c:v>
                </c:pt>
                <c:pt idx="35">
                  <c:v>51.239411063092888</c:v>
                </c:pt>
                <c:pt idx="36">
                  <c:v>50.846192878629367</c:v>
                </c:pt>
                <c:pt idx="37">
                  <c:v>50.452974694165846</c:v>
                </c:pt>
                <c:pt idx="38">
                  <c:v>50.059756509702325</c:v>
                </c:pt>
                <c:pt idx="39">
                  <c:v>49.666538325238804</c:v>
                </c:pt>
                <c:pt idx="40">
                  <c:v>49.273320140775255</c:v>
                </c:pt>
                <c:pt idx="41">
                  <c:v>49.224732796347439</c:v>
                </c:pt>
                <c:pt idx="42">
                  <c:v>49.176145451919623</c:v>
                </c:pt>
                <c:pt idx="43">
                  <c:v>49.127558107491808</c:v>
                </c:pt>
                <c:pt idx="44">
                  <c:v>49.078970763063992</c:v>
                </c:pt>
                <c:pt idx="45">
                  <c:v>49.030383418636177</c:v>
                </c:pt>
                <c:pt idx="46">
                  <c:v>48.981796074208361</c:v>
                </c:pt>
                <c:pt idx="47">
                  <c:v>48.933208729780546</c:v>
                </c:pt>
                <c:pt idx="48">
                  <c:v>48.88462138535273</c:v>
                </c:pt>
                <c:pt idx="49">
                  <c:v>48.836034040924915</c:v>
                </c:pt>
                <c:pt idx="50">
                  <c:v>48.787446696497078</c:v>
                </c:pt>
                <c:pt idx="51">
                  <c:v>48.561355121414451</c:v>
                </c:pt>
                <c:pt idx="52">
                  <c:v>48.335263546331824</c:v>
                </c:pt>
                <c:pt idx="53">
                  <c:v>48.109171971249197</c:v>
                </c:pt>
                <c:pt idx="54">
                  <c:v>47.883080396166569</c:v>
                </c:pt>
                <c:pt idx="55">
                  <c:v>47.656988821083942</c:v>
                </c:pt>
                <c:pt idx="56">
                  <c:v>47.430897246001315</c:v>
                </c:pt>
                <c:pt idx="57">
                  <c:v>47.204805670918688</c:v>
                </c:pt>
                <c:pt idx="58">
                  <c:v>46.978714095836061</c:v>
                </c:pt>
                <c:pt idx="59">
                  <c:v>46.752622520753434</c:v>
                </c:pt>
                <c:pt idx="60">
                  <c:v>46.526530945670785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27-43E8-A2AB-84E2A7FC6E56}"/>
            </c:ext>
          </c:extLst>
        </c:ser>
        <c:ser>
          <c:idx val="4"/>
          <c:order val="1"/>
          <c:tx>
            <c:v>Dahmus (2014)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Calcs!$H$13:$H$63</c:f>
              <c:numCache>
                <c:formatCode>0.00</c:formatCode>
                <c:ptCount val="51"/>
                <c:pt idx="0">
                  <c:v>85</c:v>
                </c:pt>
                <c:pt idx="1">
                  <c:v>77.912596619645541</c:v>
                </c:pt>
                <c:pt idx="2">
                  <c:v>71.416149553124725</c:v>
                </c:pt>
                <c:pt idx="3">
                  <c:v>65.461384144245713</c:v>
                </c:pt>
                <c:pt idx="4">
                  <c:v>60.003134317579722</c:v>
                </c:pt>
                <c:pt idx="5">
                  <c:v>55</c:v>
                </c:pt>
                <c:pt idx="6">
                  <c:v>53.280111838330534</c:v>
                </c:pt>
                <c:pt idx="7">
                  <c:v>51.614005772818359</c:v>
                </c:pt>
                <c:pt idx="8">
                  <c:v>50</c:v>
                </c:pt>
                <c:pt idx="9">
                  <c:v>48.700187321264835</c:v>
                </c:pt>
                <c:pt idx="10">
                  <c:v>47.434164902525687</c:v>
                </c:pt>
                <c:pt idx="11">
                  <c:v>46.201054323615345</c:v>
                </c:pt>
                <c:pt idx="12">
                  <c:v>45</c:v>
                </c:pt>
                <c:pt idx="13">
                  <c:v>43.694259453659107</c:v>
                </c:pt>
                <c:pt idx="14">
                  <c:v>42.426406871192853</c:v>
                </c:pt>
                <c:pt idx="15">
                  <c:v>41.195342878142363</c:v>
                </c:pt>
                <c:pt idx="16">
                  <c:v>40</c:v>
                </c:pt>
                <c:pt idx="17">
                  <c:v>39.707966720839416</c:v>
                </c:pt>
                <c:pt idx="18">
                  <c:v>39.418065527582257</c:v>
                </c:pt>
                <c:pt idx="19">
                  <c:v>39.130280854227593</c:v>
                </c:pt>
                <c:pt idx="20">
                  <c:v>38.84459724841922</c:v>
                </c:pt>
                <c:pt idx="21">
                  <c:v>38.560999370616017</c:v>
                </c:pt>
                <c:pt idx="22">
                  <c:v>38.27947199326826</c:v>
                </c:pt>
                <c:pt idx="23">
                  <c:v>38</c:v>
                </c:pt>
                <c:pt idx="24">
                  <c:v>36.957911973303752</c:v>
                </c:pt>
                <c:pt idx="25">
                  <c:v>35.944401511222857</c:v>
                </c:pt>
                <c:pt idx="26">
                  <c:v>34.958684920654228</c:v>
                </c:pt>
                <c:pt idx="27">
                  <c:v>34</c:v>
                </c:pt>
                <c:pt idx="28">
                  <c:v>32.610668093248584</c:v>
                </c:pt>
                <c:pt idx="29">
                  <c:v>31.278108043765332</c:v>
                </c:pt>
                <c:pt idx="30">
                  <c:v>30</c:v>
                </c:pt>
                <c:pt idx="31">
                  <c:v>29.49576240750525</c:v>
                </c:pt>
                <c:pt idx="32">
                  <c:v>29</c:v>
                </c:pt>
                <c:pt idx="33">
                  <c:v>28.887148119212668</c:v>
                </c:pt>
                <c:pt idx="34">
                  <c:v>28.774735395218347</c:v>
                </c:pt>
                <c:pt idx="35">
                  <c:v>28.662760119062892</c:v>
                </c:pt>
                <c:pt idx="36">
                  <c:v>28.551220588442465</c:v>
                </c:pt>
                <c:pt idx="37">
                  <c:v>28.440115107677649</c:v>
                </c:pt>
                <c:pt idx="38">
                  <c:v>28.329441987687662</c:v>
                </c:pt>
                <c:pt idx="39">
                  <c:v>28.219199545964692</c:v>
                </c:pt>
                <c:pt idx="40">
                  <c:v>28.109386106548307</c:v>
                </c:pt>
                <c:pt idx="41">
                  <c:v>28</c:v>
                </c:pt>
                <c:pt idx="42">
                  <c:v>27.797080059272396</c:v>
                </c:pt>
                <c:pt idx="43">
                  <c:v>27.595630707914253</c:v>
                </c:pt>
                <c:pt idx="44">
                  <c:v>27.395641288357439</c:v>
                </c:pt>
                <c:pt idx="45">
                  <c:v>27.197101220270717</c:v>
                </c:pt>
                <c:pt idx="46">
                  <c:v>27</c:v>
                </c:pt>
                <c:pt idx="47">
                  <c:v>26.746450795807576</c:v>
                </c:pt>
                <c:pt idx="48">
                  <c:v>26.495282598983543</c:v>
                </c:pt>
                <c:pt idx="49">
                  <c:v>26.246473050175183</c:v>
                </c:pt>
                <c:pt idx="5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27-43E8-A2AB-84E2A7FC6E56}"/>
            </c:ext>
          </c:extLst>
        </c:ser>
        <c:ser>
          <c:idx val="5"/>
          <c:order val="2"/>
          <c:tx>
            <c:v>Kermeli et al (2017)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Calcs!$K$13:$K$83</c:f>
              <c:numCache>
                <c:formatCode>0.00</c:formatCode>
                <c:ptCount val="71"/>
                <c:pt idx="0">
                  <c:v>67.724683768156794</c:v>
                </c:pt>
                <c:pt idx="1">
                  <c:v>67.036749472430571</c:v>
                </c:pt>
                <c:pt idx="2">
                  <c:v>66.355803080802559</c:v>
                </c:pt>
                <c:pt idx="3">
                  <c:v>65.681773611488111</c:v>
                </c:pt>
                <c:pt idx="4">
                  <c:v>65.014590803722641</c:v>
                </c:pt>
                <c:pt idx="5">
                  <c:v>64.354185110436845</c:v>
                </c:pt>
                <c:pt idx="6">
                  <c:v>63.700487691006465</c:v>
                </c:pt>
                <c:pt idx="7">
                  <c:v>63.053430404077744</c:v>
                </c:pt>
                <c:pt idx="8">
                  <c:v>62.412945800463682</c:v>
                </c:pt>
                <c:pt idx="9">
                  <c:v>61.778967116112426</c:v>
                </c:pt>
                <c:pt idx="10">
                  <c:v>61.151428265149441</c:v>
                </c:pt>
                <c:pt idx="11">
                  <c:v>60.530263832986861</c:v>
                </c:pt>
                <c:pt idx="12">
                  <c:v>59.915409069506275</c:v>
                </c:pt>
                <c:pt idx="13">
                  <c:v>59.306799882308489</c:v>
                </c:pt>
                <c:pt idx="14">
                  <c:v>58.704372830031957</c:v>
                </c:pt>
                <c:pt idx="15">
                  <c:v>58.108065115740857</c:v>
                </c:pt>
                <c:pt idx="16">
                  <c:v>57.517814580378577</c:v>
                </c:pt>
                <c:pt idx="17">
                  <c:v>56.933559696287588</c:v>
                </c:pt>
                <c:pt idx="18">
                  <c:v>56.355239560797273</c:v>
                </c:pt>
                <c:pt idx="19">
                  <c:v>55.782793889873858</c:v>
                </c:pt>
                <c:pt idx="20">
                  <c:v>55.216163011837722</c:v>
                </c:pt>
                <c:pt idx="21">
                  <c:v>54.655287861142675</c:v>
                </c:pt>
                <c:pt idx="22">
                  <c:v>54.100109972218412</c:v>
                </c:pt>
                <c:pt idx="23">
                  <c:v>53.550571473377389</c:v>
                </c:pt>
                <c:pt idx="24">
                  <c:v>53.006615080780762</c:v>
                </c:pt>
                <c:pt idx="25">
                  <c:v>52.468184092468448</c:v>
                </c:pt>
                <c:pt idx="26">
                  <c:v>51.935222382447968</c:v>
                </c:pt>
                <c:pt idx="27">
                  <c:v>51.407674394843305</c:v>
                </c:pt>
                <c:pt idx="28">
                  <c:v>50.885485138104876</c:v>
                </c:pt>
                <c:pt idx="29">
                  <c:v>50.368600179276676</c:v>
                </c:pt>
                <c:pt idx="30">
                  <c:v>49.85696563832164</c:v>
                </c:pt>
                <c:pt idx="31">
                  <c:v>49.350528182506459</c:v>
                </c:pt>
                <c:pt idx="32">
                  <c:v>48.849235020840759</c:v>
                </c:pt>
                <c:pt idx="33">
                  <c:v>48.353033898575397</c:v>
                </c:pt>
                <c:pt idx="34">
                  <c:v>47.861873091754909</c:v>
                </c:pt>
                <c:pt idx="35">
                  <c:v>47.375701401825289</c:v>
                </c:pt>
                <c:pt idx="36">
                  <c:v>46.89446815029811</c:v>
                </c:pt>
                <c:pt idx="37">
                  <c:v>46.418123173467258</c:v>
                </c:pt>
                <c:pt idx="38">
                  <c:v>45.94661681717939</c:v>
                </c:pt>
                <c:pt idx="39">
                  <c:v>45.479899931659141</c:v>
                </c:pt>
                <c:pt idx="40">
                  <c:v>45.017923866384471</c:v>
                </c:pt>
                <c:pt idx="41">
                  <c:v>44.560640465016441</c:v>
                </c:pt>
                <c:pt idx="42">
                  <c:v>44.108002060378908</c:v>
                </c:pt>
                <c:pt idx="43">
                  <c:v>43.659961469489303</c:v>
                </c:pt>
                <c:pt idx="44">
                  <c:v>43.216471988641125</c:v>
                </c:pt>
                <c:pt idx="45">
                  <c:v>42.777487388535164</c:v>
                </c:pt>
                <c:pt idx="46">
                  <c:v>42.342961909460051</c:v>
                </c:pt>
                <c:pt idx="47">
                  <c:v>41.91285025652337</c:v>
                </c:pt>
                <c:pt idx="48">
                  <c:v>41.487107594928887</c:v>
                </c:pt>
                <c:pt idx="49">
                  <c:v>41.065689545304053</c:v>
                </c:pt>
                <c:pt idx="50">
                  <c:v>40.648552179073441</c:v>
                </c:pt>
                <c:pt idx="51">
                  <c:v>40.235652013879182</c:v>
                </c:pt>
                <c:pt idx="52">
                  <c:v>39.826946009049401</c:v>
                </c:pt>
                <c:pt idx="53">
                  <c:v>39.42239156111053</c:v>
                </c:pt>
                <c:pt idx="54">
                  <c:v>39.021946499347294</c:v>
                </c:pt>
                <c:pt idx="55">
                  <c:v>38.625569081406404</c:v>
                </c:pt>
                <c:pt idx="56">
                  <c:v>38.233217988944972</c:v>
                </c:pt>
                <c:pt idx="57">
                  <c:v>37.844852323324275</c:v>
                </c:pt>
                <c:pt idx="58">
                  <c:v>37.46043160134608</c:v>
                </c:pt>
                <c:pt idx="59">
                  <c:v>37.079915751032303</c:v>
                </c:pt>
                <c:pt idx="60">
                  <c:v>36.703265107448807</c:v>
                </c:pt>
                <c:pt idx="61">
                  <c:v>36.330440408569707</c:v>
                </c:pt>
                <c:pt idx="62">
                  <c:v>35.961402791185606</c:v>
                </c:pt>
                <c:pt idx="63">
                  <c:v>35.596113786852086</c:v>
                </c:pt>
                <c:pt idx="64">
                  <c:v>35.23453531787942</c:v>
                </c:pt>
                <c:pt idx="65">
                  <c:v>34.876629693364087</c:v>
                </c:pt>
                <c:pt idx="66">
                  <c:v>34.522359605259503</c:v>
                </c:pt>
                <c:pt idx="67">
                  <c:v>34.171688124486671</c:v>
                </c:pt>
                <c:pt idx="68">
                  <c:v>33.824578697085556</c:v>
                </c:pt>
                <c:pt idx="69">
                  <c:v>33.480995140403735</c:v>
                </c:pt>
                <c:pt idx="70">
                  <c:v>33.140901639325534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4-4B0B-9ED9-AE03E3AEDE9D}"/>
            </c:ext>
          </c:extLst>
        </c:ser>
        <c:ser>
          <c:idx val="0"/>
          <c:order val="3"/>
          <c:tx>
            <c:v>Smith et al (2020)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Calcs!$Q$13:$Q$83</c:f>
              <c:numCache>
                <c:formatCode>0.00</c:formatCode>
                <c:ptCount val="71"/>
                <c:pt idx="0">
                  <c:v>62.332999999999998</c:v>
                </c:pt>
                <c:pt idx="1">
                  <c:v>61.9998</c:v>
                </c:pt>
                <c:pt idx="2">
                  <c:v>61.666600000000003</c:v>
                </c:pt>
                <c:pt idx="3">
                  <c:v>61.333400000000005</c:v>
                </c:pt>
                <c:pt idx="4">
                  <c:v>61.000200000000007</c:v>
                </c:pt>
                <c:pt idx="5">
                  <c:v>60.667000000000002</c:v>
                </c:pt>
                <c:pt idx="6">
                  <c:v>60.089199999999998</c:v>
                </c:pt>
                <c:pt idx="7">
                  <c:v>59.511399999999995</c:v>
                </c:pt>
                <c:pt idx="8">
                  <c:v>58.933599999999991</c:v>
                </c:pt>
                <c:pt idx="9">
                  <c:v>58.355799999999988</c:v>
                </c:pt>
                <c:pt idx="10">
                  <c:v>57.777999999999999</c:v>
                </c:pt>
                <c:pt idx="11">
                  <c:v>56.800199999999997</c:v>
                </c:pt>
                <c:pt idx="12">
                  <c:v>55.822399999999995</c:v>
                </c:pt>
                <c:pt idx="13">
                  <c:v>54.844599999999993</c:v>
                </c:pt>
                <c:pt idx="14">
                  <c:v>53.866799999999991</c:v>
                </c:pt>
                <c:pt idx="15">
                  <c:v>52.889000000000003</c:v>
                </c:pt>
                <c:pt idx="16">
                  <c:v>51.555600000000005</c:v>
                </c:pt>
                <c:pt idx="17">
                  <c:v>50.222200000000008</c:v>
                </c:pt>
                <c:pt idx="18">
                  <c:v>48.88880000000001</c:v>
                </c:pt>
                <c:pt idx="19">
                  <c:v>47.555400000000013</c:v>
                </c:pt>
                <c:pt idx="20">
                  <c:v>46.222000000000001</c:v>
                </c:pt>
                <c:pt idx="21">
                  <c:v>45.066400000000002</c:v>
                </c:pt>
                <c:pt idx="22">
                  <c:v>43.910800000000002</c:v>
                </c:pt>
                <c:pt idx="23">
                  <c:v>42.755200000000002</c:v>
                </c:pt>
                <c:pt idx="24">
                  <c:v>41.599600000000002</c:v>
                </c:pt>
                <c:pt idx="25">
                  <c:v>40.444000000000003</c:v>
                </c:pt>
                <c:pt idx="26">
                  <c:v>39.355200000000004</c:v>
                </c:pt>
                <c:pt idx="27">
                  <c:v>38.266400000000004</c:v>
                </c:pt>
                <c:pt idx="28">
                  <c:v>37.177600000000005</c:v>
                </c:pt>
                <c:pt idx="29">
                  <c:v>36.088800000000006</c:v>
                </c:pt>
                <c:pt idx="30">
                  <c:v>35</c:v>
                </c:pt>
                <c:pt idx="31">
                  <c:v>34.4</c:v>
                </c:pt>
                <c:pt idx="32">
                  <c:v>33.799999999999997</c:v>
                </c:pt>
                <c:pt idx="33">
                  <c:v>33.199999999999996</c:v>
                </c:pt>
                <c:pt idx="34">
                  <c:v>32.599999999999994</c:v>
                </c:pt>
                <c:pt idx="35">
                  <c:v>32</c:v>
                </c:pt>
                <c:pt idx="36">
                  <c:v>31.711200000000002</c:v>
                </c:pt>
                <c:pt idx="37">
                  <c:v>31.422400000000003</c:v>
                </c:pt>
                <c:pt idx="38">
                  <c:v>31.133600000000005</c:v>
                </c:pt>
                <c:pt idx="39">
                  <c:v>30.844800000000006</c:v>
                </c:pt>
                <c:pt idx="40">
                  <c:v>30.556000000000001</c:v>
                </c:pt>
                <c:pt idx="41">
                  <c:v>30.333600000000001</c:v>
                </c:pt>
                <c:pt idx="42">
                  <c:v>30.1112</c:v>
                </c:pt>
                <c:pt idx="43">
                  <c:v>29.8888</c:v>
                </c:pt>
                <c:pt idx="44">
                  <c:v>29.666399999999999</c:v>
                </c:pt>
                <c:pt idx="45">
                  <c:v>29.443999999999999</c:v>
                </c:pt>
                <c:pt idx="46">
                  <c:v>29.377399999999998</c:v>
                </c:pt>
                <c:pt idx="47">
                  <c:v>29.310799999999997</c:v>
                </c:pt>
                <c:pt idx="48">
                  <c:v>29.244199999999996</c:v>
                </c:pt>
                <c:pt idx="49">
                  <c:v>29.177599999999995</c:v>
                </c:pt>
                <c:pt idx="50">
                  <c:v>29.111000000000001</c:v>
                </c:pt>
                <c:pt idx="51">
                  <c:v>29.088799999999999</c:v>
                </c:pt>
                <c:pt idx="52">
                  <c:v>29.066599999999998</c:v>
                </c:pt>
                <c:pt idx="53">
                  <c:v>29.044399999999996</c:v>
                </c:pt>
                <c:pt idx="54">
                  <c:v>29.022199999999994</c:v>
                </c:pt>
                <c:pt idx="55">
                  <c:v>29</c:v>
                </c:pt>
                <c:pt idx="56">
                  <c:v>28.9556</c:v>
                </c:pt>
                <c:pt idx="57">
                  <c:v>28.911200000000001</c:v>
                </c:pt>
                <c:pt idx="58">
                  <c:v>28.866800000000001</c:v>
                </c:pt>
                <c:pt idx="59">
                  <c:v>28.822400000000002</c:v>
                </c:pt>
                <c:pt idx="60">
                  <c:v>28.777999999999999</c:v>
                </c:pt>
                <c:pt idx="61">
                  <c:v>28.755800000000001</c:v>
                </c:pt>
                <c:pt idx="62">
                  <c:v>28.733600000000003</c:v>
                </c:pt>
                <c:pt idx="63">
                  <c:v>28.711400000000005</c:v>
                </c:pt>
                <c:pt idx="64">
                  <c:v>28.689200000000007</c:v>
                </c:pt>
                <c:pt idx="65">
                  <c:v>28.667000000000002</c:v>
                </c:pt>
                <c:pt idx="66">
                  <c:v>28.667000000000002</c:v>
                </c:pt>
                <c:pt idx="67">
                  <c:v>28.667000000000002</c:v>
                </c:pt>
                <c:pt idx="68">
                  <c:v>28.667000000000002</c:v>
                </c:pt>
                <c:pt idx="69">
                  <c:v>28.667000000000002</c:v>
                </c:pt>
                <c:pt idx="70">
                  <c:v>28.667000000000002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8-4435-8660-FF185AE9DEB7}"/>
            </c:ext>
          </c:extLst>
        </c:ser>
        <c:ser>
          <c:idx val="1"/>
          <c:order val="4"/>
          <c:tx>
            <c:v>4xaverage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Calcs!$D$13:$D$63</c:f>
              <c:numCache>
                <c:formatCode>0.00</c:formatCode>
                <c:ptCount val="51"/>
                <c:pt idx="0">
                  <c:v>72.231671169453932</c:v>
                </c:pt>
                <c:pt idx="1">
                  <c:v>69.931057839725511</c:v>
                </c:pt>
                <c:pt idx="2">
                  <c:v>67.77993056448004</c:v>
                </c:pt>
                <c:pt idx="3">
                  <c:v>65.765952934223421</c:v>
                </c:pt>
                <c:pt idx="4">
                  <c:v>63.877815864907305</c:v>
                </c:pt>
                <c:pt idx="5">
                  <c:v>62.105151951482668</c:v>
                </c:pt>
                <c:pt idx="6">
                  <c:v>61.093826645499448</c:v>
                </c:pt>
                <c:pt idx="7">
                  <c:v>60.097606896680965</c:v>
                </c:pt>
                <c:pt idx="8">
                  <c:v>59.116055391864606</c:v>
                </c:pt>
                <c:pt idx="9">
                  <c:v>58.21467864038474</c:v>
                </c:pt>
                <c:pt idx="10">
                  <c:v>57.323359412250952</c:v>
                </c:pt>
                <c:pt idx="11">
                  <c:v>56.46156951538245</c:v>
                </c:pt>
                <c:pt idx="12">
                  <c:v>55.609371099508195</c:v>
                </c:pt>
                <c:pt idx="13">
                  <c:v>54.732562522023258</c:v>
                </c:pt>
                <c:pt idx="14">
                  <c:v>53.866771469237293</c:v>
                </c:pt>
                <c:pt idx="15">
                  <c:v>53.011707398301631</c:v>
                </c:pt>
                <c:pt idx="16">
                  <c:v>52.078187900825192</c:v>
                </c:pt>
                <c:pt idx="17">
                  <c:v>51.371994715912038</c:v>
                </c:pt>
                <c:pt idx="18">
                  <c:v>50.667818239624893</c:v>
                </c:pt>
                <c:pt idx="19">
                  <c:v>49.965639509455109</c:v>
                </c:pt>
                <c:pt idx="20">
                  <c:v>49.26543974439371</c:v>
                </c:pt>
                <c:pt idx="21">
                  <c:v>48.676084068971463</c:v>
                </c:pt>
                <c:pt idx="22">
                  <c:v>48.088670334105771</c:v>
                </c:pt>
                <c:pt idx="23">
                  <c:v>47.503180292780769</c:v>
                </c:pt>
                <c:pt idx="24">
                  <c:v>46.728431769659863</c:v>
                </c:pt>
                <c:pt idx="25">
                  <c:v>45.962208988763877</c:v>
                </c:pt>
                <c:pt idx="26">
                  <c:v>45.221001995318908</c:v>
                </c:pt>
                <c:pt idx="27">
                  <c:v>44.487906349956504</c:v>
                </c:pt>
                <c:pt idx="28">
                  <c:v>43.648488640786361</c:v>
                </c:pt>
                <c:pt idx="29">
                  <c:v>42.824589970410813</c:v>
                </c:pt>
                <c:pt idx="30">
                  <c:v>42.01561690593303</c:v>
                </c:pt>
                <c:pt idx="31">
                  <c:v>41.514643597739671</c:v>
                </c:pt>
                <c:pt idx="32">
                  <c:v>41.01707515933105</c:v>
                </c:pt>
                <c:pt idx="33">
                  <c:v>40.616507362451998</c:v>
                </c:pt>
                <c:pt idx="34">
                  <c:v>40.217309433632416</c:v>
                </c:pt>
                <c:pt idx="35">
                  <c:v>39.819468145995266</c:v>
                </c:pt>
                <c:pt idx="36">
                  <c:v>39.500770404342489</c:v>
                </c:pt>
                <c:pt idx="37">
                  <c:v>39.183403243827691</c:v>
                </c:pt>
                <c:pt idx="38">
                  <c:v>38.867353828642344</c:v>
                </c:pt>
                <c:pt idx="39">
                  <c:v>38.552609450715664</c:v>
                </c:pt>
                <c:pt idx="40">
                  <c:v>38.239157528427008</c:v>
                </c:pt>
                <c:pt idx="41">
                  <c:v>38.029743315340973</c:v>
                </c:pt>
                <c:pt idx="42">
                  <c:v>37.798106892892733</c:v>
                </c:pt>
                <c:pt idx="43">
                  <c:v>37.567987571223838</c:v>
                </c:pt>
                <c:pt idx="44">
                  <c:v>37.33937101001564</c:v>
                </c:pt>
                <c:pt idx="45">
                  <c:v>37.112243006860517</c:v>
                </c:pt>
                <c:pt idx="46">
                  <c:v>36.9255394959171</c:v>
                </c:pt>
                <c:pt idx="47">
                  <c:v>36.725827445527869</c:v>
                </c:pt>
                <c:pt idx="48">
                  <c:v>36.52780289481629</c:v>
                </c:pt>
                <c:pt idx="49">
                  <c:v>36.331449159101041</c:v>
                </c:pt>
                <c:pt idx="50">
                  <c:v>36.136749718892631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7-4F16-A963-FA4289DF2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463784"/>
        <c:axId val="461472312"/>
      </c:lineChart>
      <c:catAx>
        <c:axId val="46146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72312"/>
        <c:crosses val="autoZero"/>
        <c:auto val="1"/>
        <c:lblAlgn val="ctr"/>
        <c:lblOffset val="100"/>
        <c:noMultiLvlLbl val="0"/>
      </c:catAx>
      <c:valAx>
        <c:axId val="46147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 Intensity</a:t>
                </a:r>
                <a:r>
                  <a:rPr lang="en-GB" baseline="0"/>
                  <a:t> [GJ/ton]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6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7296948157148E-2"/>
          <c:y val="2.6810037355574596E-2"/>
          <c:w val="0.73041040033193072"/>
          <c:h val="0.85918646793590536"/>
        </c:manualLayout>
      </c:layout>
      <c:scatterChart>
        <c:scatterStyle val="smoothMarker"/>
        <c:varyColors val="0"/>
        <c:ser>
          <c:idx val="1"/>
          <c:order val="4"/>
          <c:tx>
            <c:strRef>
              <c:f>Kermeli_2017!$F$4</c:f>
              <c:strCache>
                <c:ptCount val="1"/>
                <c:pt idx="0">
                  <c:v>Thermodynamic limit</c:v>
                </c:pt>
              </c:strCache>
            </c:strRef>
          </c:tx>
          <c:marker>
            <c:symbol val="none"/>
          </c:marker>
          <c:xVal>
            <c:numRef>
              <c:f>Kermeli_2017!$A$5:$A$135</c:f>
              <c:numCache>
                <c:formatCode>General</c:formatCode>
                <c:ptCount val="131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  <c:pt idx="127">
                  <c:v>2011</c:v>
                </c:pt>
                <c:pt idx="128">
                  <c:v>2012</c:v>
                </c:pt>
                <c:pt idx="129">
                  <c:v>2013</c:v>
                </c:pt>
                <c:pt idx="130">
                  <c:v>2014</c:v>
                </c:pt>
              </c:numCache>
            </c:numRef>
          </c:xVal>
          <c:yVal>
            <c:numRef>
              <c:f>Kermeli_2017!$F$5:$F$135</c:f>
              <c:numCache>
                <c:formatCode>General</c:formatCode>
                <c:ptCount val="131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AF-4BEF-B8C6-474534F950E2}"/>
            </c:ext>
          </c:extLst>
        </c:ser>
        <c:ser>
          <c:idx val="3"/>
          <c:order val="5"/>
          <c:tx>
            <c:strRef>
              <c:f>Kermeli_2017!$E$4</c:f>
              <c:strCache>
                <c:ptCount val="1"/>
                <c:pt idx="0">
                  <c:v>BAT 2008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Kermeli_2017!$A$5:$A$131</c:f>
              <c:numCache>
                <c:formatCode>General</c:formatCode>
                <c:ptCount val="127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</c:numCache>
            </c:numRef>
          </c:xVal>
          <c:yVal>
            <c:numRef>
              <c:f>Kermeli_2017!$E$5:$E$131</c:f>
              <c:numCache>
                <c:formatCode>General</c:formatCode>
                <c:ptCount val="127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AF-4BEF-B8C6-474534F9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8400"/>
        <c:axId val="1"/>
      </c:scatterChart>
      <c:scatterChart>
        <c:scatterStyle val="lineMarker"/>
        <c:varyColors val="0"/>
        <c:ser>
          <c:idx val="0"/>
          <c:order val="0"/>
          <c:tx>
            <c:strRef>
              <c:f>Kermeli_2017!$B$4</c:f>
              <c:strCache>
                <c:ptCount val="1"/>
                <c:pt idx="0">
                  <c:v>Plant SEC</c:v>
                </c:pt>
              </c:strCache>
            </c:strRef>
          </c:tx>
          <c:spPr>
            <a:ln w="3175">
              <a:solidFill>
                <a:srgbClr val="FFFF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Kermeli_2017!$A$5:$A$135</c:f>
              <c:numCache>
                <c:formatCode>General</c:formatCode>
                <c:ptCount val="131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  <c:pt idx="127">
                  <c:v>2011</c:v>
                </c:pt>
                <c:pt idx="128">
                  <c:v>2012</c:v>
                </c:pt>
                <c:pt idx="129">
                  <c:v>2013</c:v>
                </c:pt>
                <c:pt idx="130">
                  <c:v>2014</c:v>
                </c:pt>
              </c:numCache>
            </c:numRef>
          </c:xVal>
          <c:yVal>
            <c:numRef>
              <c:f>Kermeli_2017!$B$5:$B$135</c:f>
              <c:numCache>
                <c:formatCode>General</c:formatCode>
                <c:ptCount val="131"/>
                <c:pt idx="0">
                  <c:v>190</c:v>
                </c:pt>
                <c:pt idx="1">
                  <c:v>147.5</c:v>
                </c:pt>
                <c:pt idx="2">
                  <c:v>117</c:v>
                </c:pt>
                <c:pt idx="3">
                  <c:v>163.9</c:v>
                </c:pt>
                <c:pt idx="4">
                  <c:v>136.80000000000001</c:v>
                </c:pt>
                <c:pt idx="5">
                  <c:v>94.5</c:v>
                </c:pt>
                <c:pt idx="6">
                  <c:v>72</c:v>
                </c:pt>
                <c:pt idx="7">
                  <c:v>81.900000000000006</c:v>
                </c:pt>
                <c:pt idx="8">
                  <c:v>84.4</c:v>
                </c:pt>
                <c:pt idx="9">
                  <c:v>88</c:v>
                </c:pt>
                <c:pt idx="10">
                  <c:v>63</c:v>
                </c:pt>
                <c:pt idx="11">
                  <c:v>45.3</c:v>
                </c:pt>
                <c:pt idx="12">
                  <c:v>65.7</c:v>
                </c:pt>
                <c:pt idx="13">
                  <c:v>67.2</c:v>
                </c:pt>
                <c:pt idx="14">
                  <c:v>54.9</c:v>
                </c:pt>
                <c:pt idx="15">
                  <c:v>63</c:v>
                </c:pt>
                <c:pt idx="16">
                  <c:v>65.14</c:v>
                </c:pt>
                <c:pt idx="17">
                  <c:v>61.21</c:v>
                </c:pt>
                <c:pt idx="18">
                  <c:v>53.72</c:v>
                </c:pt>
                <c:pt idx="20">
                  <c:v>45.9</c:v>
                </c:pt>
                <c:pt idx="21">
                  <c:v>63</c:v>
                </c:pt>
                <c:pt idx="22">
                  <c:v>51.3</c:v>
                </c:pt>
                <c:pt idx="23">
                  <c:v>60.6</c:v>
                </c:pt>
                <c:pt idx="24">
                  <c:v>46.18</c:v>
                </c:pt>
                <c:pt idx="25">
                  <c:v>52.9</c:v>
                </c:pt>
                <c:pt idx="26">
                  <c:v>44.76</c:v>
                </c:pt>
                <c:pt idx="27">
                  <c:v>45.84</c:v>
                </c:pt>
                <c:pt idx="28">
                  <c:v>54</c:v>
                </c:pt>
                <c:pt idx="30">
                  <c:v>39.5</c:v>
                </c:pt>
                <c:pt idx="31">
                  <c:v>38.4</c:v>
                </c:pt>
                <c:pt idx="32">
                  <c:v>39.299999999999997</c:v>
                </c:pt>
                <c:pt idx="33">
                  <c:v>47</c:v>
                </c:pt>
                <c:pt idx="34">
                  <c:v>50.5</c:v>
                </c:pt>
                <c:pt idx="35">
                  <c:v>36</c:v>
                </c:pt>
                <c:pt idx="36">
                  <c:v>34.9</c:v>
                </c:pt>
                <c:pt idx="37">
                  <c:v>46.5</c:v>
                </c:pt>
                <c:pt idx="38">
                  <c:v>37.6</c:v>
                </c:pt>
                <c:pt idx="39">
                  <c:v>37.200000000000003</c:v>
                </c:pt>
                <c:pt idx="40">
                  <c:v>37.700000000000003</c:v>
                </c:pt>
                <c:pt idx="41">
                  <c:v>57.9</c:v>
                </c:pt>
                <c:pt idx="42">
                  <c:v>39.799999999999997</c:v>
                </c:pt>
                <c:pt idx="43">
                  <c:v>36.700000000000003</c:v>
                </c:pt>
                <c:pt idx="44">
                  <c:v>27.1</c:v>
                </c:pt>
                <c:pt idx="45">
                  <c:v>36.200000000000003</c:v>
                </c:pt>
                <c:pt idx="46">
                  <c:v>40.9</c:v>
                </c:pt>
                <c:pt idx="47">
                  <c:v>53.1</c:v>
                </c:pt>
                <c:pt idx="48">
                  <c:v>35.200000000000003</c:v>
                </c:pt>
                <c:pt idx="49">
                  <c:v>33.89</c:v>
                </c:pt>
                <c:pt idx="50">
                  <c:v>34</c:v>
                </c:pt>
                <c:pt idx="51">
                  <c:v>55</c:v>
                </c:pt>
                <c:pt idx="52">
                  <c:v>50</c:v>
                </c:pt>
                <c:pt idx="53">
                  <c:v>46.9</c:v>
                </c:pt>
                <c:pt idx="54">
                  <c:v>54</c:v>
                </c:pt>
                <c:pt idx="55">
                  <c:v>61.9</c:v>
                </c:pt>
                <c:pt idx="56">
                  <c:v>47.3</c:v>
                </c:pt>
                <c:pt idx="57">
                  <c:v>43.5</c:v>
                </c:pt>
                <c:pt idx="58">
                  <c:v>42</c:v>
                </c:pt>
                <c:pt idx="59">
                  <c:v>38.200000000000003</c:v>
                </c:pt>
                <c:pt idx="60">
                  <c:v>30.2</c:v>
                </c:pt>
                <c:pt idx="61">
                  <c:v>27</c:v>
                </c:pt>
                <c:pt idx="62">
                  <c:v>48</c:v>
                </c:pt>
                <c:pt idx="63">
                  <c:v>30.3</c:v>
                </c:pt>
                <c:pt idx="64">
                  <c:v>47.8</c:v>
                </c:pt>
                <c:pt idx="65">
                  <c:v>42.2</c:v>
                </c:pt>
                <c:pt idx="66">
                  <c:v>41.6</c:v>
                </c:pt>
                <c:pt idx="67">
                  <c:v>44.5</c:v>
                </c:pt>
                <c:pt idx="68">
                  <c:v>39.299999999999997</c:v>
                </c:pt>
                <c:pt idx="69">
                  <c:v>41</c:v>
                </c:pt>
                <c:pt idx="70">
                  <c:v>45.3</c:v>
                </c:pt>
                <c:pt idx="71">
                  <c:v>44.4</c:v>
                </c:pt>
                <c:pt idx="72">
                  <c:v>29.1</c:v>
                </c:pt>
                <c:pt idx="73">
                  <c:v>58.6</c:v>
                </c:pt>
                <c:pt idx="74">
                  <c:v>39.4</c:v>
                </c:pt>
                <c:pt idx="75">
                  <c:v>41.5</c:v>
                </c:pt>
                <c:pt idx="76">
                  <c:v>40.799999999999997</c:v>
                </c:pt>
                <c:pt idx="77">
                  <c:v>40.1</c:v>
                </c:pt>
                <c:pt idx="78">
                  <c:v>40</c:v>
                </c:pt>
                <c:pt idx="79">
                  <c:v>42.9</c:v>
                </c:pt>
                <c:pt idx="80">
                  <c:v>58.6</c:v>
                </c:pt>
                <c:pt idx="81">
                  <c:v>37.4</c:v>
                </c:pt>
                <c:pt idx="82">
                  <c:v>33.700000000000003</c:v>
                </c:pt>
                <c:pt idx="83">
                  <c:v>41.3</c:v>
                </c:pt>
                <c:pt idx="84">
                  <c:v>35.5</c:v>
                </c:pt>
                <c:pt idx="85">
                  <c:v>56.1</c:v>
                </c:pt>
                <c:pt idx="86">
                  <c:v>37</c:v>
                </c:pt>
                <c:pt idx="87">
                  <c:v>40.4</c:v>
                </c:pt>
                <c:pt idx="88">
                  <c:v>41.6</c:v>
                </c:pt>
                <c:pt idx="89">
                  <c:v>30.7</c:v>
                </c:pt>
                <c:pt idx="90">
                  <c:v>49.8</c:v>
                </c:pt>
                <c:pt idx="91">
                  <c:v>33.5</c:v>
                </c:pt>
                <c:pt idx="92">
                  <c:v>33.5</c:v>
                </c:pt>
                <c:pt idx="93">
                  <c:v>40.1</c:v>
                </c:pt>
                <c:pt idx="94">
                  <c:v>29.4</c:v>
                </c:pt>
                <c:pt idx="95">
                  <c:v>39.299999999999997</c:v>
                </c:pt>
                <c:pt idx="96">
                  <c:v>41.3</c:v>
                </c:pt>
                <c:pt idx="97">
                  <c:v>36.200000000000003</c:v>
                </c:pt>
                <c:pt idx="98">
                  <c:v>24.5</c:v>
                </c:pt>
                <c:pt idx="99">
                  <c:v>28</c:v>
                </c:pt>
                <c:pt idx="100">
                  <c:v>48.6</c:v>
                </c:pt>
                <c:pt idx="101">
                  <c:v>47</c:v>
                </c:pt>
                <c:pt idx="102">
                  <c:v>37.700000000000003</c:v>
                </c:pt>
                <c:pt idx="103">
                  <c:v>48</c:v>
                </c:pt>
                <c:pt idx="104">
                  <c:v>28.8</c:v>
                </c:pt>
                <c:pt idx="105">
                  <c:v>50</c:v>
                </c:pt>
                <c:pt idx="106">
                  <c:v>46.05</c:v>
                </c:pt>
                <c:pt idx="107">
                  <c:v>31.9</c:v>
                </c:pt>
                <c:pt idx="108">
                  <c:v>35.6</c:v>
                </c:pt>
                <c:pt idx="109">
                  <c:v>42</c:v>
                </c:pt>
                <c:pt idx="110">
                  <c:v>36.299999999999997</c:v>
                </c:pt>
                <c:pt idx="111">
                  <c:v>35.799999999999997</c:v>
                </c:pt>
                <c:pt idx="112">
                  <c:v>22.9</c:v>
                </c:pt>
                <c:pt idx="113">
                  <c:v>31.5</c:v>
                </c:pt>
                <c:pt idx="114">
                  <c:v>28.8</c:v>
                </c:pt>
                <c:pt idx="115">
                  <c:v>30</c:v>
                </c:pt>
                <c:pt idx="116">
                  <c:v>29.7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AF-4BEF-B8C6-474534F950E2}"/>
            </c:ext>
          </c:extLst>
        </c:ser>
        <c:ser>
          <c:idx val="2"/>
          <c:order val="1"/>
          <c:tx>
            <c:strRef>
              <c:f>Kermeli_2017!$D$4</c:f>
              <c:strCache>
                <c:ptCount val="1"/>
                <c:pt idx="0">
                  <c:v>Plant design efficiency</c:v>
                </c:pt>
              </c:strCache>
            </c:strRef>
          </c:tx>
          <c:spPr>
            <a:ln w="28575">
              <a:solidFill>
                <a:schemeClr val="tx2"/>
              </a:solidFill>
              <a:prstDash val="sysDot"/>
            </a:ln>
          </c:spPr>
          <c:marker>
            <c:symbol val="circle"/>
            <c:size val="6"/>
            <c:spPr>
              <a:solidFill>
                <a:schemeClr val="tx2"/>
              </a:solidFill>
              <a:ln>
                <a:noFill/>
              </a:ln>
            </c:spPr>
          </c:marker>
          <c:trendline>
            <c:name>1</c:name>
            <c:spPr>
              <a:ln w="44450">
                <a:solidFill>
                  <a:schemeClr val="tx2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xVal>
            <c:numRef>
              <c:f>Kermeli_2017!$A$5:$A$131</c:f>
              <c:numCache>
                <c:formatCode>General</c:formatCode>
                <c:ptCount val="127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</c:numCache>
            </c:numRef>
          </c:xVal>
          <c:yVal>
            <c:numRef>
              <c:f>Kermeli_2017!$D$5:$D$131</c:f>
              <c:numCache>
                <c:formatCode>General</c:formatCode>
                <c:ptCount val="127"/>
                <c:pt idx="18">
                  <c:v>61.5</c:v>
                </c:pt>
                <c:pt idx="28">
                  <c:v>54.5</c:v>
                </c:pt>
                <c:pt idx="42">
                  <c:v>36.9</c:v>
                </c:pt>
                <c:pt idx="78">
                  <c:v>34</c:v>
                </c:pt>
                <c:pt idx="107">
                  <c:v>31</c:v>
                </c:pt>
                <c:pt idx="120">
                  <c:v>28</c:v>
                </c:pt>
                <c:pt idx="126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AF-4BEF-B8C6-474534F950E2}"/>
            </c:ext>
          </c:extLst>
        </c:ser>
        <c:ser>
          <c:idx val="4"/>
          <c:order val="2"/>
          <c:tx>
            <c:strRef>
              <c:f>Kermeli_2017!$H$4</c:f>
              <c:strCache>
                <c:ptCount val="1"/>
                <c:pt idx="0">
                  <c:v>10 best plants</c:v>
                </c:pt>
              </c:strCache>
            </c:strRef>
          </c:tx>
          <c:spPr>
            <a:ln>
              <a:solidFill>
                <a:schemeClr val="accent5">
                  <a:shade val="95000"/>
                  <a:satMod val="105000"/>
                  <a:alpha val="5000"/>
                </a:schemeClr>
              </a:solidFill>
            </a:ln>
            <a:effectLst>
              <a:glow rad="215900">
                <a:schemeClr val="accent1">
                  <a:satMod val="175000"/>
                  <a:alpha val="31000"/>
                </a:schemeClr>
              </a:glow>
            </a:effectLst>
          </c:spPr>
          <c:marker>
            <c:symbol val="none"/>
          </c:marker>
          <c:xVal>
            <c:numRef>
              <c:f>Kermeli_2017!$A$5:$A$131</c:f>
              <c:numCache>
                <c:formatCode>General</c:formatCode>
                <c:ptCount val="127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</c:numCache>
            </c:numRef>
          </c:xVal>
          <c:yVal>
            <c:numRef>
              <c:f>Kermeli_2017!$H$5:$H$131</c:f>
              <c:numCache>
                <c:formatCode>General</c:formatCode>
                <c:ptCount val="127"/>
                <c:pt idx="0">
                  <c:v>30.5</c:v>
                </c:pt>
                <c:pt idx="1">
                  <c:v>30.5</c:v>
                </c:pt>
                <c:pt idx="2">
                  <c:v>30.5</c:v>
                </c:pt>
                <c:pt idx="3">
                  <c:v>30.5</c:v>
                </c:pt>
                <c:pt idx="4">
                  <c:v>30.5</c:v>
                </c:pt>
                <c:pt idx="5">
                  <c:v>30.5</c:v>
                </c:pt>
                <c:pt idx="6">
                  <c:v>30.5</c:v>
                </c:pt>
                <c:pt idx="7">
                  <c:v>30.5</c:v>
                </c:pt>
                <c:pt idx="8">
                  <c:v>30.5</c:v>
                </c:pt>
                <c:pt idx="9">
                  <c:v>30.5</c:v>
                </c:pt>
                <c:pt idx="10">
                  <c:v>30.5</c:v>
                </c:pt>
                <c:pt idx="11">
                  <c:v>30.5</c:v>
                </c:pt>
                <c:pt idx="12">
                  <c:v>30.5</c:v>
                </c:pt>
                <c:pt idx="13">
                  <c:v>30.5</c:v>
                </c:pt>
                <c:pt idx="14">
                  <c:v>30.5</c:v>
                </c:pt>
                <c:pt idx="15">
                  <c:v>30.5</c:v>
                </c:pt>
                <c:pt idx="16">
                  <c:v>30.5</c:v>
                </c:pt>
                <c:pt idx="17">
                  <c:v>30.5</c:v>
                </c:pt>
                <c:pt idx="18">
                  <c:v>30.5</c:v>
                </c:pt>
                <c:pt idx="19">
                  <c:v>30.5</c:v>
                </c:pt>
                <c:pt idx="20">
                  <c:v>30.5</c:v>
                </c:pt>
                <c:pt idx="21">
                  <c:v>30.5</c:v>
                </c:pt>
                <c:pt idx="22">
                  <c:v>30.5</c:v>
                </c:pt>
                <c:pt idx="23">
                  <c:v>30.5</c:v>
                </c:pt>
                <c:pt idx="24">
                  <c:v>30.5</c:v>
                </c:pt>
                <c:pt idx="25">
                  <c:v>30.5</c:v>
                </c:pt>
                <c:pt idx="26">
                  <c:v>30.5</c:v>
                </c:pt>
                <c:pt idx="27">
                  <c:v>30.5</c:v>
                </c:pt>
                <c:pt idx="28">
                  <c:v>30.5</c:v>
                </c:pt>
                <c:pt idx="29">
                  <c:v>30.5</c:v>
                </c:pt>
                <c:pt idx="30">
                  <c:v>30.5</c:v>
                </c:pt>
                <c:pt idx="31">
                  <c:v>30.5</c:v>
                </c:pt>
                <c:pt idx="32">
                  <c:v>30.5</c:v>
                </c:pt>
                <c:pt idx="33">
                  <c:v>30.5</c:v>
                </c:pt>
                <c:pt idx="34">
                  <c:v>30.5</c:v>
                </c:pt>
                <c:pt idx="35">
                  <c:v>30.5</c:v>
                </c:pt>
                <c:pt idx="36">
                  <c:v>30.5</c:v>
                </c:pt>
                <c:pt idx="37">
                  <c:v>30.5</c:v>
                </c:pt>
                <c:pt idx="38">
                  <c:v>30.5</c:v>
                </c:pt>
                <c:pt idx="39">
                  <c:v>30.5</c:v>
                </c:pt>
                <c:pt idx="40">
                  <c:v>30.5</c:v>
                </c:pt>
                <c:pt idx="41">
                  <c:v>30.5</c:v>
                </c:pt>
                <c:pt idx="42">
                  <c:v>30.5</c:v>
                </c:pt>
                <c:pt idx="43">
                  <c:v>30.5</c:v>
                </c:pt>
                <c:pt idx="44">
                  <c:v>30.5</c:v>
                </c:pt>
                <c:pt idx="45">
                  <c:v>30.5</c:v>
                </c:pt>
                <c:pt idx="46">
                  <c:v>30.5</c:v>
                </c:pt>
                <c:pt idx="47">
                  <c:v>30.5</c:v>
                </c:pt>
                <c:pt idx="48">
                  <c:v>30.5</c:v>
                </c:pt>
                <c:pt idx="49">
                  <c:v>30.5</c:v>
                </c:pt>
                <c:pt idx="50">
                  <c:v>30.5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30.5</c:v>
                </c:pt>
                <c:pt idx="56">
                  <c:v>30.5</c:v>
                </c:pt>
                <c:pt idx="57">
                  <c:v>30.5</c:v>
                </c:pt>
                <c:pt idx="58">
                  <c:v>30.5</c:v>
                </c:pt>
                <c:pt idx="59">
                  <c:v>30.5</c:v>
                </c:pt>
                <c:pt idx="60">
                  <c:v>30.5</c:v>
                </c:pt>
                <c:pt idx="61">
                  <c:v>30.5</c:v>
                </c:pt>
                <c:pt idx="62">
                  <c:v>30.5</c:v>
                </c:pt>
                <c:pt idx="63">
                  <c:v>30.5</c:v>
                </c:pt>
                <c:pt idx="64">
                  <c:v>30.5</c:v>
                </c:pt>
                <c:pt idx="65">
                  <c:v>30.5</c:v>
                </c:pt>
                <c:pt idx="66">
                  <c:v>30.5</c:v>
                </c:pt>
                <c:pt idx="67">
                  <c:v>30.5</c:v>
                </c:pt>
                <c:pt idx="68">
                  <c:v>30.5</c:v>
                </c:pt>
                <c:pt idx="69">
                  <c:v>30.5</c:v>
                </c:pt>
                <c:pt idx="70">
                  <c:v>30.5</c:v>
                </c:pt>
                <c:pt idx="71">
                  <c:v>30.5</c:v>
                </c:pt>
                <c:pt idx="72">
                  <c:v>30.5</c:v>
                </c:pt>
                <c:pt idx="73">
                  <c:v>30.5</c:v>
                </c:pt>
                <c:pt idx="74">
                  <c:v>30.5</c:v>
                </c:pt>
                <c:pt idx="75">
                  <c:v>30.5</c:v>
                </c:pt>
                <c:pt idx="76">
                  <c:v>30.5</c:v>
                </c:pt>
                <c:pt idx="77">
                  <c:v>30.5</c:v>
                </c:pt>
                <c:pt idx="78">
                  <c:v>30.5</c:v>
                </c:pt>
                <c:pt idx="79">
                  <c:v>30.5</c:v>
                </c:pt>
                <c:pt idx="80">
                  <c:v>30.5</c:v>
                </c:pt>
                <c:pt idx="81">
                  <c:v>30.5</c:v>
                </c:pt>
                <c:pt idx="82">
                  <c:v>30.5</c:v>
                </c:pt>
                <c:pt idx="83">
                  <c:v>30.5</c:v>
                </c:pt>
                <c:pt idx="84">
                  <c:v>30.5</c:v>
                </c:pt>
                <c:pt idx="85">
                  <c:v>30.5</c:v>
                </c:pt>
                <c:pt idx="86">
                  <c:v>30.5</c:v>
                </c:pt>
                <c:pt idx="87">
                  <c:v>30.5</c:v>
                </c:pt>
                <c:pt idx="88">
                  <c:v>30.5</c:v>
                </c:pt>
                <c:pt idx="89">
                  <c:v>30.5</c:v>
                </c:pt>
                <c:pt idx="90">
                  <c:v>30.5</c:v>
                </c:pt>
                <c:pt idx="91">
                  <c:v>30.5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30.5</c:v>
                </c:pt>
                <c:pt idx="96">
                  <c:v>30.5</c:v>
                </c:pt>
                <c:pt idx="97">
                  <c:v>30.5</c:v>
                </c:pt>
                <c:pt idx="98">
                  <c:v>30.5</c:v>
                </c:pt>
                <c:pt idx="99">
                  <c:v>30.5</c:v>
                </c:pt>
                <c:pt idx="100">
                  <c:v>30.5</c:v>
                </c:pt>
                <c:pt idx="101">
                  <c:v>30.5</c:v>
                </c:pt>
                <c:pt idx="102">
                  <c:v>30.5</c:v>
                </c:pt>
                <c:pt idx="103">
                  <c:v>30.5</c:v>
                </c:pt>
                <c:pt idx="104">
                  <c:v>30.5</c:v>
                </c:pt>
                <c:pt idx="105">
                  <c:v>30.5</c:v>
                </c:pt>
                <c:pt idx="106">
                  <c:v>30.5</c:v>
                </c:pt>
                <c:pt idx="107">
                  <c:v>30.5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30.5</c:v>
                </c:pt>
                <c:pt idx="112">
                  <c:v>30.5</c:v>
                </c:pt>
                <c:pt idx="113">
                  <c:v>30.5</c:v>
                </c:pt>
                <c:pt idx="114">
                  <c:v>30.5</c:v>
                </c:pt>
                <c:pt idx="115">
                  <c:v>30.5</c:v>
                </c:pt>
                <c:pt idx="116">
                  <c:v>30.5</c:v>
                </c:pt>
                <c:pt idx="117">
                  <c:v>30.5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30.5</c:v>
                </c:pt>
                <c:pt idx="122">
                  <c:v>30.5</c:v>
                </c:pt>
                <c:pt idx="123">
                  <c:v>30.5</c:v>
                </c:pt>
                <c:pt idx="124">
                  <c:v>30.5</c:v>
                </c:pt>
                <c:pt idx="125">
                  <c:v>30.5</c:v>
                </c:pt>
                <c:pt idx="126">
                  <c:v>30.5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AF-4BEF-B8C6-474534F950E2}"/>
            </c:ext>
          </c:extLst>
        </c:ser>
        <c:ser>
          <c:idx val="5"/>
          <c:order val="3"/>
          <c:tx>
            <c:strRef>
              <c:f>Kermeli_2017!$C$4</c:f>
              <c:strCache>
                <c:ptCount val="1"/>
                <c:pt idx="0">
                  <c:v>Average SEC IFA Members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</c:spPr>
          </c:marker>
          <c:xVal>
            <c:numRef>
              <c:f>Kermeli_2017!$A$5:$A$135</c:f>
              <c:numCache>
                <c:formatCode>General</c:formatCode>
                <c:ptCount val="131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  <c:pt idx="127">
                  <c:v>2011</c:v>
                </c:pt>
                <c:pt idx="128">
                  <c:v>2012</c:v>
                </c:pt>
                <c:pt idx="129">
                  <c:v>2013</c:v>
                </c:pt>
                <c:pt idx="130">
                  <c:v>2014</c:v>
                </c:pt>
              </c:numCache>
            </c:numRef>
          </c:xVal>
          <c:yVal>
            <c:numRef>
              <c:f>Kermeli_2017!$C$5:$C$135</c:f>
              <c:numCache>
                <c:formatCode>General</c:formatCode>
                <c:ptCount val="131"/>
                <c:pt idx="119">
                  <c:v>36.9</c:v>
                </c:pt>
                <c:pt idx="124">
                  <c:v>36.6</c:v>
                </c:pt>
                <c:pt idx="12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AF-4BEF-B8C6-474534F9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8400"/>
        <c:axId val="1"/>
      </c:scatterChart>
      <c:valAx>
        <c:axId val="449158400"/>
        <c:scaling>
          <c:orientation val="minMax"/>
          <c:max val="2012"/>
          <c:min val="19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n-US" b="1"/>
                  <a:t>Energgity</a:t>
                </a:r>
                <a:r>
                  <a:rPr lang="en-US" b="1" baseline="0"/>
                  <a:t> Intensity (GJ/tonne NH3)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6608065179778524E-2"/>
              <c:y val="0.2035599940251370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91584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5.0445120844801898E-2"/>
          <c:y val="0.94481684911337305"/>
          <c:w val="0.89020856813540961"/>
          <c:h val="4.0133836928920474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7296948157148E-2"/>
          <c:y val="2.6810037355574596E-2"/>
          <c:w val="0.73041040033193072"/>
          <c:h val="0.85918646793590536"/>
        </c:manualLayout>
      </c:layout>
      <c:scatterChart>
        <c:scatterStyle val="smoothMarker"/>
        <c:varyColors val="0"/>
        <c:ser>
          <c:idx val="1"/>
          <c:order val="4"/>
          <c:tx>
            <c:strRef>
              <c:f>Kermeli_2017!$F$4</c:f>
              <c:strCache>
                <c:ptCount val="1"/>
                <c:pt idx="0">
                  <c:v>Thermodynamic limit</c:v>
                </c:pt>
              </c:strCache>
            </c:strRef>
          </c:tx>
          <c:marker>
            <c:symbol val="none"/>
          </c:marker>
          <c:xVal>
            <c:numRef>
              <c:f>Kermeli_2017!$A$5:$A$135</c:f>
              <c:numCache>
                <c:formatCode>General</c:formatCode>
                <c:ptCount val="131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  <c:pt idx="127">
                  <c:v>2011</c:v>
                </c:pt>
                <c:pt idx="128">
                  <c:v>2012</c:v>
                </c:pt>
                <c:pt idx="129">
                  <c:v>2013</c:v>
                </c:pt>
                <c:pt idx="130">
                  <c:v>2014</c:v>
                </c:pt>
              </c:numCache>
            </c:numRef>
          </c:xVal>
          <c:yVal>
            <c:numRef>
              <c:f>Kermeli_2017!$F$5:$F$135</c:f>
              <c:numCache>
                <c:formatCode>General</c:formatCode>
                <c:ptCount val="131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E8-4D98-ABC8-0B2D53FB7F03}"/>
            </c:ext>
          </c:extLst>
        </c:ser>
        <c:ser>
          <c:idx val="3"/>
          <c:order val="5"/>
          <c:tx>
            <c:strRef>
              <c:f>Kermeli_2017!$E$4</c:f>
              <c:strCache>
                <c:ptCount val="1"/>
                <c:pt idx="0">
                  <c:v>BAT 2008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Kermeli_2017!$A$5:$A$131</c:f>
              <c:numCache>
                <c:formatCode>General</c:formatCode>
                <c:ptCount val="127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</c:numCache>
            </c:numRef>
          </c:xVal>
          <c:yVal>
            <c:numRef>
              <c:f>Kermeli_2017!$E$5:$E$131</c:f>
              <c:numCache>
                <c:formatCode>General</c:formatCode>
                <c:ptCount val="127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E8-4D98-ABC8-0B2D53FB7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8072"/>
        <c:axId val="1"/>
      </c:scatterChart>
      <c:scatterChart>
        <c:scatterStyle val="lineMarker"/>
        <c:varyColors val="0"/>
        <c:ser>
          <c:idx val="0"/>
          <c:order val="0"/>
          <c:tx>
            <c:strRef>
              <c:f>Kermeli_2017!$B$4</c:f>
              <c:strCache>
                <c:ptCount val="1"/>
                <c:pt idx="0">
                  <c:v>Plant SEC</c:v>
                </c:pt>
              </c:strCache>
            </c:strRef>
          </c:tx>
          <c:spPr>
            <a:ln w="3175">
              <a:solidFill>
                <a:srgbClr val="FFFF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Kermeli_2017!$A$5:$A$135</c:f>
              <c:numCache>
                <c:formatCode>General</c:formatCode>
                <c:ptCount val="131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  <c:pt idx="127">
                  <c:v>2011</c:v>
                </c:pt>
                <c:pt idx="128">
                  <c:v>2012</c:v>
                </c:pt>
                <c:pt idx="129">
                  <c:v>2013</c:v>
                </c:pt>
                <c:pt idx="130">
                  <c:v>2014</c:v>
                </c:pt>
              </c:numCache>
            </c:numRef>
          </c:xVal>
          <c:yVal>
            <c:numRef>
              <c:f>Kermeli_2017!$B$5:$B$135</c:f>
              <c:numCache>
                <c:formatCode>General</c:formatCode>
                <c:ptCount val="131"/>
                <c:pt idx="0">
                  <c:v>190</c:v>
                </c:pt>
                <c:pt idx="1">
                  <c:v>147.5</c:v>
                </c:pt>
                <c:pt idx="2">
                  <c:v>117</c:v>
                </c:pt>
                <c:pt idx="3">
                  <c:v>163.9</c:v>
                </c:pt>
                <c:pt idx="4">
                  <c:v>136.80000000000001</c:v>
                </c:pt>
                <c:pt idx="5">
                  <c:v>94.5</c:v>
                </c:pt>
                <c:pt idx="6">
                  <c:v>72</c:v>
                </c:pt>
                <c:pt idx="7">
                  <c:v>81.900000000000006</c:v>
                </c:pt>
                <c:pt idx="8">
                  <c:v>84.4</c:v>
                </c:pt>
                <c:pt idx="9">
                  <c:v>88</c:v>
                </c:pt>
                <c:pt idx="10">
                  <c:v>63</c:v>
                </c:pt>
                <c:pt idx="11">
                  <c:v>45.3</c:v>
                </c:pt>
                <c:pt idx="12">
                  <c:v>65.7</c:v>
                </c:pt>
                <c:pt idx="13">
                  <c:v>67.2</c:v>
                </c:pt>
                <c:pt idx="14">
                  <c:v>54.9</c:v>
                </c:pt>
                <c:pt idx="15">
                  <c:v>63</c:v>
                </c:pt>
                <c:pt idx="16">
                  <c:v>65.14</c:v>
                </c:pt>
                <c:pt idx="17">
                  <c:v>61.21</c:v>
                </c:pt>
                <c:pt idx="18">
                  <c:v>53.72</c:v>
                </c:pt>
                <c:pt idx="20">
                  <c:v>45.9</c:v>
                </c:pt>
                <c:pt idx="21">
                  <c:v>63</c:v>
                </c:pt>
                <c:pt idx="22">
                  <c:v>51.3</c:v>
                </c:pt>
                <c:pt idx="23">
                  <c:v>60.6</c:v>
                </c:pt>
                <c:pt idx="24">
                  <c:v>46.18</c:v>
                </c:pt>
                <c:pt idx="25">
                  <c:v>52.9</c:v>
                </c:pt>
                <c:pt idx="26">
                  <c:v>44.76</c:v>
                </c:pt>
                <c:pt idx="27">
                  <c:v>45.84</c:v>
                </c:pt>
                <c:pt idx="28">
                  <c:v>54</c:v>
                </c:pt>
                <c:pt idx="30">
                  <c:v>39.5</c:v>
                </c:pt>
                <c:pt idx="31">
                  <c:v>38.4</c:v>
                </c:pt>
                <c:pt idx="32">
                  <c:v>39.299999999999997</c:v>
                </c:pt>
                <c:pt idx="33">
                  <c:v>47</c:v>
                </c:pt>
                <c:pt idx="34">
                  <c:v>50.5</c:v>
                </c:pt>
                <c:pt idx="35">
                  <c:v>36</c:v>
                </c:pt>
                <c:pt idx="36">
                  <c:v>34.9</c:v>
                </c:pt>
                <c:pt idx="37">
                  <c:v>46.5</c:v>
                </c:pt>
                <c:pt idx="38">
                  <c:v>37.6</c:v>
                </c:pt>
                <c:pt idx="39">
                  <c:v>37.200000000000003</c:v>
                </c:pt>
                <c:pt idx="40">
                  <c:v>37.700000000000003</c:v>
                </c:pt>
                <c:pt idx="41">
                  <c:v>57.9</c:v>
                </c:pt>
                <c:pt idx="42">
                  <c:v>39.799999999999997</c:v>
                </c:pt>
                <c:pt idx="43">
                  <c:v>36.700000000000003</c:v>
                </c:pt>
                <c:pt idx="44">
                  <c:v>27.1</c:v>
                </c:pt>
                <c:pt idx="45">
                  <c:v>36.200000000000003</c:v>
                </c:pt>
                <c:pt idx="46">
                  <c:v>40.9</c:v>
                </c:pt>
                <c:pt idx="47">
                  <c:v>53.1</c:v>
                </c:pt>
                <c:pt idx="48">
                  <c:v>35.200000000000003</c:v>
                </c:pt>
                <c:pt idx="49">
                  <c:v>33.89</c:v>
                </c:pt>
                <c:pt idx="50">
                  <c:v>34</c:v>
                </c:pt>
                <c:pt idx="51">
                  <c:v>55</c:v>
                </c:pt>
                <c:pt idx="52">
                  <c:v>50</c:v>
                </c:pt>
                <c:pt idx="53">
                  <c:v>46.9</c:v>
                </c:pt>
                <c:pt idx="54">
                  <c:v>54</c:v>
                </c:pt>
                <c:pt idx="55">
                  <c:v>61.9</c:v>
                </c:pt>
                <c:pt idx="56">
                  <c:v>47.3</c:v>
                </c:pt>
                <c:pt idx="57">
                  <c:v>43.5</c:v>
                </c:pt>
                <c:pt idx="58">
                  <c:v>42</c:v>
                </c:pt>
                <c:pt idx="59">
                  <c:v>38.200000000000003</c:v>
                </c:pt>
                <c:pt idx="60">
                  <c:v>30.2</c:v>
                </c:pt>
                <c:pt idx="61">
                  <c:v>27</c:v>
                </c:pt>
                <c:pt idx="62">
                  <c:v>48</c:v>
                </c:pt>
                <c:pt idx="63">
                  <c:v>30.3</c:v>
                </c:pt>
                <c:pt idx="64">
                  <c:v>47.8</c:v>
                </c:pt>
                <c:pt idx="65">
                  <c:v>42.2</c:v>
                </c:pt>
                <c:pt idx="66">
                  <c:v>41.6</c:v>
                </c:pt>
                <c:pt idx="67">
                  <c:v>44.5</c:v>
                </c:pt>
                <c:pt idx="68">
                  <c:v>39.299999999999997</c:v>
                </c:pt>
                <c:pt idx="69">
                  <c:v>41</c:v>
                </c:pt>
                <c:pt idx="70">
                  <c:v>45.3</c:v>
                </c:pt>
                <c:pt idx="71">
                  <c:v>44.4</c:v>
                </c:pt>
                <c:pt idx="72">
                  <c:v>29.1</c:v>
                </c:pt>
                <c:pt idx="73">
                  <c:v>58.6</c:v>
                </c:pt>
                <c:pt idx="74">
                  <c:v>39.4</c:v>
                </c:pt>
                <c:pt idx="75">
                  <c:v>41.5</c:v>
                </c:pt>
                <c:pt idx="76">
                  <c:v>40.799999999999997</c:v>
                </c:pt>
                <c:pt idx="77">
                  <c:v>40.1</c:v>
                </c:pt>
                <c:pt idx="78">
                  <c:v>40</c:v>
                </c:pt>
                <c:pt idx="79">
                  <c:v>42.9</c:v>
                </c:pt>
                <c:pt idx="80">
                  <c:v>58.6</c:v>
                </c:pt>
                <c:pt idx="81">
                  <c:v>37.4</c:v>
                </c:pt>
                <c:pt idx="82">
                  <c:v>33.700000000000003</c:v>
                </c:pt>
                <c:pt idx="83">
                  <c:v>41.3</c:v>
                </c:pt>
                <c:pt idx="84">
                  <c:v>35.5</c:v>
                </c:pt>
                <c:pt idx="85">
                  <c:v>56.1</c:v>
                </c:pt>
                <c:pt idx="86">
                  <c:v>37</c:v>
                </c:pt>
                <c:pt idx="87">
                  <c:v>40.4</c:v>
                </c:pt>
                <c:pt idx="88">
                  <c:v>41.6</c:v>
                </c:pt>
                <c:pt idx="89">
                  <c:v>30.7</c:v>
                </c:pt>
                <c:pt idx="90">
                  <c:v>49.8</c:v>
                </c:pt>
                <c:pt idx="91">
                  <c:v>33.5</c:v>
                </c:pt>
                <c:pt idx="92">
                  <c:v>33.5</c:v>
                </c:pt>
                <c:pt idx="93">
                  <c:v>40.1</c:v>
                </c:pt>
                <c:pt idx="94">
                  <c:v>29.4</c:v>
                </c:pt>
                <c:pt idx="95">
                  <c:v>39.299999999999997</c:v>
                </c:pt>
                <c:pt idx="96">
                  <c:v>41.3</c:v>
                </c:pt>
                <c:pt idx="97">
                  <c:v>36.200000000000003</c:v>
                </c:pt>
                <c:pt idx="98">
                  <c:v>24.5</c:v>
                </c:pt>
                <c:pt idx="99">
                  <c:v>28</c:v>
                </c:pt>
                <c:pt idx="100">
                  <c:v>48.6</c:v>
                </c:pt>
                <c:pt idx="101">
                  <c:v>47</c:v>
                </c:pt>
                <c:pt idx="102">
                  <c:v>37.700000000000003</c:v>
                </c:pt>
                <c:pt idx="103">
                  <c:v>48</c:v>
                </c:pt>
                <c:pt idx="104">
                  <c:v>28.8</c:v>
                </c:pt>
                <c:pt idx="105">
                  <c:v>50</c:v>
                </c:pt>
                <c:pt idx="106">
                  <c:v>46.05</c:v>
                </c:pt>
                <c:pt idx="107">
                  <c:v>31.9</c:v>
                </c:pt>
                <c:pt idx="108">
                  <c:v>35.6</c:v>
                </c:pt>
                <c:pt idx="109">
                  <c:v>42</c:v>
                </c:pt>
                <c:pt idx="110">
                  <c:v>36.299999999999997</c:v>
                </c:pt>
                <c:pt idx="111">
                  <c:v>35.799999999999997</c:v>
                </c:pt>
                <c:pt idx="112">
                  <c:v>22.9</c:v>
                </c:pt>
                <c:pt idx="113">
                  <c:v>31.5</c:v>
                </c:pt>
                <c:pt idx="114">
                  <c:v>28.8</c:v>
                </c:pt>
                <c:pt idx="115">
                  <c:v>30</c:v>
                </c:pt>
                <c:pt idx="116">
                  <c:v>29.7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E8-4D98-ABC8-0B2D53FB7F03}"/>
            </c:ext>
          </c:extLst>
        </c:ser>
        <c:ser>
          <c:idx val="2"/>
          <c:order val="1"/>
          <c:tx>
            <c:strRef>
              <c:f>Kermeli_2017!$D$4</c:f>
              <c:strCache>
                <c:ptCount val="1"/>
                <c:pt idx="0">
                  <c:v>Plant design efficiency</c:v>
                </c:pt>
              </c:strCache>
            </c:strRef>
          </c:tx>
          <c:spPr>
            <a:ln w="28575">
              <a:solidFill>
                <a:schemeClr val="tx2"/>
              </a:solidFill>
              <a:prstDash val="sysDot"/>
            </a:ln>
          </c:spPr>
          <c:marker>
            <c:symbol val="circle"/>
            <c:size val="6"/>
            <c:spPr>
              <a:solidFill>
                <a:schemeClr val="tx2"/>
              </a:solidFill>
              <a:ln>
                <a:noFill/>
              </a:ln>
            </c:spPr>
          </c:marker>
          <c:trendline>
            <c:name>1</c:name>
            <c:spPr>
              <a:ln w="44450">
                <a:solidFill>
                  <a:schemeClr val="tx2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xVal>
            <c:numRef>
              <c:f>Kermeli_2017!$A$5:$A$131</c:f>
              <c:numCache>
                <c:formatCode>General</c:formatCode>
                <c:ptCount val="127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</c:numCache>
            </c:numRef>
          </c:xVal>
          <c:yVal>
            <c:numRef>
              <c:f>Kermeli_2017!$D$5:$D$131</c:f>
              <c:numCache>
                <c:formatCode>General</c:formatCode>
                <c:ptCount val="127"/>
                <c:pt idx="18">
                  <c:v>61.5</c:v>
                </c:pt>
                <c:pt idx="28">
                  <c:v>54.5</c:v>
                </c:pt>
                <c:pt idx="42">
                  <c:v>36.9</c:v>
                </c:pt>
                <c:pt idx="78">
                  <c:v>34</c:v>
                </c:pt>
                <c:pt idx="107">
                  <c:v>31</c:v>
                </c:pt>
                <c:pt idx="120">
                  <c:v>28</c:v>
                </c:pt>
                <c:pt idx="126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E8-4D98-ABC8-0B2D53FB7F03}"/>
            </c:ext>
          </c:extLst>
        </c:ser>
        <c:ser>
          <c:idx val="4"/>
          <c:order val="2"/>
          <c:tx>
            <c:strRef>
              <c:f>Kermeli_2017!$H$4</c:f>
              <c:strCache>
                <c:ptCount val="1"/>
                <c:pt idx="0">
                  <c:v>10 best plants</c:v>
                </c:pt>
              </c:strCache>
            </c:strRef>
          </c:tx>
          <c:spPr>
            <a:ln>
              <a:solidFill>
                <a:schemeClr val="accent5">
                  <a:shade val="95000"/>
                  <a:satMod val="105000"/>
                  <a:alpha val="5000"/>
                </a:schemeClr>
              </a:solidFill>
            </a:ln>
            <a:effectLst>
              <a:glow rad="215900">
                <a:schemeClr val="accent1">
                  <a:satMod val="175000"/>
                  <a:alpha val="31000"/>
                </a:schemeClr>
              </a:glow>
            </a:effectLst>
          </c:spPr>
          <c:marker>
            <c:symbol val="none"/>
          </c:marker>
          <c:xVal>
            <c:numRef>
              <c:f>Kermeli_2017!$A$5:$A$131</c:f>
              <c:numCache>
                <c:formatCode>General</c:formatCode>
                <c:ptCount val="127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</c:numCache>
            </c:numRef>
          </c:xVal>
          <c:yVal>
            <c:numRef>
              <c:f>Kermeli_2017!$H$5:$H$131</c:f>
              <c:numCache>
                <c:formatCode>General</c:formatCode>
                <c:ptCount val="127"/>
                <c:pt idx="0">
                  <c:v>30.5</c:v>
                </c:pt>
                <c:pt idx="1">
                  <c:v>30.5</c:v>
                </c:pt>
                <c:pt idx="2">
                  <c:v>30.5</c:v>
                </c:pt>
                <c:pt idx="3">
                  <c:v>30.5</c:v>
                </c:pt>
                <c:pt idx="4">
                  <c:v>30.5</c:v>
                </c:pt>
                <c:pt idx="5">
                  <c:v>30.5</c:v>
                </c:pt>
                <c:pt idx="6">
                  <c:v>30.5</c:v>
                </c:pt>
                <c:pt idx="7">
                  <c:v>30.5</c:v>
                </c:pt>
                <c:pt idx="8">
                  <c:v>30.5</c:v>
                </c:pt>
                <c:pt idx="9">
                  <c:v>30.5</c:v>
                </c:pt>
                <c:pt idx="10">
                  <c:v>30.5</c:v>
                </c:pt>
                <c:pt idx="11">
                  <c:v>30.5</c:v>
                </c:pt>
                <c:pt idx="12">
                  <c:v>30.5</c:v>
                </c:pt>
                <c:pt idx="13">
                  <c:v>30.5</c:v>
                </c:pt>
                <c:pt idx="14">
                  <c:v>30.5</c:v>
                </c:pt>
                <c:pt idx="15">
                  <c:v>30.5</c:v>
                </c:pt>
                <c:pt idx="16">
                  <c:v>30.5</c:v>
                </c:pt>
                <c:pt idx="17">
                  <c:v>30.5</c:v>
                </c:pt>
                <c:pt idx="18">
                  <c:v>30.5</c:v>
                </c:pt>
                <c:pt idx="19">
                  <c:v>30.5</c:v>
                </c:pt>
                <c:pt idx="20">
                  <c:v>30.5</c:v>
                </c:pt>
                <c:pt idx="21">
                  <c:v>30.5</c:v>
                </c:pt>
                <c:pt idx="22">
                  <c:v>30.5</c:v>
                </c:pt>
                <c:pt idx="23">
                  <c:v>30.5</c:v>
                </c:pt>
                <c:pt idx="24">
                  <c:v>30.5</c:v>
                </c:pt>
                <c:pt idx="25">
                  <c:v>30.5</c:v>
                </c:pt>
                <c:pt idx="26">
                  <c:v>30.5</c:v>
                </c:pt>
                <c:pt idx="27">
                  <c:v>30.5</c:v>
                </c:pt>
                <c:pt idx="28">
                  <c:v>30.5</c:v>
                </c:pt>
                <c:pt idx="29">
                  <c:v>30.5</c:v>
                </c:pt>
                <c:pt idx="30">
                  <c:v>30.5</c:v>
                </c:pt>
                <c:pt idx="31">
                  <c:v>30.5</c:v>
                </c:pt>
                <c:pt idx="32">
                  <c:v>30.5</c:v>
                </c:pt>
                <c:pt idx="33">
                  <c:v>30.5</c:v>
                </c:pt>
                <c:pt idx="34">
                  <c:v>30.5</c:v>
                </c:pt>
                <c:pt idx="35">
                  <c:v>30.5</c:v>
                </c:pt>
                <c:pt idx="36">
                  <c:v>30.5</c:v>
                </c:pt>
                <c:pt idx="37">
                  <c:v>30.5</c:v>
                </c:pt>
                <c:pt idx="38">
                  <c:v>30.5</c:v>
                </c:pt>
                <c:pt idx="39">
                  <c:v>30.5</c:v>
                </c:pt>
                <c:pt idx="40">
                  <c:v>30.5</c:v>
                </c:pt>
                <c:pt idx="41">
                  <c:v>30.5</c:v>
                </c:pt>
                <c:pt idx="42">
                  <c:v>30.5</c:v>
                </c:pt>
                <c:pt idx="43">
                  <c:v>30.5</c:v>
                </c:pt>
                <c:pt idx="44">
                  <c:v>30.5</c:v>
                </c:pt>
                <c:pt idx="45">
                  <c:v>30.5</c:v>
                </c:pt>
                <c:pt idx="46">
                  <c:v>30.5</c:v>
                </c:pt>
                <c:pt idx="47">
                  <c:v>30.5</c:v>
                </c:pt>
                <c:pt idx="48">
                  <c:v>30.5</c:v>
                </c:pt>
                <c:pt idx="49">
                  <c:v>30.5</c:v>
                </c:pt>
                <c:pt idx="50">
                  <c:v>30.5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30.5</c:v>
                </c:pt>
                <c:pt idx="56">
                  <c:v>30.5</c:v>
                </c:pt>
                <c:pt idx="57">
                  <c:v>30.5</c:v>
                </c:pt>
                <c:pt idx="58">
                  <c:v>30.5</c:v>
                </c:pt>
                <c:pt idx="59">
                  <c:v>30.5</c:v>
                </c:pt>
                <c:pt idx="60">
                  <c:v>30.5</c:v>
                </c:pt>
                <c:pt idx="61">
                  <c:v>30.5</c:v>
                </c:pt>
                <c:pt idx="62">
                  <c:v>30.5</c:v>
                </c:pt>
                <c:pt idx="63">
                  <c:v>30.5</c:v>
                </c:pt>
                <c:pt idx="64">
                  <c:v>30.5</c:v>
                </c:pt>
                <c:pt idx="65">
                  <c:v>30.5</c:v>
                </c:pt>
                <c:pt idx="66">
                  <c:v>30.5</c:v>
                </c:pt>
                <c:pt idx="67">
                  <c:v>30.5</c:v>
                </c:pt>
                <c:pt idx="68">
                  <c:v>30.5</c:v>
                </c:pt>
                <c:pt idx="69">
                  <c:v>30.5</c:v>
                </c:pt>
                <c:pt idx="70">
                  <c:v>30.5</c:v>
                </c:pt>
                <c:pt idx="71">
                  <c:v>30.5</c:v>
                </c:pt>
                <c:pt idx="72">
                  <c:v>30.5</c:v>
                </c:pt>
                <c:pt idx="73">
                  <c:v>30.5</c:v>
                </c:pt>
                <c:pt idx="74">
                  <c:v>30.5</c:v>
                </c:pt>
                <c:pt idx="75">
                  <c:v>30.5</c:v>
                </c:pt>
                <c:pt idx="76">
                  <c:v>30.5</c:v>
                </c:pt>
                <c:pt idx="77">
                  <c:v>30.5</c:v>
                </c:pt>
                <c:pt idx="78">
                  <c:v>30.5</c:v>
                </c:pt>
                <c:pt idx="79">
                  <c:v>30.5</c:v>
                </c:pt>
                <c:pt idx="80">
                  <c:v>30.5</c:v>
                </c:pt>
                <c:pt idx="81">
                  <c:v>30.5</c:v>
                </c:pt>
                <c:pt idx="82">
                  <c:v>30.5</c:v>
                </c:pt>
                <c:pt idx="83">
                  <c:v>30.5</c:v>
                </c:pt>
                <c:pt idx="84">
                  <c:v>30.5</c:v>
                </c:pt>
                <c:pt idx="85">
                  <c:v>30.5</c:v>
                </c:pt>
                <c:pt idx="86">
                  <c:v>30.5</c:v>
                </c:pt>
                <c:pt idx="87">
                  <c:v>30.5</c:v>
                </c:pt>
                <c:pt idx="88">
                  <c:v>30.5</c:v>
                </c:pt>
                <c:pt idx="89">
                  <c:v>30.5</c:v>
                </c:pt>
                <c:pt idx="90">
                  <c:v>30.5</c:v>
                </c:pt>
                <c:pt idx="91">
                  <c:v>30.5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30.5</c:v>
                </c:pt>
                <c:pt idx="96">
                  <c:v>30.5</c:v>
                </c:pt>
                <c:pt idx="97">
                  <c:v>30.5</c:v>
                </c:pt>
                <c:pt idx="98">
                  <c:v>30.5</c:v>
                </c:pt>
                <c:pt idx="99">
                  <c:v>30.5</c:v>
                </c:pt>
                <c:pt idx="100">
                  <c:v>30.5</c:v>
                </c:pt>
                <c:pt idx="101">
                  <c:v>30.5</c:v>
                </c:pt>
                <c:pt idx="102">
                  <c:v>30.5</c:v>
                </c:pt>
                <c:pt idx="103">
                  <c:v>30.5</c:v>
                </c:pt>
                <c:pt idx="104">
                  <c:v>30.5</c:v>
                </c:pt>
                <c:pt idx="105">
                  <c:v>30.5</c:v>
                </c:pt>
                <c:pt idx="106">
                  <c:v>30.5</c:v>
                </c:pt>
                <c:pt idx="107">
                  <c:v>30.5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30.5</c:v>
                </c:pt>
                <c:pt idx="112">
                  <c:v>30.5</c:v>
                </c:pt>
                <c:pt idx="113">
                  <c:v>30.5</c:v>
                </c:pt>
                <c:pt idx="114">
                  <c:v>30.5</c:v>
                </c:pt>
                <c:pt idx="115">
                  <c:v>30.5</c:v>
                </c:pt>
                <c:pt idx="116">
                  <c:v>30.5</c:v>
                </c:pt>
                <c:pt idx="117">
                  <c:v>30.5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30.5</c:v>
                </c:pt>
                <c:pt idx="122">
                  <c:v>30.5</c:v>
                </c:pt>
                <c:pt idx="123">
                  <c:v>30.5</c:v>
                </c:pt>
                <c:pt idx="124">
                  <c:v>30.5</c:v>
                </c:pt>
                <c:pt idx="125">
                  <c:v>30.5</c:v>
                </c:pt>
                <c:pt idx="126">
                  <c:v>30.5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E8-4D98-ABC8-0B2D53FB7F03}"/>
            </c:ext>
          </c:extLst>
        </c:ser>
        <c:ser>
          <c:idx val="5"/>
          <c:order val="3"/>
          <c:tx>
            <c:strRef>
              <c:f>Kermeli_2017!$C$4</c:f>
              <c:strCache>
                <c:ptCount val="1"/>
                <c:pt idx="0">
                  <c:v>Average SEC IFA Members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</c:spPr>
          </c:marker>
          <c:xVal>
            <c:numRef>
              <c:f>Kermeli_2017!$A$5:$A$135</c:f>
              <c:numCache>
                <c:formatCode>General</c:formatCode>
                <c:ptCount val="131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  <c:pt idx="127">
                  <c:v>2011</c:v>
                </c:pt>
                <c:pt idx="128">
                  <c:v>2012</c:v>
                </c:pt>
                <c:pt idx="129">
                  <c:v>2013</c:v>
                </c:pt>
                <c:pt idx="130">
                  <c:v>2014</c:v>
                </c:pt>
              </c:numCache>
            </c:numRef>
          </c:xVal>
          <c:yVal>
            <c:numRef>
              <c:f>Kermeli_2017!$C$5:$C$135</c:f>
              <c:numCache>
                <c:formatCode>General</c:formatCode>
                <c:ptCount val="131"/>
                <c:pt idx="119">
                  <c:v>36.9</c:v>
                </c:pt>
                <c:pt idx="124">
                  <c:v>36.6</c:v>
                </c:pt>
                <c:pt idx="12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7E8-4D98-ABC8-0B2D53FB7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8072"/>
        <c:axId val="1"/>
      </c:scatterChart>
      <c:valAx>
        <c:axId val="449158072"/>
        <c:scaling>
          <c:orientation val="minMax"/>
          <c:max val="2012"/>
          <c:min val="195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7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n-US" b="1"/>
                  <a:t>Energgity</a:t>
                </a:r>
                <a:r>
                  <a:rPr lang="en-US" b="1" baseline="0"/>
                  <a:t> Intensity (GJ/tonne NH3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6608065179778524E-2"/>
              <c:y val="0.2035601951700931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915807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8466930922826466E-2"/>
          <c:y val="0.94657767454919028"/>
          <c:w val="0.89020856813540961"/>
          <c:h val="4.0066701548854167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Kermeli_2017!$J$4</c:f>
              <c:strCache>
                <c:ptCount val="1"/>
                <c:pt idx="0">
                  <c:v>Plant SEC &amp; Average IFA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8298991019179548"/>
                  <c:y val="-4.001492762282146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Kermeli_2017!$A$5:$A$133</c:f>
              <c:numCache>
                <c:formatCode>General</c:formatCode>
                <c:ptCount val="129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  <c:pt idx="127">
                  <c:v>2011</c:v>
                </c:pt>
                <c:pt idx="128">
                  <c:v>2012</c:v>
                </c:pt>
              </c:numCache>
            </c:numRef>
          </c:xVal>
          <c:yVal>
            <c:numRef>
              <c:f>Kermeli_2017!$J$5:$J$133</c:f>
              <c:numCache>
                <c:formatCode>General</c:formatCode>
                <c:ptCount val="129"/>
                <c:pt idx="0">
                  <c:v>190</c:v>
                </c:pt>
                <c:pt idx="1">
                  <c:v>147.5</c:v>
                </c:pt>
                <c:pt idx="2">
                  <c:v>117</c:v>
                </c:pt>
                <c:pt idx="3">
                  <c:v>163.9</c:v>
                </c:pt>
                <c:pt idx="4">
                  <c:v>136.80000000000001</c:v>
                </c:pt>
                <c:pt idx="5">
                  <c:v>94.5</c:v>
                </c:pt>
                <c:pt idx="6">
                  <c:v>72</c:v>
                </c:pt>
                <c:pt idx="7">
                  <c:v>81.900000000000006</c:v>
                </c:pt>
                <c:pt idx="8">
                  <c:v>84.4</c:v>
                </c:pt>
                <c:pt idx="9">
                  <c:v>88</c:v>
                </c:pt>
                <c:pt idx="10">
                  <c:v>63</c:v>
                </c:pt>
                <c:pt idx="11">
                  <c:v>45.3</c:v>
                </c:pt>
                <c:pt idx="12">
                  <c:v>65.7</c:v>
                </c:pt>
                <c:pt idx="13">
                  <c:v>67.2</c:v>
                </c:pt>
                <c:pt idx="14">
                  <c:v>54.9</c:v>
                </c:pt>
                <c:pt idx="15">
                  <c:v>63</c:v>
                </c:pt>
                <c:pt idx="16">
                  <c:v>65.14</c:v>
                </c:pt>
                <c:pt idx="17">
                  <c:v>61.21</c:v>
                </c:pt>
                <c:pt idx="18">
                  <c:v>53.72</c:v>
                </c:pt>
                <c:pt idx="20">
                  <c:v>45.9</c:v>
                </c:pt>
                <c:pt idx="21">
                  <c:v>63</c:v>
                </c:pt>
                <c:pt idx="22">
                  <c:v>51.3</c:v>
                </c:pt>
                <c:pt idx="23">
                  <c:v>60.6</c:v>
                </c:pt>
                <c:pt idx="24">
                  <c:v>46.18</c:v>
                </c:pt>
                <c:pt idx="25">
                  <c:v>52.9</c:v>
                </c:pt>
                <c:pt idx="26">
                  <c:v>44.76</c:v>
                </c:pt>
                <c:pt idx="27">
                  <c:v>45.84</c:v>
                </c:pt>
                <c:pt idx="28">
                  <c:v>54</c:v>
                </c:pt>
                <c:pt idx="30">
                  <c:v>39.5</c:v>
                </c:pt>
                <c:pt idx="31">
                  <c:v>38.4</c:v>
                </c:pt>
                <c:pt idx="32">
                  <c:v>39.299999999999997</c:v>
                </c:pt>
                <c:pt idx="33">
                  <c:v>47</c:v>
                </c:pt>
                <c:pt idx="34">
                  <c:v>50.5</c:v>
                </c:pt>
                <c:pt idx="35">
                  <c:v>36</c:v>
                </c:pt>
                <c:pt idx="36">
                  <c:v>34.9</c:v>
                </c:pt>
                <c:pt idx="37">
                  <c:v>46.5</c:v>
                </c:pt>
                <c:pt idx="38">
                  <c:v>37.6</c:v>
                </c:pt>
                <c:pt idx="39">
                  <c:v>37.200000000000003</c:v>
                </c:pt>
                <c:pt idx="40">
                  <c:v>37.700000000000003</c:v>
                </c:pt>
                <c:pt idx="41">
                  <c:v>57.9</c:v>
                </c:pt>
                <c:pt idx="42">
                  <c:v>39.799999999999997</c:v>
                </c:pt>
                <c:pt idx="43">
                  <c:v>36.700000000000003</c:v>
                </c:pt>
                <c:pt idx="44">
                  <c:v>27.1</c:v>
                </c:pt>
                <c:pt idx="45">
                  <c:v>36.200000000000003</c:v>
                </c:pt>
                <c:pt idx="46">
                  <c:v>40.9</c:v>
                </c:pt>
                <c:pt idx="47">
                  <c:v>53.1</c:v>
                </c:pt>
                <c:pt idx="48">
                  <c:v>35.200000000000003</c:v>
                </c:pt>
                <c:pt idx="49">
                  <c:v>33.89</c:v>
                </c:pt>
                <c:pt idx="50">
                  <c:v>34</c:v>
                </c:pt>
                <c:pt idx="51">
                  <c:v>55</c:v>
                </c:pt>
                <c:pt idx="52">
                  <c:v>50</c:v>
                </c:pt>
                <c:pt idx="53">
                  <c:v>46.9</c:v>
                </c:pt>
                <c:pt idx="54">
                  <c:v>54</c:v>
                </c:pt>
                <c:pt idx="55">
                  <c:v>61.9</c:v>
                </c:pt>
                <c:pt idx="56">
                  <c:v>47.3</c:v>
                </c:pt>
                <c:pt idx="57">
                  <c:v>43.5</c:v>
                </c:pt>
                <c:pt idx="58">
                  <c:v>42</c:v>
                </c:pt>
                <c:pt idx="59">
                  <c:v>38.200000000000003</c:v>
                </c:pt>
                <c:pt idx="60">
                  <c:v>30.2</c:v>
                </c:pt>
                <c:pt idx="61">
                  <c:v>27</c:v>
                </c:pt>
                <c:pt idx="62">
                  <c:v>48</c:v>
                </c:pt>
                <c:pt idx="63">
                  <c:v>30.3</c:v>
                </c:pt>
                <c:pt idx="64">
                  <c:v>47.8</c:v>
                </c:pt>
                <c:pt idx="65">
                  <c:v>42.2</c:v>
                </c:pt>
                <c:pt idx="66">
                  <c:v>41.6</c:v>
                </c:pt>
                <c:pt idx="67">
                  <c:v>44.5</c:v>
                </c:pt>
                <c:pt idx="68">
                  <c:v>39.299999999999997</c:v>
                </c:pt>
                <c:pt idx="69">
                  <c:v>41</c:v>
                </c:pt>
                <c:pt idx="70">
                  <c:v>45.3</c:v>
                </c:pt>
                <c:pt idx="71">
                  <c:v>44.4</c:v>
                </c:pt>
                <c:pt idx="72">
                  <c:v>29.1</c:v>
                </c:pt>
                <c:pt idx="73">
                  <c:v>58.6</c:v>
                </c:pt>
                <c:pt idx="74">
                  <c:v>39.4</c:v>
                </c:pt>
                <c:pt idx="75">
                  <c:v>41.5</c:v>
                </c:pt>
                <c:pt idx="76">
                  <c:v>40.799999999999997</c:v>
                </c:pt>
                <c:pt idx="77">
                  <c:v>40.1</c:v>
                </c:pt>
                <c:pt idx="78">
                  <c:v>40</c:v>
                </c:pt>
                <c:pt idx="79">
                  <c:v>42.9</c:v>
                </c:pt>
                <c:pt idx="80">
                  <c:v>58.6</c:v>
                </c:pt>
                <c:pt idx="81">
                  <c:v>37.4</c:v>
                </c:pt>
                <c:pt idx="82">
                  <c:v>33.700000000000003</c:v>
                </c:pt>
                <c:pt idx="83">
                  <c:v>41.3</c:v>
                </c:pt>
                <c:pt idx="84">
                  <c:v>35.5</c:v>
                </c:pt>
                <c:pt idx="85">
                  <c:v>56.1</c:v>
                </c:pt>
                <c:pt idx="86">
                  <c:v>37</c:v>
                </c:pt>
                <c:pt idx="87">
                  <c:v>40.4</c:v>
                </c:pt>
                <c:pt idx="88">
                  <c:v>41.6</c:v>
                </c:pt>
                <c:pt idx="89">
                  <c:v>30.7</c:v>
                </c:pt>
                <c:pt idx="90">
                  <c:v>49.8</c:v>
                </c:pt>
                <c:pt idx="91">
                  <c:v>33.5</c:v>
                </c:pt>
                <c:pt idx="92">
                  <c:v>33.5</c:v>
                </c:pt>
                <c:pt idx="93">
                  <c:v>40.1</c:v>
                </c:pt>
                <c:pt idx="94">
                  <c:v>29.4</c:v>
                </c:pt>
                <c:pt idx="95">
                  <c:v>39.299999999999997</c:v>
                </c:pt>
                <c:pt idx="96">
                  <c:v>41.3</c:v>
                </c:pt>
                <c:pt idx="97">
                  <c:v>36.200000000000003</c:v>
                </c:pt>
                <c:pt idx="98">
                  <c:v>24.5</c:v>
                </c:pt>
                <c:pt idx="99">
                  <c:v>28</c:v>
                </c:pt>
                <c:pt idx="100">
                  <c:v>48.6</c:v>
                </c:pt>
                <c:pt idx="101">
                  <c:v>47</c:v>
                </c:pt>
                <c:pt idx="102">
                  <c:v>37.700000000000003</c:v>
                </c:pt>
                <c:pt idx="103">
                  <c:v>48</c:v>
                </c:pt>
                <c:pt idx="104">
                  <c:v>28.8</c:v>
                </c:pt>
                <c:pt idx="105">
                  <c:v>50</c:v>
                </c:pt>
                <c:pt idx="106">
                  <c:v>46.05</c:v>
                </c:pt>
                <c:pt idx="107">
                  <c:v>31.9</c:v>
                </c:pt>
                <c:pt idx="108">
                  <c:v>35.6</c:v>
                </c:pt>
                <c:pt idx="109">
                  <c:v>42</c:v>
                </c:pt>
                <c:pt idx="110">
                  <c:v>36.299999999999997</c:v>
                </c:pt>
                <c:pt idx="111">
                  <c:v>35.799999999999997</c:v>
                </c:pt>
                <c:pt idx="112">
                  <c:v>22.9</c:v>
                </c:pt>
                <c:pt idx="113">
                  <c:v>31.5</c:v>
                </c:pt>
                <c:pt idx="114">
                  <c:v>28.8</c:v>
                </c:pt>
                <c:pt idx="115">
                  <c:v>30</c:v>
                </c:pt>
                <c:pt idx="116">
                  <c:v>29.7</c:v>
                </c:pt>
                <c:pt idx="119">
                  <c:v>36.9</c:v>
                </c:pt>
                <c:pt idx="124">
                  <c:v>36.6</c:v>
                </c:pt>
                <c:pt idx="12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4E-4132-9AC9-3B96234880A0}"/>
            </c:ext>
          </c:extLst>
        </c:ser>
        <c:ser>
          <c:idx val="1"/>
          <c:order val="1"/>
          <c:tx>
            <c:strRef>
              <c:f>Kermeli_2017!$O$4</c:f>
              <c:strCache>
                <c:ptCount val="1"/>
                <c:pt idx="0">
                  <c:v>Trend (Final, 1910)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Ref>
              <c:f>Kermeli_2017!$A$5:$A$141</c:f>
              <c:numCache>
                <c:formatCode>General</c:formatCode>
                <c:ptCount val="137"/>
                <c:pt idx="0">
                  <c:v>1910</c:v>
                </c:pt>
                <c:pt idx="1">
                  <c:v>1912</c:v>
                </c:pt>
                <c:pt idx="2">
                  <c:v>1915</c:v>
                </c:pt>
                <c:pt idx="3">
                  <c:v>1915</c:v>
                </c:pt>
                <c:pt idx="4">
                  <c:v>1917</c:v>
                </c:pt>
                <c:pt idx="5">
                  <c:v>1920</c:v>
                </c:pt>
                <c:pt idx="6">
                  <c:v>1930</c:v>
                </c:pt>
                <c:pt idx="7">
                  <c:v>1930</c:v>
                </c:pt>
                <c:pt idx="8">
                  <c:v>1939</c:v>
                </c:pt>
                <c:pt idx="9">
                  <c:v>1940</c:v>
                </c:pt>
                <c:pt idx="10">
                  <c:v>1940</c:v>
                </c:pt>
                <c:pt idx="11">
                  <c:v>1943</c:v>
                </c:pt>
                <c:pt idx="12">
                  <c:v>1945</c:v>
                </c:pt>
                <c:pt idx="13">
                  <c:v>1948</c:v>
                </c:pt>
                <c:pt idx="14">
                  <c:v>1950</c:v>
                </c:pt>
                <c:pt idx="15">
                  <c:v>1950</c:v>
                </c:pt>
                <c:pt idx="16">
                  <c:v>1952</c:v>
                </c:pt>
                <c:pt idx="17">
                  <c:v>1953</c:v>
                </c:pt>
                <c:pt idx="18">
                  <c:v>1955</c:v>
                </c:pt>
                <c:pt idx="19">
                  <c:v>1955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1961</c:v>
                </c:pt>
                <c:pt idx="24">
                  <c:v>1961</c:v>
                </c:pt>
                <c:pt idx="25">
                  <c:v>1963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1966</c:v>
                </c:pt>
                <c:pt idx="31">
                  <c:v>1966</c:v>
                </c:pt>
                <c:pt idx="32">
                  <c:v>1966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1973</c:v>
                </c:pt>
                <c:pt idx="39">
                  <c:v>1973</c:v>
                </c:pt>
                <c:pt idx="40">
                  <c:v>1973</c:v>
                </c:pt>
                <c:pt idx="41">
                  <c:v>1973</c:v>
                </c:pt>
                <c:pt idx="42">
                  <c:v>1975</c:v>
                </c:pt>
                <c:pt idx="43">
                  <c:v>1975</c:v>
                </c:pt>
                <c:pt idx="44">
                  <c:v>1975</c:v>
                </c:pt>
                <c:pt idx="45">
                  <c:v>1975</c:v>
                </c:pt>
                <c:pt idx="46">
                  <c:v>1975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1979</c:v>
                </c:pt>
                <c:pt idx="55">
                  <c:v>1979</c:v>
                </c:pt>
                <c:pt idx="56">
                  <c:v>1979</c:v>
                </c:pt>
                <c:pt idx="57">
                  <c:v>1980</c:v>
                </c:pt>
                <c:pt idx="58">
                  <c:v>1980</c:v>
                </c:pt>
                <c:pt idx="59">
                  <c:v>1980</c:v>
                </c:pt>
                <c:pt idx="60">
                  <c:v>1980</c:v>
                </c:pt>
                <c:pt idx="61">
                  <c:v>1980</c:v>
                </c:pt>
                <c:pt idx="62">
                  <c:v>1980</c:v>
                </c:pt>
                <c:pt idx="63">
                  <c:v>1980</c:v>
                </c:pt>
                <c:pt idx="64">
                  <c:v>1981</c:v>
                </c:pt>
                <c:pt idx="65">
                  <c:v>1981</c:v>
                </c:pt>
                <c:pt idx="66">
                  <c:v>1982</c:v>
                </c:pt>
                <c:pt idx="67">
                  <c:v>1982</c:v>
                </c:pt>
                <c:pt idx="68">
                  <c:v>1982</c:v>
                </c:pt>
                <c:pt idx="69">
                  <c:v>1983</c:v>
                </c:pt>
                <c:pt idx="70">
                  <c:v>1983</c:v>
                </c:pt>
                <c:pt idx="71">
                  <c:v>1983</c:v>
                </c:pt>
                <c:pt idx="72">
                  <c:v>1983</c:v>
                </c:pt>
                <c:pt idx="73">
                  <c:v>1983</c:v>
                </c:pt>
                <c:pt idx="74">
                  <c:v>1983</c:v>
                </c:pt>
                <c:pt idx="75">
                  <c:v>1984</c:v>
                </c:pt>
                <c:pt idx="76">
                  <c:v>1984</c:v>
                </c:pt>
                <c:pt idx="77">
                  <c:v>1985</c:v>
                </c:pt>
                <c:pt idx="78">
                  <c:v>1985</c:v>
                </c:pt>
                <c:pt idx="79">
                  <c:v>1985</c:v>
                </c:pt>
                <c:pt idx="80">
                  <c:v>1985</c:v>
                </c:pt>
                <c:pt idx="81">
                  <c:v>1985</c:v>
                </c:pt>
                <c:pt idx="82">
                  <c:v>1985</c:v>
                </c:pt>
                <c:pt idx="83">
                  <c:v>1986</c:v>
                </c:pt>
                <c:pt idx="84">
                  <c:v>1986</c:v>
                </c:pt>
                <c:pt idx="85">
                  <c:v>1986</c:v>
                </c:pt>
                <c:pt idx="86">
                  <c:v>1987</c:v>
                </c:pt>
                <c:pt idx="87">
                  <c:v>1987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1989</c:v>
                </c:pt>
                <c:pt idx="93">
                  <c:v>1989</c:v>
                </c:pt>
                <c:pt idx="94">
                  <c:v>1990</c:v>
                </c:pt>
                <c:pt idx="95">
                  <c:v>1990</c:v>
                </c:pt>
                <c:pt idx="96">
                  <c:v>1990</c:v>
                </c:pt>
                <c:pt idx="97">
                  <c:v>1990</c:v>
                </c:pt>
                <c:pt idx="98">
                  <c:v>1990</c:v>
                </c:pt>
                <c:pt idx="99">
                  <c:v>1991</c:v>
                </c:pt>
                <c:pt idx="100">
                  <c:v>1991</c:v>
                </c:pt>
                <c:pt idx="101">
                  <c:v>1992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1994</c:v>
                </c:pt>
                <c:pt idx="106">
                  <c:v>1994</c:v>
                </c:pt>
                <c:pt idx="107">
                  <c:v>1995</c:v>
                </c:pt>
                <c:pt idx="108">
                  <c:v>1995</c:v>
                </c:pt>
                <c:pt idx="109">
                  <c:v>1995</c:v>
                </c:pt>
                <c:pt idx="110">
                  <c:v>1996</c:v>
                </c:pt>
                <c:pt idx="111">
                  <c:v>1997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2001</c:v>
                </c:pt>
                <c:pt idx="116">
                  <c:v>2001</c:v>
                </c:pt>
                <c:pt idx="117">
                  <c:v>2002</c:v>
                </c:pt>
                <c:pt idx="118">
                  <c:v>2003</c:v>
                </c:pt>
                <c:pt idx="119">
                  <c:v>2004</c:v>
                </c:pt>
                <c:pt idx="120">
                  <c:v>2005</c:v>
                </c:pt>
                <c:pt idx="121">
                  <c:v>2005</c:v>
                </c:pt>
                <c:pt idx="122">
                  <c:v>2006</c:v>
                </c:pt>
                <c:pt idx="123">
                  <c:v>2007</c:v>
                </c:pt>
                <c:pt idx="124">
                  <c:v>2008</c:v>
                </c:pt>
                <c:pt idx="125">
                  <c:v>2009</c:v>
                </c:pt>
                <c:pt idx="126">
                  <c:v>2010</c:v>
                </c:pt>
                <c:pt idx="127">
                  <c:v>2011</c:v>
                </c:pt>
                <c:pt idx="128">
                  <c:v>2012</c:v>
                </c:pt>
                <c:pt idx="129">
                  <c:v>2013</c:v>
                </c:pt>
                <c:pt idx="130">
                  <c:v>2014</c:v>
                </c:pt>
                <c:pt idx="131">
                  <c:v>2015</c:v>
                </c:pt>
                <c:pt idx="132">
                  <c:v>2016</c:v>
                </c:pt>
                <c:pt idx="133">
                  <c:v>2017</c:v>
                </c:pt>
                <c:pt idx="134">
                  <c:v>2018</c:v>
                </c:pt>
                <c:pt idx="135">
                  <c:v>2019</c:v>
                </c:pt>
                <c:pt idx="136">
                  <c:v>2020</c:v>
                </c:pt>
              </c:numCache>
            </c:numRef>
          </c:xVal>
          <c:yVal>
            <c:numRef>
              <c:f>Kermeli_2017!$O$5:$O$141</c:f>
              <c:numCache>
                <c:formatCode>0.00</c:formatCode>
                <c:ptCount val="137"/>
                <c:pt idx="0">
                  <c:v>141.39123810888066</c:v>
                </c:pt>
                <c:pt idx="1">
                  <c:v>139.39348848985949</c:v>
                </c:pt>
                <c:pt idx="2">
                  <c:v>137.42396553886726</c:v>
                </c:pt>
                <c:pt idx="3">
                  <c:v>135.48227043476066</c:v>
                </c:pt>
                <c:pt idx="4">
                  <c:v>133.5680099914315</c:v>
                </c:pt>
                <c:pt idx="5">
                  <c:v>131.68079657819075</c:v>
                </c:pt>
                <c:pt idx="6">
                  <c:v>129.82024804127332</c:v>
                </c:pt>
                <c:pt idx="7">
                  <c:v>127.98598762645207</c:v>
                </c:pt>
                <c:pt idx="8">
                  <c:v>126.17764390274951</c:v>
                </c:pt>
                <c:pt idx="9">
                  <c:v>124.39485068722087</c:v>
                </c:pt>
                <c:pt idx="10">
                  <c:v>122.63724697080654</c:v>
                </c:pt>
                <c:pt idx="11">
                  <c:v>120.90447684522771</c:v>
                </c:pt>
                <c:pt idx="12">
                  <c:v>119.19618943091488</c:v>
                </c:pt>
                <c:pt idx="13">
                  <c:v>117.51203880595881</c:v>
                </c:pt>
                <c:pt idx="14">
                  <c:v>115.85168393606111</c:v>
                </c:pt>
                <c:pt idx="15">
                  <c:v>114.21478860547492</c:v>
                </c:pt>
                <c:pt idx="16">
                  <c:v>112.60102134892493</c:v>
                </c:pt>
                <c:pt idx="17">
                  <c:v>111.0100553844857</c:v>
                </c:pt>
                <c:pt idx="18">
                  <c:v>109.44156854740818</c:v>
                </c:pt>
                <c:pt idx="19">
                  <c:v>107.89524322488539</c:v>
                </c:pt>
                <c:pt idx="20">
                  <c:v>106.37076629173394</c:v>
                </c:pt>
                <c:pt idx="21">
                  <c:v>104.86782904698997</c:v>
                </c:pt>
                <c:pt idx="22">
                  <c:v>103.38612715139712</c:v>
                </c:pt>
                <c:pt idx="23">
                  <c:v>101.92536056577794</c:v>
                </c:pt>
                <c:pt idx="24">
                  <c:v>100.48523349027927</c:v>
                </c:pt>
                <c:pt idx="25">
                  <c:v>99.065454304472709</c:v>
                </c:pt>
                <c:pt idx="26">
                  <c:v>97.665735508301495</c:v>
                </c:pt>
                <c:pt idx="27">
                  <c:v>96.285793663864979</c:v>
                </c:pt>
                <c:pt idx="28">
                  <c:v>94.925349338022357</c:v>
                </c:pt>
                <c:pt idx="29">
                  <c:v>93.584127045807534</c:v>
                </c:pt>
                <c:pt idx="30">
                  <c:v>92.261855194646742</c:v>
                </c:pt>
                <c:pt idx="31">
                  <c:v>90.95826602935945</c:v>
                </c:pt>
                <c:pt idx="32">
                  <c:v>89.673095577941197</c:v>
                </c:pt>
                <c:pt idx="33">
                  <c:v>88.406083598109149</c:v>
                </c:pt>
                <c:pt idx="34">
                  <c:v>87.156973524603231</c:v>
                </c:pt>
                <c:pt idx="35">
                  <c:v>85.925512417234387</c:v>
                </c:pt>
                <c:pt idx="36">
                  <c:v>84.711450909664165</c:v>
                </c:pt>
                <c:pt idx="37">
                  <c:v>83.514543158908126</c:v>
                </c:pt>
                <c:pt idx="38">
                  <c:v>82.334546795555283</c:v>
                </c:pt>
                <c:pt idx="39">
                  <c:v>81.171222874688297</c:v>
                </c:pt>
                <c:pt idx="40">
                  <c:v>80.024335827497183</c:v>
                </c:pt>
                <c:pt idx="41">
                  <c:v>78.893653413579457</c:v>
                </c:pt>
                <c:pt idx="42">
                  <c:v>77.778946673910085</c:v>
                </c:pt>
                <c:pt idx="43">
                  <c:v>76.679989884480065</c:v>
                </c:pt>
                <c:pt idx="44">
                  <c:v>75.596560510587281</c:v>
                </c:pt>
                <c:pt idx="45">
                  <c:v>74.528439161773306</c:v>
                </c:pt>
                <c:pt idx="46">
                  <c:v>73.475409547399181</c:v>
                </c:pt>
                <c:pt idx="47">
                  <c:v>72.43725843284659</c:v>
                </c:pt>
                <c:pt idx="48">
                  <c:v>71.413775596337871</c:v>
                </c:pt>
                <c:pt idx="49">
                  <c:v>70.404753786368403</c:v>
                </c:pt>
                <c:pt idx="50">
                  <c:v>69.409988679738149</c:v>
                </c:pt>
                <c:pt idx="51">
                  <c:v>68.429278840176323</c:v>
                </c:pt>
                <c:pt idx="52">
                  <c:v>67.462425677552829</c:v>
                </c:pt>
                <c:pt idx="53">
                  <c:v>66.509233407662734</c:v>
                </c:pt>
                <c:pt idx="54">
                  <c:v>65.569509012582259</c:v>
                </c:pt>
                <c:pt idx="55">
                  <c:v>64.643062201582651</c:v>
                </c:pt>
                <c:pt idx="56">
                  <c:v>63.729705372596349</c:v>
                </c:pt>
                <c:pt idx="57">
                  <c:v>62.829253574229654</c:v>
                </c:pt>
                <c:pt idx="58">
                  <c:v>61.941524468309993</c:v>
                </c:pt>
                <c:pt idx="59">
                  <c:v>61.066338292962506</c:v>
                </c:pt>
                <c:pt idx="60">
                  <c:v>60.203517826210465</c:v>
                </c:pt>
                <c:pt idx="61">
                  <c:v>59.352888350086708</c:v>
                </c:pt>
                <c:pt idx="62">
                  <c:v>58.514277615255438</c:v>
                </c:pt>
                <c:pt idx="63">
                  <c:v>57.687515806131678</c:v>
                </c:pt>
                <c:pt idx="64">
                  <c:v>56.872435506493659</c:v>
                </c:pt>
                <c:pt idx="65">
                  <c:v>56.068871665582869</c:v>
                </c:pt>
                <c:pt idx="66">
                  <c:v>55.276661564681277</c:v>
                </c:pt>
                <c:pt idx="67">
                  <c:v>54.495644784160795</c:v>
                </c:pt>
                <c:pt idx="68">
                  <c:v>53.725663171000058</c:v>
                </c:pt>
                <c:pt idx="69">
                  <c:v>52.966560806758451</c:v>
                </c:pt>
                <c:pt idx="70">
                  <c:v>52.218183976002649</c:v>
                </c:pt>
                <c:pt idx="71">
                  <c:v>51.480381135181077</c:v>
                </c:pt>
                <c:pt idx="72">
                  <c:v>50.753002881935465</c:v>
                </c:pt>
                <c:pt idx="73">
                  <c:v>50.035901924848659</c:v>
                </c:pt>
                <c:pt idx="74">
                  <c:v>49.328933053618137</c:v>
                </c:pt>
                <c:pt idx="75">
                  <c:v>48.631953109650894</c:v>
                </c:pt>
                <c:pt idx="76">
                  <c:v>47.944820957075457</c:v>
                </c:pt>
                <c:pt idx="77">
                  <c:v>47.267397454161845</c:v>
                </c:pt>
                <c:pt idx="78">
                  <c:v>46.599545425145315</c:v>
                </c:pt>
                <c:pt idx="79">
                  <c:v>45.941129632449908</c:v>
                </c:pt>
                <c:pt idx="80">
                  <c:v>45.292016749302718</c:v>
                </c:pt>
                <c:pt idx="81">
                  <c:v>44.652075332735294</c:v>
                </c:pt>
                <c:pt idx="82">
                  <c:v>44.021175796968009</c:v>
                </c:pt>
                <c:pt idx="83">
                  <c:v>43.399190387168183</c:v>
                </c:pt>
                <c:pt idx="84">
                  <c:v>42.785993153581281</c:v>
                </c:pt>
                <c:pt idx="85">
                  <c:v>42.181459926026079</c:v>
                </c:pt>
                <c:pt idx="86">
                  <c:v>41.585468288750199</c:v>
                </c:pt>
                <c:pt idx="87">
                  <c:v>40.997897555642304</c:v>
                </c:pt>
                <c:pt idx="88">
                  <c:v>40.418628745793129</c:v>
                </c:pt>
                <c:pt idx="89">
                  <c:v>39.847544559401847</c:v>
                </c:pt>
                <c:pt idx="90">
                  <c:v>39.28452935402418</c:v>
                </c:pt>
                <c:pt idx="91">
                  <c:v>38.729469121154779</c:v>
                </c:pt>
                <c:pt idx="92">
                  <c:v>38.18225146314051</c:v>
                </c:pt>
                <c:pt idx="93">
                  <c:v>37.642765570421325</c:v>
                </c:pt>
                <c:pt idx="94">
                  <c:v>37.110902199090617</c:v>
                </c:pt>
                <c:pt idx="95">
                  <c:v>36.586553648774689</c:v>
                </c:pt>
                <c:pt idx="96">
                  <c:v>36.069613740823435</c:v>
                </c:pt>
                <c:pt idx="97">
                  <c:v>35.559977796809129</c:v>
                </c:pt>
                <c:pt idx="98">
                  <c:v>35.057542617330249</c:v>
                </c:pt>
                <c:pt idx="99">
                  <c:v>34.562206461113554</c:v>
                </c:pt>
                <c:pt idx="100">
                  <c:v>34.073869024411501</c:v>
                </c:pt>
                <c:pt idx="101">
                  <c:v>33.592431420691838</c:v>
                </c:pt>
                <c:pt idx="102">
                  <c:v>33.117796160613089</c:v>
                </c:pt>
                <c:pt idx="103">
                  <c:v>32.649867132282935</c:v>
                </c:pt>
                <c:pt idx="104">
                  <c:v>32.188549581796778</c:v>
                </c:pt>
                <c:pt idx="105">
                  <c:v>31.733750094049459</c:v>
                </c:pt>
                <c:pt idx="106">
                  <c:v>31.285376573819857</c:v>
                </c:pt>
                <c:pt idx="107">
                  <c:v>30.843338227121617</c:v>
                </c:pt>
                <c:pt idx="108">
                  <c:v>30.407545542817349</c:v>
                </c:pt>
                <c:pt idx="109">
                  <c:v>29.977910274493627</c:v>
                </c:pt>
                <c:pt idx="110">
                  <c:v>29.55434542259108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4E-4132-9AC9-3B96234880A0}"/>
            </c:ext>
          </c:extLst>
        </c:ser>
        <c:ser>
          <c:idx val="2"/>
          <c:order val="2"/>
          <c:tx>
            <c:strRef>
              <c:f>Kermeli_2017!$O$5</c:f>
              <c:strCache>
                <c:ptCount val="1"/>
                <c:pt idx="0">
                  <c:v>141.39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Kermeli_2017!$N$5:$N$115</c:f>
              <c:numCache>
                <c:formatCode>General</c:formatCode>
                <c:ptCount val="111"/>
                <c:pt idx="0">
                  <c:v>1910</c:v>
                </c:pt>
                <c:pt idx="1">
                  <c:v>1911</c:v>
                </c:pt>
                <c:pt idx="2">
                  <c:v>1912</c:v>
                </c:pt>
                <c:pt idx="3">
                  <c:v>1913</c:v>
                </c:pt>
                <c:pt idx="4">
                  <c:v>1914</c:v>
                </c:pt>
                <c:pt idx="5">
                  <c:v>1915</c:v>
                </c:pt>
                <c:pt idx="6">
                  <c:v>1916</c:v>
                </c:pt>
                <c:pt idx="7">
                  <c:v>1917</c:v>
                </c:pt>
                <c:pt idx="8">
                  <c:v>1918</c:v>
                </c:pt>
                <c:pt idx="9">
                  <c:v>1919</c:v>
                </c:pt>
                <c:pt idx="10">
                  <c:v>1920</c:v>
                </c:pt>
                <c:pt idx="11">
                  <c:v>1921</c:v>
                </c:pt>
                <c:pt idx="12">
                  <c:v>1922</c:v>
                </c:pt>
                <c:pt idx="13">
                  <c:v>1923</c:v>
                </c:pt>
                <c:pt idx="14">
                  <c:v>1924</c:v>
                </c:pt>
                <c:pt idx="15">
                  <c:v>1925</c:v>
                </c:pt>
                <c:pt idx="16">
                  <c:v>1926</c:v>
                </c:pt>
                <c:pt idx="17">
                  <c:v>1927</c:v>
                </c:pt>
                <c:pt idx="18">
                  <c:v>1928</c:v>
                </c:pt>
                <c:pt idx="19">
                  <c:v>1929</c:v>
                </c:pt>
                <c:pt idx="20">
                  <c:v>1930</c:v>
                </c:pt>
                <c:pt idx="21">
                  <c:v>1931</c:v>
                </c:pt>
                <c:pt idx="22">
                  <c:v>1932</c:v>
                </c:pt>
                <c:pt idx="23">
                  <c:v>1933</c:v>
                </c:pt>
                <c:pt idx="24">
                  <c:v>1934</c:v>
                </c:pt>
                <c:pt idx="25">
                  <c:v>1935</c:v>
                </c:pt>
                <c:pt idx="26">
                  <c:v>1936</c:v>
                </c:pt>
                <c:pt idx="27">
                  <c:v>1937</c:v>
                </c:pt>
                <c:pt idx="28">
                  <c:v>1938</c:v>
                </c:pt>
                <c:pt idx="29">
                  <c:v>1939</c:v>
                </c:pt>
                <c:pt idx="30">
                  <c:v>1940</c:v>
                </c:pt>
                <c:pt idx="31">
                  <c:v>1941</c:v>
                </c:pt>
                <c:pt idx="32">
                  <c:v>1942</c:v>
                </c:pt>
                <c:pt idx="33">
                  <c:v>1943</c:v>
                </c:pt>
                <c:pt idx="34">
                  <c:v>1944</c:v>
                </c:pt>
                <c:pt idx="35">
                  <c:v>1945</c:v>
                </c:pt>
                <c:pt idx="36">
                  <c:v>1946</c:v>
                </c:pt>
                <c:pt idx="37">
                  <c:v>1947</c:v>
                </c:pt>
                <c:pt idx="38">
                  <c:v>1948</c:v>
                </c:pt>
                <c:pt idx="39">
                  <c:v>1949</c:v>
                </c:pt>
                <c:pt idx="40">
                  <c:v>1950</c:v>
                </c:pt>
                <c:pt idx="41">
                  <c:v>1951</c:v>
                </c:pt>
                <c:pt idx="42">
                  <c:v>1952</c:v>
                </c:pt>
                <c:pt idx="43">
                  <c:v>1953</c:v>
                </c:pt>
                <c:pt idx="44">
                  <c:v>1954</c:v>
                </c:pt>
                <c:pt idx="45">
                  <c:v>1955</c:v>
                </c:pt>
                <c:pt idx="46">
                  <c:v>1956</c:v>
                </c:pt>
                <c:pt idx="47">
                  <c:v>1957</c:v>
                </c:pt>
                <c:pt idx="48">
                  <c:v>1958</c:v>
                </c:pt>
                <c:pt idx="49">
                  <c:v>1959</c:v>
                </c:pt>
                <c:pt idx="50">
                  <c:v>1960</c:v>
                </c:pt>
                <c:pt idx="51">
                  <c:v>1961</c:v>
                </c:pt>
                <c:pt idx="52">
                  <c:v>1962</c:v>
                </c:pt>
                <c:pt idx="53">
                  <c:v>1963</c:v>
                </c:pt>
                <c:pt idx="54">
                  <c:v>1964</c:v>
                </c:pt>
                <c:pt idx="55">
                  <c:v>1965</c:v>
                </c:pt>
                <c:pt idx="56">
                  <c:v>1966</c:v>
                </c:pt>
                <c:pt idx="57">
                  <c:v>1967</c:v>
                </c:pt>
                <c:pt idx="58">
                  <c:v>1968</c:v>
                </c:pt>
                <c:pt idx="59">
                  <c:v>1969</c:v>
                </c:pt>
                <c:pt idx="60">
                  <c:v>1970</c:v>
                </c:pt>
                <c:pt idx="61">
                  <c:v>1971</c:v>
                </c:pt>
                <c:pt idx="62">
                  <c:v>1972</c:v>
                </c:pt>
                <c:pt idx="63">
                  <c:v>1973</c:v>
                </c:pt>
                <c:pt idx="64">
                  <c:v>1974</c:v>
                </c:pt>
                <c:pt idx="65">
                  <c:v>1975</c:v>
                </c:pt>
                <c:pt idx="66">
                  <c:v>1976</c:v>
                </c:pt>
                <c:pt idx="67">
                  <c:v>1977</c:v>
                </c:pt>
                <c:pt idx="68">
                  <c:v>1978</c:v>
                </c:pt>
                <c:pt idx="69">
                  <c:v>1979</c:v>
                </c:pt>
                <c:pt idx="70">
                  <c:v>1980</c:v>
                </c:pt>
                <c:pt idx="71">
                  <c:v>1981</c:v>
                </c:pt>
                <c:pt idx="72">
                  <c:v>1982</c:v>
                </c:pt>
                <c:pt idx="73">
                  <c:v>1983</c:v>
                </c:pt>
                <c:pt idx="74">
                  <c:v>1984</c:v>
                </c:pt>
                <c:pt idx="75">
                  <c:v>1985</c:v>
                </c:pt>
                <c:pt idx="76">
                  <c:v>1986</c:v>
                </c:pt>
                <c:pt idx="77">
                  <c:v>1987</c:v>
                </c:pt>
                <c:pt idx="78">
                  <c:v>1988</c:v>
                </c:pt>
                <c:pt idx="79">
                  <c:v>1989</c:v>
                </c:pt>
                <c:pt idx="80">
                  <c:v>1990</c:v>
                </c:pt>
                <c:pt idx="81">
                  <c:v>1991</c:v>
                </c:pt>
                <c:pt idx="82">
                  <c:v>1992</c:v>
                </c:pt>
                <c:pt idx="83">
                  <c:v>1993</c:v>
                </c:pt>
                <c:pt idx="84">
                  <c:v>1994</c:v>
                </c:pt>
                <c:pt idx="85">
                  <c:v>1995</c:v>
                </c:pt>
                <c:pt idx="86">
                  <c:v>1996</c:v>
                </c:pt>
                <c:pt idx="87">
                  <c:v>1997</c:v>
                </c:pt>
                <c:pt idx="88">
                  <c:v>1998</c:v>
                </c:pt>
                <c:pt idx="89">
                  <c:v>1999</c:v>
                </c:pt>
                <c:pt idx="90">
                  <c:v>2000</c:v>
                </c:pt>
                <c:pt idx="91">
                  <c:v>2001</c:v>
                </c:pt>
                <c:pt idx="92">
                  <c:v>2002</c:v>
                </c:pt>
                <c:pt idx="93">
                  <c:v>2003</c:v>
                </c:pt>
                <c:pt idx="94">
                  <c:v>2004</c:v>
                </c:pt>
                <c:pt idx="95">
                  <c:v>2005</c:v>
                </c:pt>
                <c:pt idx="96">
                  <c:v>2006</c:v>
                </c:pt>
                <c:pt idx="97">
                  <c:v>2007</c:v>
                </c:pt>
                <c:pt idx="98">
                  <c:v>2008</c:v>
                </c:pt>
                <c:pt idx="99">
                  <c:v>2009</c:v>
                </c:pt>
                <c:pt idx="100">
                  <c:v>2010</c:v>
                </c:pt>
                <c:pt idx="101">
                  <c:v>2011</c:v>
                </c:pt>
                <c:pt idx="102">
                  <c:v>2012</c:v>
                </c:pt>
                <c:pt idx="103">
                  <c:v>2013</c:v>
                </c:pt>
                <c:pt idx="104">
                  <c:v>2014</c:v>
                </c:pt>
                <c:pt idx="105">
                  <c:v>2015</c:v>
                </c:pt>
                <c:pt idx="106">
                  <c:v>2016</c:v>
                </c:pt>
                <c:pt idx="107">
                  <c:v>2017</c:v>
                </c:pt>
                <c:pt idx="108">
                  <c:v>2018</c:v>
                </c:pt>
                <c:pt idx="109">
                  <c:v>2019</c:v>
                </c:pt>
                <c:pt idx="110">
                  <c:v>2020</c:v>
                </c:pt>
              </c:numCache>
            </c:numRef>
          </c:xVal>
          <c:yVal>
            <c:numRef>
              <c:f>Kermeli_2017!$O$5:$O$115</c:f>
              <c:numCache>
                <c:formatCode>0.00</c:formatCode>
                <c:ptCount val="111"/>
                <c:pt idx="0">
                  <c:v>141.39123810888066</c:v>
                </c:pt>
                <c:pt idx="1">
                  <c:v>139.39348848985949</c:v>
                </c:pt>
                <c:pt idx="2">
                  <c:v>137.42396553886726</c:v>
                </c:pt>
                <c:pt idx="3">
                  <c:v>135.48227043476066</c:v>
                </c:pt>
                <c:pt idx="4">
                  <c:v>133.5680099914315</c:v>
                </c:pt>
                <c:pt idx="5">
                  <c:v>131.68079657819075</c:v>
                </c:pt>
                <c:pt idx="6">
                  <c:v>129.82024804127332</c:v>
                </c:pt>
                <c:pt idx="7">
                  <c:v>127.98598762645207</c:v>
                </c:pt>
                <c:pt idx="8">
                  <c:v>126.17764390274951</c:v>
                </c:pt>
                <c:pt idx="9">
                  <c:v>124.39485068722087</c:v>
                </c:pt>
                <c:pt idx="10">
                  <c:v>122.63724697080654</c:v>
                </c:pt>
                <c:pt idx="11">
                  <c:v>120.90447684522771</c:v>
                </c:pt>
                <c:pt idx="12">
                  <c:v>119.19618943091488</c:v>
                </c:pt>
                <c:pt idx="13">
                  <c:v>117.51203880595881</c:v>
                </c:pt>
                <c:pt idx="14">
                  <c:v>115.85168393606111</c:v>
                </c:pt>
                <c:pt idx="15">
                  <c:v>114.21478860547492</c:v>
                </c:pt>
                <c:pt idx="16">
                  <c:v>112.60102134892493</c:v>
                </c:pt>
                <c:pt idx="17">
                  <c:v>111.0100553844857</c:v>
                </c:pt>
                <c:pt idx="18">
                  <c:v>109.44156854740818</c:v>
                </c:pt>
                <c:pt idx="19">
                  <c:v>107.89524322488539</c:v>
                </c:pt>
                <c:pt idx="20">
                  <c:v>106.37076629173394</c:v>
                </c:pt>
                <c:pt idx="21">
                  <c:v>104.86782904698997</c:v>
                </c:pt>
                <c:pt idx="22">
                  <c:v>103.38612715139712</c:v>
                </c:pt>
                <c:pt idx="23">
                  <c:v>101.92536056577794</c:v>
                </c:pt>
                <c:pt idx="24">
                  <c:v>100.48523349027927</c:v>
                </c:pt>
                <c:pt idx="25">
                  <c:v>99.065454304472709</c:v>
                </c:pt>
                <c:pt idx="26">
                  <c:v>97.665735508301495</c:v>
                </c:pt>
                <c:pt idx="27">
                  <c:v>96.285793663864979</c:v>
                </c:pt>
                <c:pt idx="28">
                  <c:v>94.925349338022357</c:v>
                </c:pt>
                <c:pt idx="29">
                  <c:v>93.584127045807534</c:v>
                </c:pt>
                <c:pt idx="30">
                  <c:v>92.261855194646742</c:v>
                </c:pt>
                <c:pt idx="31">
                  <c:v>90.95826602935945</c:v>
                </c:pt>
                <c:pt idx="32">
                  <c:v>89.673095577941197</c:v>
                </c:pt>
                <c:pt idx="33">
                  <c:v>88.406083598109149</c:v>
                </c:pt>
                <c:pt idx="34">
                  <c:v>87.156973524603231</c:v>
                </c:pt>
                <c:pt idx="35">
                  <c:v>85.925512417234387</c:v>
                </c:pt>
                <c:pt idx="36">
                  <c:v>84.711450909664165</c:v>
                </c:pt>
                <c:pt idx="37">
                  <c:v>83.514543158908126</c:v>
                </c:pt>
                <c:pt idx="38">
                  <c:v>82.334546795555283</c:v>
                </c:pt>
                <c:pt idx="39">
                  <c:v>81.171222874688297</c:v>
                </c:pt>
                <c:pt idx="40">
                  <c:v>80.024335827497183</c:v>
                </c:pt>
                <c:pt idx="41">
                  <c:v>78.893653413579457</c:v>
                </c:pt>
                <c:pt idx="42">
                  <c:v>77.778946673910085</c:v>
                </c:pt>
                <c:pt idx="43">
                  <c:v>76.679989884480065</c:v>
                </c:pt>
                <c:pt idx="44">
                  <c:v>75.596560510587281</c:v>
                </c:pt>
                <c:pt idx="45">
                  <c:v>74.528439161773306</c:v>
                </c:pt>
                <c:pt idx="46">
                  <c:v>73.475409547399181</c:v>
                </c:pt>
                <c:pt idx="47">
                  <c:v>72.43725843284659</c:v>
                </c:pt>
                <c:pt idx="48">
                  <c:v>71.413775596337871</c:v>
                </c:pt>
                <c:pt idx="49">
                  <c:v>70.404753786368403</c:v>
                </c:pt>
                <c:pt idx="50">
                  <c:v>69.409988679738149</c:v>
                </c:pt>
                <c:pt idx="51">
                  <c:v>68.429278840176323</c:v>
                </c:pt>
                <c:pt idx="52">
                  <c:v>67.462425677552829</c:v>
                </c:pt>
                <c:pt idx="53">
                  <c:v>66.509233407662734</c:v>
                </c:pt>
                <c:pt idx="54">
                  <c:v>65.569509012582259</c:v>
                </c:pt>
                <c:pt idx="55">
                  <c:v>64.643062201582651</c:v>
                </c:pt>
                <c:pt idx="56">
                  <c:v>63.729705372596349</c:v>
                </c:pt>
                <c:pt idx="57">
                  <c:v>62.829253574229654</c:v>
                </c:pt>
                <c:pt idx="58">
                  <c:v>61.941524468309993</c:v>
                </c:pt>
                <c:pt idx="59">
                  <c:v>61.066338292962506</c:v>
                </c:pt>
                <c:pt idx="60">
                  <c:v>60.203517826210465</c:v>
                </c:pt>
                <c:pt idx="61">
                  <c:v>59.352888350086708</c:v>
                </c:pt>
                <c:pt idx="62">
                  <c:v>58.514277615255438</c:v>
                </c:pt>
                <c:pt idx="63">
                  <c:v>57.687515806131678</c:v>
                </c:pt>
                <c:pt idx="64">
                  <c:v>56.872435506493659</c:v>
                </c:pt>
                <c:pt idx="65">
                  <c:v>56.068871665582869</c:v>
                </c:pt>
                <c:pt idx="66">
                  <c:v>55.276661564681277</c:v>
                </c:pt>
                <c:pt idx="67">
                  <c:v>54.495644784160795</c:v>
                </c:pt>
                <c:pt idx="68">
                  <c:v>53.725663171000058</c:v>
                </c:pt>
                <c:pt idx="69">
                  <c:v>52.966560806758451</c:v>
                </c:pt>
                <c:pt idx="70">
                  <c:v>52.218183976002649</c:v>
                </c:pt>
                <c:pt idx="71">
                  <c:v>51.480381135181077</c:v>
                </c:pt>
                <c:pt idx="72">
                  <c:v>50.753002881935465</c:v>
                </c:pt>
                <c:pt idx="73">
                  <c:v>50.035901924848659</c:v>
                </c:pt>
                <c:pt idx="74">
                  <c:v>49.328933053618137</c:v>
                </c:pt>
                <c:pt idx="75">
                  <c:v>48.631953109650894</c:v>
                </c:pt>
                <c:pt idx="76">
                  <c:v>47.944820957075457</c:v>
                </c:pt>
                <c:pt idx="77">
                  <c:v>47.267397454161845</c:v>
                </c:pt>
                <c:pt idx="78">
                  <c:v>46.599545425145315</c:v>
                </c:pt>
                <c:pt idx="79">
                  <c:v>45.941129632449908</c:v>
                </c:pt>
                <c:pt idx="80">
                  <c:v>45.292016749302718</c:v>
                </c:pt>
                <c:pt idx="81">
                  <c:v>44.652075332735294</c:v>
                </c:pt>
                <c:pt idx="82">
                  <c:v>44.021175796968009</c:v>
                </c:pt>
                <c:pt idx="83">
                  <c:v>43.399190387168183</c:v>
                </c:pt>
                <c:pt idx="84">
                  <c:v>42.785993153581281</c:v>
                </c:pt>
                <c:pt idx="85">
                  <c:v>42.181459926026079</c:v>
                </c:pt>
                <c:pt idx="86">
                  <c:v>41.585468288750199</c:v>
                </c:pt>
                <c:pt idx="87">
                  <c:v>40.997897555642304</c:v>
                </c:pt>
                <c:pt idx="88">
                  <c:v>40.418628745793129</c:v>
                </c:pt>
                <c:pt idx="89">
                  <c:v>39.847544559401847</c:v>
                </c:pt>
                <c:pt idx="90">
                  <c:v>39.28452935402418</c:v>
                </c:pt>
                <c:pt idx="91">
                  <c:v>38.729469121154779</c:v>
                </c:pt>
                <c:pt idx="92">
                  <c:v>38.18225146314051</c:v>
                </c:pt>
                <c:pt idx="93">
                  <c:v>37.642765570421325</c:v>
                </c:pt>
                <c:pt idx="94">
                  <c:v>37.110902199090617</c:v>
                </c:pt>
                <c:pt idx="95">
                  <c:v>36.586553648774689</c:v>
                </c:pt>
                <c:pt idx="96">
                  <c:v>36.069613740823435</c:v>
                </c:pt>
                <c:pt idx="97">
                  <c:v>35.559977796809129</c:v>
                </c:pt>
                <c:pt idx="98">
                  <c:v>35.057542617330249</c:v>
                </c:pt>
                <c:pt idx="99">
                  <c:v>34.562206461113554</c:v>
                </c:pt>
                <c:pt idx="100">
                  <c:v>34.073869024411501</c:v>
                </c:pt>
                <c:pt idx="101">
                  <c:v>33.592431420691838</c:v>
                </c:pt>
                <c:pt idx="102">
                  <c:v>33.117796160613089</c:v>
                </c:pt>
                <c:pt idx="103">
                  <c:v>32.649867132282935</c:v>
                </c:pt>
                <c:pt idx="104">
                  <c:v>32.188549581796778</c:v>
                </c:pt>
                <c:pt idx="105">
                  <c:v>31.733750094049459</c:v>
                </c:pt>
                <c:pt idx="106">
                  <c:v>31.285376573819857</c:v>
                </c:pt>
                <c:pt idx="107">
                  <c:v>30.843338227121617</c:v>
                </c:pt>
                <c:pt idx="108">
                  <c:v>30.407545542817349</c:v>
                </c:pt>
                <c:pt idx="109">
                  <c:v>29.977910274493627</c:v>
                </c:pt>
                <c:pt idx="110">
                  <c:v>29.55434542259108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A-4E65-BA2A-DBFB35D89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492664"/>
        <c:axId val="596487744"/>
      </c:scatterChart>
      <c:valAx>
        <c:axId val="59649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87744"/>
        <c:crosses val="autoZero"/>
        <c:crossBetween val="midCat"/>
      </c:valAx>
      <c:valAx>
        <c:axId val="59648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92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Kermeli_2017!$J$4</c:f>
              <c:strCache>
                <c:ptCount val="1"/>
                <c:pt idx="0">
                  <c:v>Plant SEC &amp; Average IFA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35848573663521233"/>
                  <c:y val="-2.016227887777690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Kermeli_2017!$A$19:$A$141</c:f>
              <c:numCache>
                <c:formatCode>General</c:formatCode>
                <c:ptCount val="123"/>
                <c:pt idx="0">
                  <c:v>1950</c:v>
                </c:pt>
                <c:pt idx="1">
                  <c:v>1950</c:v>
                </c:pt>
                <c:pt idx="2">
                  <c:v>1952</c:v>
                </c:pt>
                <c:pt idx="3">
                  <c:v>1953</c:v>
                </c:pt>
                <c:pt idx="4">
                  <c:v>1955</c:v>
                </c:pt>
                <c:pt idx="5">
                  <c:v>1955</c:v>
                </c:pt>
                <c:pt idx="6">
                  <c:v>1960</c:v>
                </c:pt>
                <c:pt idx="7">
                  <c:v>1960</c:v>
                </c:pt>
                <c:pt idx="8">
                  <c:v>1960</c:v>
                </c:pt>
                <c:pt idx="9">
                  <c:v>1961</c:v>
                </c:pt>
                <c:pt idx="10">
                  <c:v>1961</c:v>
                </c:pt>
                <c:pt idx="11">
                  <c:v>1963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1965</c:v>
                </c:pt>
                <c:pt idx="16">
                  <c:v>1966</c:v>
                </c:pt>
                <c:pt idx="17">
                  <c:v>1966</c:v>
                </c:pt>
                <c:pt idx="18">
                  <c:v>1966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1970</c:v>
                </c:pt>
                <c:pt idx="23">
                  <c:v>1970</c:v>
                </c:pt>
                <c:pt idx="24">
                  <c:v>1973</c:v>
                </c:pt>
                <c:pt idx="25">
                  <c:v>1973</c:v>
                </c:pt>
                <c:pt idx="26">
                  <c:v>1973</c:v>
                </c:pt>
                <c:pt idx="27">
                  <c:v>1973</c:v>
                </c:pt>
                <c:pt idx="28">
                  <c:v>1975</c:v>
                </c:pt>
                <c:pt idx="29">
                  <c:v>1975</c:v>
                </c:pt>
                <c:pt idx="30">
                  <c:v>1975</c:v>
                </c:pt>
                <c:pt idx="31">
                  <c:v>1975</c:v>
                </c:pt>
                <c:pt idx="32">
                  <c:v>1975</c:v>
                </c:pt>
                <c:pt idx="33">
                  <c:v>1975</c:v>
                </c:pt>
                <c:pt idx="34">
                  <c:v>1976</c:v>
                </c:pt>
                <c:pt idx="35">
                  <c:v>1977</c:v>
                </c:pt>
                <c:pt idx="36">
                  <c:v>1977</c:v>
                </c:pt>
                <c:pt idx="37">
                  <c:v>1977</c:v>
                </c:pt>
                <c:pt idx="38">
                  <c:v>1978</c:v>
                </c:pt>
                <c:pt idx="39">
                  <c:v>1979</c:v>
                </c:pt>
                <c:pt idx="40">
                  <c:v>1979</c:v>
                </c:pt>
                <c:pt idx="41">
                  <c:v>1979</c:v>
                </c:pt>
                <c:pt idx="42">
                  <c:v>1979</c:v>
                </c:pt>
                <c:pt idx="43">
                  <c:v>1980</c:v>
                </c:pt>
                <c:pt idx="44">
                  <c:v>1980</c:v>
                </c:pt>
                <c:pt idx="45">
                  <c:v>1980</c:v>
                </c:pt>
                <c:pt idx="46">
                  <c:v>1980</c:v>
                </c:pt>
                <c:pt idx="47">
                  <c:v>1980</c:v>
                </c:pt>
                <c:pt idx="48">
                  <c:v>1980</c:v>
                </c:pt>
                <c:pt idx="49">
                  <c:v>1980</c:v>
                </c:pt>
                <c:pt idx="50">
                  <c:v>1981</c:v>
                </c:pt>
                <c:pt idx="51">
                  <c:v>1981</c:v>
                </c:pt>
                <c:pt idx="52">
                  <c:v>1982</c:v>
                </c:pt>
                <c:pt idx="53">
                  <c:v>1982</c:v>
                </c:pt>
                <c:pt idx="54">
                  <c:v>1982</c:v>
                </c:pt>
                <c:pt idx="55">
                  <c:v>1983</c:v>
                </c:pt>
                <c:pt idx="56">
                  <c:v>1983</c:v>
                </c:pt>
                <c:pt idx="57">
                  <c:v>1983</c:v>
                </c:pt>
                <c:pt idx="58">
                  <c:v>1983</c:v>
                </c:pt>
                <c:pt idx="59">
                  <c:v>1983</c:v>
                </c:pt>
                <c:pt idx="60">
                  <c:v>1983</c:v>
                </c:pt>
                <c:pt idx="61">
                  <c:v>1984</c:v>
                </c:pt>
                <c:pt idx="62">
                  <c:v>1984</c:v>
                </c:pt>
                <c:pt idx="63">
                  <c:v>1985</c:v>
                </c:pt>
                <c:pt idx="64">
                  <c:v>1985</c:v>
                </c:pt>
                <c:pt idx="65">
                  <c:v>1985</c:v>
                </c:pt>
                <c:pt idx="66">
                  <c:v>1985</c:v>
                </c:pt>
                <c:pt idx="67">
                  <c:v>1985</c:v>
                </c:pt>
                <c:pt idx="68">
                  <c:v>1985</c:v>
                </c:pt>
                <c:pt idx="69">
                  <c:v>1986</c:v>
                </c:pt>
                <c:pt idx="70">
                  <c:v>1986</c:v>
                </c:pt>
                <c:pt idx="71">
                  <c:v>1986</c:v>
                </c:pt>
                <c:pt idx="72">
                  <c:v>1987</c:v>
                </c:pt>
                <c:pt idx="73">
                  <c:v>1987</c:v>
                </c:pt>
                <c:pt idx="74">
                  <c:v>1988</c:v>
                </c:pt>
                <c:pt idx="75">
                  <c:v>1988</c:v>
                </c:pt>
                <c:pt idx="76">
                  <c:v>1988</c:v>
                </c:pt>
                <c:pt idx="77">
                  <c:v>1988</c:v>
                </c:pt>
                <c:pt idx="78">
                  <c:v>1989</c:v>
                </c:pt>
                <c:pt idx="79">
                  <c:v>1989</c:v>
                </c:pt>
                <c:pt idx="80">
                  <c:v>1990</c:v>
                </c:pt>
                <c:pt idx="81">
                  <c:v>1990</c:v>
                </c:pt>
                <c:pt idx="82">
                  <c:v>1990</c:v>
                </c:pt>
                <c:pt idx="83">
                  <c:v>1990</c:v>
                </c:pt>
                <c:pt idx="84">
                  <c:v>1990</c:v>
                </c:pt>
                <c:pt idx="85">
                  <c:v>1991</c:v>
                </c:pt>
                <c:pt idx="86">
                  <c:v>1991</c:v>
                </c:pt>
                <c:pt idx="87">
                  <c:v>1992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1994</c:v>
                </c:pt>
                <c:pt idx="92">
                  <c:v>1994</c:v>
                </c:pt>
                <c:pt idx="93">
                  <c:v>1995</c:v>
                </c:pt>
                <c:pt idx="94">
                  <c:v>1995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2001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2005</c:v>
                </c:pt>
                <c:pt idx="108">
                  <c:v>2006</c:v>
                </c:pt>
                <c:pt idx="109">
                  <c:v>2007</c:v>
                </c:pt>
                <c:pt idx="110">
                  <c:v>2008</c:v>
                </c:pt>
                <c:pt idx="111">
                  <c:v>2009</c:v>
                </c:pt>
                <c:pt idx="112">
                  <c:v>2010</c:v>
                </c:pt>
                <c:pt idx="113">
                  <c:v>2011</c:v>
                </c:pt>
                <c:pt idx="114">
                  <c:v>2012</c:v>
                </c:pt>
                <c:pt idx="115">
                  <c:v>2013</c:v>
                </c:pt>
                <c:pt idx="116">
                  <c:v>2014</c:v>
                </c:pt>
                <c:pt idx="117">
                  <c:v>2015</c:v>
                </c:pt>
                <c:pt idx="118">
                  <c:v>2016</c:v>
                </c:pt>
                <c:pt idx="119">
                  <c:v>2017</c:v>
                </c:pt>
                <c:pt idx="120">
                  <c:v>2018</c:v>
                </c:pt>
                <c:pt idx="121">
                  <c:v>2019</c:v>
                </c:pt>
                <c:pt idx="122">
                  <c:v>2020</c:v>
                </c:pt>
              </c:numCache>
            </c:numRef>
          </c:xVal>
          <c:yVal>
            <c:numRef>
              <c:f>Kermeli_2017!$B$19:$B$141</c:f>
              <c:numCache>
                <c:formatCode>General</c:formatCode>
                <c:ptCount val="123"/>
                <c:pt idx="0">
                  <c:v>54.9</c:v>
                </c:pt>
                <c:pt idx="1">
                  <c:v>63</c:v>
                </c:pt>
                <c:pt idx="2">
                  <c:v>65.14</c:v>
                </c:pt>
                <c:pt idx="3">
                  <c:v>61.21</c:v>
                </c:pt>
                <c:pt idx="4">
                  <c:v>53.72</c:v>
                </c:pt>
                <c:pt idx="6">
                  <c:v>45.9</c:v>
                </c:pt>
                <c:pt idx="7">
                  <c:v>63</c:v>
                </c:pt>
                <c:pt idx="8">
                  <c:v>51.3</c:v>
                </c:pt>
                <c:pt idx="9">
                  <c:v>60.6</c:v>
                </c:pt>
                <c:pt idx="10">
                  <c:v>46.18</c:v>
                </c:pt>
                <c:pt idx="11">
                  <c:v>52.9</c:v>
                </c:pt>
                <c:pt idx="12">
                  <c:v>44.76</c:v>
                </c:pt>
                <c:pt idx="13">
                  <c:v>45.84</c:v>
                </c:pt>
                <c:pt idx="14">
                  <c:v>54</c:v>
                </c:pt>
                <c:pt idx="16">
                  <c:v>39.5</c:v>
                </c:pt>
                <c:pt idx="17">
                  <c:v>38.4</c:v>
                </c:pt>
                <c:pt idx="18">
                  <c:v>39.299999999999997</c:v>
                </c:pt>
                <c:pt idx="19">
                  <c:v>47</c:v>
                </c:pt>
                <c:pt idx="20">
                  <c:v>50.5</c:v>
                </c:pt>
                <c:pt idx="21">
                  <c:v>36</c:v>
                </c:pt>
                <c:pt idx="22">
                  <c:v>34.9</c:v>
                </c:pt>
                <c:pt idx="23">
                  <c:v>46.5</c:v>
                </c:pt>
                <c:pt idx="24">
                  <c:v>37.6</c:v>
                </c:pt>
                <c:pt idx="25">
                  <c:v>37.200000000000003</c:v>
                </c:pt>
                <c:pt idx="26">
                  <c:v>37.700000000000003</c:v>
                </c:pt>
                <c:pt idx="27">
                  <c:v>57.9</c:v>
                </c:pt>
                <c:pt idx="28">
                  <c:v>39.799999999999997</c:v>
                </c:pt>
                <c:pt idx="29">
                  <c:v>36.700000000000003</c:v>
                </c:pt>
                <c:pt idx="30">
                  <c:v>27.1</c:v>
                </c:pt>
                <c:pt idx="31">
                  <c:v>36.200000000000003</c:v>
                </c:pt>
                <c:pt idx="32">
                  <c:v>40.9</c:v>
                </c:pt>
                <c:pt idx="33">
                  <c:v>53.1</c:v>
                </c:pt>
                <c:pt idx="34">
                  <c:v>35.200000000000003</c:v>
                </c:pt>
                <c:pt idx="35">
                  <c:v>33.89</c:v>
                </c:pt>
                <c:pt idx="36">
                  <c:v>34</c:v>
                </c:pt>
                <c:pt idx="37">
                  <c:v>55</c:v>
                </c:pt>
                <c:pt idx="38">
                  <c:v>50</c:v>
                </c:pt>
                <c:pt idx="39">
                  <c:v>46.9</c:v>
                </c:pt>
                <c:pt idx="40">
                  <c:v>54</c:v>
                </c:pt>
                <c:pt idx="41">
                  <c:v>61.9</c:v>
                </c:pt>
                <c:pt idx="42">
                  <c:v>47.3</c:v>
                </c:pt>
                <c:pt idx="43">
                  <c:v>43.5</c:v>
                </c:pt>
                <c:pt idx="44">
                  <c:v>42</c:v>
                </c:pt>
                <c:pt idx="45">
                  <c:v>38.200000000000003</c:v>
                </c:pt>
                <c:pt idx="46">
                  <c:v>30.2</c:v>
                </c:pt>
                <c:pt idx="47">
                  <c:v>27</c:v>
                </c:pt>
                <c:pt idx="48">
                  <c:v>48</c:v>
                </c:pt>
                <c:pt idx="49">
                  <c:v>30.3</c:v>
                </c:pt>
                <c:pt idx="50">
                  <c:v>47.8</c:v>
                </c:pt>
                <c:pt idx="51">
                  <c:v>42.2</c:v>
                </c:pt>
                <c:pt idx="52">
                  <c:v>41.6</c:v>
                </c:pt>
                <c:pt idx="53">
                  <c:v>44.5</c:v>
                </c:pt>
                <c:pt idx="54">
                  <c:v>39.299999999999997</c:v>
                </c:pt>
                <c:pt idx="55">
                  <c:v>41</c:v>
                </c:pt>
                <c:pt idx="56">
                  <c:v>45.3</c:v>
                </c:pt>
                <c:pt idx="57">
                  <c:v>44.4</c:v>
                </c:pt>
                <c:pt idx="58">
                  <c:v>29.1</c:v>
                </c:pt>
                <c:pt idx="59">
                  <c:v>58.6</c:v>
                </c:pt>
                <c:pt idx="60">
                  <c:v>39.4</c:v>
                </c:pt>
                <c:pt idx="61">
                  <c:v>41.5</c:v>
                </c:pt>
                <c:pt idx="62">
                  <c:v>40.799999999999997</c:v>
                </c:pt>
                <c:pt idx="63">
                  <c:v>40.1</c:v>
                </c:pt>
                <c:pt idx="64">
                  <c:v>40</c:v>
                </c:pt>
                <c:pt idx="65">
                  <c:v>42.9</c:v>
                </c:pt>
                <c:pt idx="66">
                  <c:v>58.6</c:v>
                </c:pt>
                <c:pt idx="67">
                  <c:v>37.4</c:v>
                </c:pt>
                <c:pt idx="68">
                  <c:v>33.700000000000003</c:v>
                </c:pt>
                <c:pt idx="69">
                  <c:v>41.3</c:v>
                </c:pt>
                <c:pt idx="70">
                  <c:v>35.5</c:v>
                </c:pt>
                <c:pt idx="71">
                  <c:v>56.1</c:v>
                </c:pt>
                <c:pt idx="72">
                  <c:v>37</c:v>
                </c:pt>
                <c:pt idx="73">
                  <c:v>40.4</c:v>
                </c:pt>
                <c:pt idx="74">
                  <c:v>41.6</c:v>
                </c:pt>
                <c:pt idx="75">
                  <c:v>30.7</c:v>
                </c:pt>
                <c:pt idx="76">
                  <c:v>49.8</c:v>
                </c:pt>
                <c:pt idx="77">
                  <c:v>33.5</c:v>
                </c:pt>
                <c:pt idx="78">
                  <c:v>33.5</c:v>
                </c:pt>
                <c:pt idx="79">
                  <c:v>40.1</c:v>
                </c:pt>
                <c:pt idx="80">
                  <c:v>29.4</c:v>
                </c:pt>
                <c:pt idx="81">
                  <c:v>39.299999999999997</c:v>
                </c:pt>
                <c:pt idx="82">
                  <c:v>41.3</c:v>
                </c:pt>
                <c:pt idx="83">
                  <c:v>36.200000000000003</c:v>
                </c:pt>
                <c:pt idx="84">
                  <c:v>24.5</c:v>
                </c:pt>
                <c:pt idx="85">
                  <c:v>28</c:v>
                </c:pt>
                <c:pt idx="86">
                  <c:v>48.6</c:v>
                </c:pt>
                <c:pt idx="87">
                  <c:v>47</c:v>
                </c:pt>
                <c:pt idx="88">
                  <c:v>37.700000000000003</c:v>
                </c:pt>
                <c:pt idx="89">
                  <c:v>48</c:v>
                </c:pt>
                <c:pt idx="90">
                  <c:v>28.8</c:v>
                </c:pt>
                <c:pt idx="91">
                  <c:v>50</c:v>
                </c:pt>
                <c:pt idx="92">
                  <c:v>46.05</c:v>
                </c:pt>
                <c:pt idx="93">
                  <c:v>31.9</c:v>
                </c:pt>
                <c:pt idx="94">
                  <c:v>35.6</c:v>
                </c:pt>
                <c:pt idx="95">
                  <c:v>42</c:v>
                </c:pt>
                <c:pt idx="96">
                  <c:v>36.299999999999997</c:v>
                </c:pt>
                <c:pt idx="97">
                  <c:v>35.799999999999997</c:v>
                </c:pt>
                <c:pt idx="98">
                  <c:v>22.9</c:v>
                </c:pt>
                <c:pt idx="99">
                  <c:v>31.5</c:v>
                </c:pt>
                <c:pt idx="100">
                  <c:v>28.8</c:v>
                </c:pt>
                <c:pt idx="101">
                  <c:v>30</c:v>
                </c:pt>
                <c:pt idx="102">
                  <c:v>29.7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59-499A-8FDD-664C549B3B6A}"/>
            </c:ext>
          </c:extLst>
        </c:ser>
        <c:ser>
          <c:idx val="1"/>
          <c:order val="1"/>
          <c:tx>
            <c:strRef>
              <c:f>Kermeli_2017!$S$4</c:f>
              <c:strCache>
                <c:ptCount val="1"/>
                <c:pt idx="0">
                  <c:v>Trend (Final, 1950)</c:v>
                </c:pt>
              </c:strCache>
            </c:strRef>
          </c:tx>
          <c:spPr>
            <a:ln w="25400" cap="rnd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</a:ln>
            <a:effectLst/>
          </c:spPr>
          <c:marker>
            <c:symbol val="none"/>
          </c:marker>
          <c:xVal>
            <c:numRef>
              <c:f>Kermeli_2017!$R$5:$R$75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xVal>
          <c:yVal>
            <c:numRef>
              <c:f>Kermeli_2017!$S$5:$S$75</c:f>
              <c:numCache>
                <c:formatCode>General</c:formatCode>
                <c:ptCount val="71"/>
                <c:pt idx="0">
                  <c:v>67.724683768156794</c:v>
                </c:pt>
                <c:pt idx="1">
                  <c:v>67.036749472430571</c:v>
                </c:pt>
                <c:pt idx="2">
                  <c:v>66.355803080802559</c:v>
                </c:pt>
                <c:pt idx="3">
                  <c:v>65.681773611488111</c:v>
                </c:pt>
                <c:pt idx="4">
                  <c:v>65.014590803722641</c:v>
                </c:pt>
                <c:pt idx="5">
                  <c:v>64.354185110436845</c:v>
                </c:pt>
                <c:pt idx="6">
                  <c:v>63.700487691006465</c:v>
                </c:pt>
                <c:pt idx="7">
                  <c:v>63.053430404077744</c:v>
                </c:pt>
                <c:pt idx="8">
                  <c:v>62.412945800463682</c:v>
                </c:pt>
                <c:pt idx="9">
                  <c:v>61.778967116112426</c:v>
                </c:pt>
                <c:pt idx="10">
                  <c:v>61.151428265149441</c:v>
                </c:pt>
                <c:pt idx="11">
                  <c:v>60.530263832986861</c:v>
                </c:pt>
                <c:pt idx="12">
                  <c:v>59.915409069506275</c:v>
                </c:pt>
                <c:pt idx="13">
                  <c:v>59.306799882308489</c:v>
                </c:pt>
                <c:pt idx="14">
                  <c:v>58.704372830031957</c:v>
                </c:pt>
                <c:pt idx="15">
                  <c:v>58.108065115740857</c:v>
                </c:pt>
                <c:pt idx="16">
                  <c:v>57.517814580378577</c:v>
                </c:pt>
                <c:pt idx="17">
                  <c:v>56.933559696287588</c:v>
                </c:pt>
                <c:pt idx="18">
                  <c:v>56.355239560797273</c:v>
                </c:pt>
                <c:pt idx="19">
                  <c:v>55.782793889873858</c:v>
                </c:pt>
                <c:pt idx="20">
                  <c:v>55.216163011837722</c:v>
                </c:pt>
                <c:pt idx="21">
                  <c:v>54.655287861142675</c:v>
                </c:pt>
                <c:pt idx="22">
                  <c:v>54.100109972218412</c:v>
                </c:pt>
                <c:pt idx="23">
                  <c:v>53.550571473377389</c:v>
                </c:pt>
                <c:pt idx="24">
                  <c:v>53.006615080780762</c:v>
                </c:pt>
                <c:pt idx="25">
                  <c:v>52.468184092468448</c:v>
                </c:pt>
                <c:pt idx="26">
                  <c:v>51.935222382447968</c:v>
                </c:pt>
                <c:pt idx="27">
                  <c:v>51.407674394843305</c:v>
                </c:pt>
                <c:pt idx="28">
                  <c:v>50.885485138104876</c:v>
                </c:pt>
                <c:pt idx="29">
                  <c:v>50.368600179276676</c:v>
                </c:pt>
                <c:pt idx="30">
                  <c:v>49.85696563832164</c:v>
                </c:pt>
                <c:pt idx="31">
                  <c:v>49.350528182506459</c:v>
                </c:pt>
                <c:pt idx="32">
                  <c:v>48.849235020840759</c:v>
                </c:pt>
                <c:pt idx="33">
                  <c:v>48.353033898575397</c:v>
                </c:pt>
                <c:pt idx="34">
                  <c:v>47.861873091754909</c:v>
                </c:pt>
                <c:pt idx="35">
                  <c:v>47.375701401825289</c:v>
                </c:pt>
                <c:pt idx="36">
                  <c:v>46.89446815029811</c:v>
                </c:pt>
                <c:pt idx="37">
                  <c:v>46.418123173467258</c:v>
                </c:pt>
                <c:pt idx="38">
                  <c:v>45.94661681717939</c:v>
                </c:pt>
                <c:pt idx="39">
                  <c:v>45.479899931659141</c:v>
                </c:pt>
                <c:pt idx="40">
                  <c:v>45.017923866384471</c:v>
                </c:pt>
                <c:pt idx="41">
                  <c:v>44.560640465016441</c:v>
                </c:pt>
                <c:pt idx="42">
                  <c:v>44.108002060378908</c:v>
                </c:pt>
                <c:pt idx="43">
                  <c:v>43.659961469489303</c:v>
                </c:pt>
                <c:pt idx="44">
                  <c:v>43.216471988641125</c:v>
                </c:pt>
                <c:pt idx="45">
                  <c:v>42.777487388535164</c:v>
                </c:pt>
                <c:pt idx="46">
                  <c:v>42.342961909460051</c:v>
                </c:pt>
                <c:pt idx="47">
                  <c:v>41.91285025652337</c:v>
                </c:pt>
                <c:pt idx="48">
                  <c:v>41.487107594928887</c:v>
                </c:pt>
                <c:pt idx="49">
                  <c:v>41.065689545304053</c:v>
                </c:pt>
                <c:pt idx="50">
                  <c:v>40.648552179073441</c:v>
                </c:pt>
                <c:pt idx="51">
                  <c:v>40.235652013879182</c:v>
                </c:pt>
                <c:pt idx="52">
                  <c:v>39.826946009049401</c:v>
                </c:pt>
                <c:pt idx="53">
                  <c:v>39.42239156111053</c:v>
                </c:pt>
                <c:pt idx="54">
                  <c:v>39.021946499347294</c:v>
                </c:pt>
                <c:pt idx="55">
                  <c:v>38.625569081406404</c:v>
                </c:pt>
                <c:pt idx="56">
                  <c:v>38.233217988944972</c:v>
                </c:pt>
                <c:pt idx="57">
                  <c:v>37.844852323324275</c:v>
                </c:pt>
                <c:pt idx="58">
                  <c:v>37.46043160134608</c:v>
                </c:pt>
                <c:pt idx="59">
                  <c:v>37.079915751032303</c:v>
                </c:pt>
                <c:pt idx="60">
                  <c:v>36.703265107448807</c:v>
                </c:pt>
                <c:pt idx="61">
                  <c:v>36.330440408569707</c:v>
                </c:pt>
                <c:pt idx="62">
                  <c:v>35.961402791185606</c:v>
                </c:pt>
                <c:pt idx="63">
                  <c:v>35.596113786852086</c:v>
                </c:pt>
                <c:pt idx="64">
                  <c:v>35.23453531787942</c:v>
                </c:pt>
                <c:pt idx="65">
                  <c:v>34.876629693364087</c:v>
                </c:pt>
                <c:pt idx="66">
                  <c:v>34.522359605259503</c:v>
                </c:pt>
                <c:pt idx="67">
                  <c:v>34.171688124486671</c:v>
                </c:pt>
                <c:pt idx="68">
                  <c:v>33.824578697085556</c:v>
                </c:pt>
                <c:pt idx="69">
                  <c:v>33.480995140403735</c:v>
                </c:pt>
                <c:pt idx="70">
                  <c:v>33.140901639325534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59-499A-8FDD-664C549B3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492664"/>
        <c:axId val="596487744"/>
      </c:scatterChart>
      <c:valAx>
        <c:axId val="59649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87744"/>
        <c:crosses val="autoZero"/>
        <c:crossBetween val="midCat"/>
      </c:valAx>
      <c:valAx>
        <c:axId val="59648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92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26054415454101"/>
          <c:y val="5.5747148251504203E-2"/>
          <c:w val="0.8068587325021882"/>
          <c:h val="0.85792518553610408"/>
        </c:manualLayout>
      </c:layout>
      <c:scatterChart>
        <c:scatterStyle val="lineMarker"/>
        <c:varyColors val="0"/>
        <c:ser>
          <c:idx val="1"/>
          <c:order val="0"/>
          <c:tx>
            <c:v>Efficiency</c:v>
          </c:tx>
          <c:spPr>
            <a:ln w="381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Dahmus_2014!$A$4:$A$80</c:f>
              <c:numCache>
                <c:formatCode>General</c:formatCode>
                <c:ptCount val="77"/>
                <c:pt idx="0">
                  <c:v>1924</c:v>
                </c:pt>
                <c:pt idx="1">
                  <c:v>1925</c:v>
                </c:pt>
                <c:pt idx="2">
                  <c:v>1926</c:v>
                </c:pt>
                <c:pt idx="3">
                  <c:v>1927</c:v>
                </c:pt>
                <c:pt idx="4">
                  <c:v>1928</c:v>
                </c:pt>
                <c:pt idx="5">
                  <c:v>1929</c:v>
                </c:pt>
                <c:pt idx="6">
                  <c:v>1930</c:v>
                </c:pt>
                <c:pt idx="7">
                  <c:v>1931</c:v>
                </c:pt>
                <c:pt idx="8">
                  <c:v>1932</c:v>
                </c:pt>
                <c:pt idx="9">
                  <c:v>1933</c:v>
                </c:pt>
                <c:pt idx="10">
                  <c:v>1934</c:v>
                </c:pt>
                <c:pt idx="11">
                  <c:v>1935</c:v>
                </c:pt>
                <c:pt idx="12">
                  <c:v>1936</c:v>
                </c:pt>
                <c:pt idx="13">
                  <c:v>1937</c:v>
                </c:pt>
                <c:pt idx="14">
                  <c:v>1938</c:v>
                </c:pt>
                <c:pt idx="15">
                  <c:v>1939</c:v>
                </c:pt>
                <c:pt idx="16">
                  <c:v>1940</c:v>
                </c:pt>
                <c:pt idx="17">
                  <c:v>1941</c:v>
                </c:pt>
                <c:pt idx="18">
                  <c:v>1942</c:v>
                </c:pt>
                <c:pt idx="19">
                  <c:v>1943</c:v>
                </c:pt>
                <c:pt idx="20">
                  <c:v>1944</c:v>
                </c:pt>
                <c:pt idx="21">
                  <c:v>1945</c:v>
                </c:pt>
                <c:pt idx="22">
                  <c:v>1946</c:v>
                </c:pt>
                <c:pt idx="23">
                  <c:v>1947</c:v>
                </c:pt>
                <c:pt idx="24">
                  <c:v>1948</c:v>
                </c:pt>
                <c:pt idx="25">
                  <c:v>1949</c:v>
                </c:pt>
                <c:pt idx="26">
                  <c:v>1950</c:v>
                </c:pt>
                <c:pt idx="27">
                  <c:v>1951</c:v>
                </c:pt>
                <c:pt idx="28">
                  <c:v>1952</c:v>
                </c:pt>
                <c:pt idx="29">
                  <c:v>1953</c:v>
                </c:pt>
                <c:pt idx="30">
                  <c:v>1954</c:v>
                </c:pt>
                <c:pt idx="31">
                  <c:v>1955</c:v>
                </c:pt>
                <c:pt idx="32">
                  <c:v>1956</c:v>
                </c:pt>
                <c:pt idx="33">
                  <c:v>1957</c:v>
                </c:pt>
                <c:pt idx="34">
                  <c:v>1958</c:v>
                </c:pt>
                <c:pt idx="35">
                  <c:v>1959</c:v>
                </c:pt>
                <c:pt idx="36">
                  <c:v>1960</c:v>
                </c:pt>
                <c:pt idx="37">
                  <c:v>1961</c:v>
                </c:pt>
                <c:pt idx="38">
                  <c:v>1962</c:v>
                </c:pt>
                <c:pt idx="39">
                  <c:v>1963</c:v>
                </c:pt>
                <c:pt idx="40">
                  <c:v>1964</c:v>
                </c:pt>
                <c:pt idx="41">
                  <c:v>1965</c:v>
                </c:pt>
                <c:pt idx="42">
                  <c:v>1966</c:v>
                </c:pt>
                <c:pt idx="43">
                  <c:v>1967</c:v>
                </c:pt>
                <c:pt idx="44">
                  <c:v>1968</c:v>
                </c:pt>
                <c:pt idx="45">
                  <c:v>1969</c:v>
                </c:pt>
                <c:pt idx="46">
                  <c:v>1970</c:v>
                </c:pt>
                <c:pt idx="47">
                  <c:v>1971</c:v>
                </c:pt>
                <c:pt idx="48">
                  <c:v>1972</c:v>
                </c:pt>
                <c:pt idx="49">
                  <c:v>1973</c:v>
                </c:pt>
                <c:pt idx="50">
                  <c:v>1974</c:v>
                </c:pt>
                <c:pt idx="51">
                  <c:v>1975</c:v>
                </c:pt>
                <c:pt idx="52">
                  <c:v>1976</c:v>
                </c:pt>
                <c:pt idx="53">
                  <c:v>1977</c:v>
                </c:pt>
                <c:pt idx="54">
                  <c:v>1978</c:v>
                </c:pt>
                <c:pt idx="55">
                  <c:v>1979</c:v>
                </c:pt>
                <c:pt idx="56">
                  <c:v>1980</c:v>
                </c:pt>
                <c:pt idx="57">
                  <c:v>1981</c:v>
                </c:pt>
                <c:pt idx="58">
                  <c:v>1982</c:v>
                </c:pt>
                <c:pt idx="59">
                  <c:v>1983</c:v>
                </c:pt>
                <c:pt idx="60">
                  <c:v>1984</c:v>
                </c:pt>
                <c:pt idx="61">
                  <c:v>1985</c:v>
                </c:pt>
                <c:pt idx="62">
                  <c:v>1986</c:v>
                </c:pt>
                <c:pt idx="63">
                  <c:v>1987</c:v>
                </c:pt>
                <c:pt idx="64">
                  <c:v>1988</c:v>
                </c:pt>
                <c:pt idx="65">
                  <c:v>1989</c:v>
                </c:pt>
                <c:pt idx="66">
                  <c:v>1990</c:v>
                </c:pt>
                <c:pt idx="67">
                  <c:v>1991</c:v>
                </c:pt>
                <c:pt idx="68">
                  <c:v>1992</c:v>
                </c:pt>
                <c:pt idx="69">
                  <c:v>1993</c:v>
                </c:pt>
                <c:pt idx="70">
                  <c:v>1994</c:v>
                </c:pt>
                <c:pt idx="71">
                  <c:v>1995</c:v>
                </c:pt>
                <c:pt idx="72">
                  <c:v>1996</c:v>
                </c:pt>
                <c:pt idx="73">
                  <c:v>1997</c:v>
                </c:pt>
                <c:pt idx="74">
                  <c:v>1998</c:v>
                </c:pt>
                <c:pt idx="75">
                  <c:v>1999</c:v>
                </c:pt>
                <c:pt idx="76">
                  <c:v>2000</c:v>
                </c:pt>
              </c:numCache>
            </c:numRef>
          </c:xVal>
          <c:yVal>
            <c:numRef>
              <c:f>Dahmus_2014!$F$4:$F$80</c:f>
              <c:numCache>
                <c:formatCode>0.00</c:formatCode>
                <c:ptCount val="77"/>
                <c:pt idx="0">
                  <c:v>8.3952193965341202</c:v>
                </c:pt>
                <c:pt idx="1">
                  <c:v>8.4383918707954759</c:v>
                </c:pt>
                <c:pt idx="2">
                  <c:v>8.4817863598066321</c:v>
                </c:pt>
                <c:pt idx="3">
                  <c:v>8.5254040052799862</c:v>
                </c:pt>
                <c:pt idx="4">
                  <c:v>8.5692459547992037</c:v>
                </c:pt>
                <c:pt idx="5">
                  <c:v>8.6133133618494018</c:v>
                </c:pt>
                <c:pt idx="6">
                  <c:v>8.6576073858475002</c:v>
                </c:pt>
                <c:pt idx="7">
                  <c:v>8.7241270257189161</c:v>
                </c:pt>
                <c:pt idx="8">
                  <c:v>8.7911577608954694</c:v>
                </c:pt>
                <c:pt idx="9">
                  <c:v>8.8587035183137974</c:v>
                </c:pt>
                <c:pt idx="10">
                  <c:v>8.9267682550826617</c:v>
                </c:pt>
                <c:pt idx="11">
                  <c:v>8.9953559587147698</c:v>
                </c:pt>
                <c:pt idx="12">
                  <c:v>9.0644706473603964</c:v>
                </c:pt>
                <c:pt idx="13">
                  <c:v>9.134116370042749</c:v>
                </c:pt>
                <c:pt idx="14">
                  <c:v>9.2042972068952142</c:v>
                </c:pt>
                <c:pt idx="15">
                  <c:v>9.2750172694003616</c:v>
                </c:pt>
                <c:pt idx="16">
                  <c:v>9.3462807006308246</c:v>
                </c:pt>
                <c:pt idx="17">
                  <c:v>9.3787550837991898</c:v>
                </c:pt>
                <c:pt idx="18">
                  <c:v>9.411342301751354</c:v>
                </c:pt>
                <c:pt idx="19">
                  <c:v>9.4440427465405925</c:v>
                </c:pt>
                <c:pt idx="20">
                  <c:v>9.4768568115824099</c:v>
                </c:pt>
                <c:pt idx="21">
                  <c:v>9.5097848916592564</c:v>
                </c:pt>
                <c:pt idx="22">
                  <c:v>9.5428273829252888</c:v>
                </c:pt>
                <c:pt idx="23">
                  <c:v>9.5759846829111304</c:v>
                </c:pt>
                <c:pt idx="24">
                  <c:v>9.6092571905286519</c:v>
                </c:pt>
                <c:pt idx="25">
                  <c:v>9.6426453060757868</c:v>
                </c:pt>
                <c:pt idx="26">
                  <c:v>9.6761494312413241</c:v>
                </c:pt>
                <c:pt idx="27">
                  <c:v>10.556350799995382</c:v>
                </c:pt>
                <c:pt idx="28">
                  <c:v>11.516620635556603</c:v>
                </c:pt>
                <c:pt idx="29">
                  <c:v>12.564242452362061</c:v>
                </c:pt>
                <c:pt idx="30">
                  <c:v>13.707162317594875</c:v>
                </c:pt>
                <c:pt idx="31">
                  <c:v>14.954049121009319</c:v>
                </c:pt>
                <c:pt idx="32">
                  <c:v>15.436767553175688</c:v>
                </c:pt>
                <c:pt idx="33">
                  <c:v>15.9350681920653</c:v>
                </c:pt>
                <c:pt idx="34">
                  <c:v>16.449454033110253</c:v>
                </c:pt>
                <c:pt idx="35">
                  <c:v>16.88849154172312</c:v>
                </c:pt>
                <c:pt idx="36">
                  <c:v>17.339247003623733</c:v>
                </c:pt>
                <c:pt idx="37">
                  <c:v>17.802033172111212</c:v>
                </c:pt>
                <c:pt idx="38">
                  <c:v>18.27717114790028</c:v>
                </c:pt>
                <c:pt idx="39">
                  <c:v>18.823358307006067</c:v>
                </c:pt>
                <c:pt idx="40">
                  <c:v>19.385867489381106</c:v>
                </c:pt>
                <c:pt idx="41">
                  <c:v>19.965186455382177</c:v>
                </c:pt>
                <c:pt idx="42">
                  <c:v>20.561817541387814</c:v>
                </c:pt>
                <c:pt idx="43">
                  <c:v>20.713039965953861</c:v>
                </c:pt>
                <c:pt idx="44">
                  <c:v>20.865374559794127</c:v>
                </c:pt>
                <c:pt idx="45">
                  <c:v>21.018829502386602</c:v>
                </c:pt>
                <c:pt idx="46">
                  <c:v>21.173413033365485</c:v>
                </c:pt>
                <c:pt idx="47">
                  <c:v>21.329133452963553</c:v>
                </c:pt>
                <c:pt idx="48">
                  <c:v>21.485999122457876</c:v>
                </c:pt>
                <c:pt idx="49">
                  <c:v>21.64401846461875</c:v>
                </c:pt>
                <c:pt idx="50">
                  <c:v>22.254306527100859</c:v>
                </c:pt>
                <c:pt idx="51">
                  <c:v>22.881802647311112</c:v>
                </c:pt>
                <c:pt idx="52">
                  <c:v>23.526992034233551</c:v>
                </c:pt>
                <c:pt idx="53">
                  <c:v>24.190373578103316</c:v>
                </c:pt>
                <c:pt idx="54">
                  <c:v>25.220970613165385</c:v>
                </c:pt>
                <c:pt idx="55">
                  <c:v>26.295474793573906</c:v>
                </c:pt>
                <c:pt idx="56">
                  <c:v>27.415756721850418</c:v>
                </c:pt>
                <c:pt idx="57">
                  <c:v>27.884436085850517</c:v>
                </c:pt>
                <c:pt idx="58">
                  <c:v>28.361127643293539</c:v>
                </c:pt>
                <c:pt idx="59">
                  <c:v>28.471924547944241</c:v>
                </c:pt>
                <c:pt idx="60">
                  <c:v>28.58315429695271</c:v>
                </c:pt>
                <c:pt idx="61">
                  <c:v>28.69481858128891</c:v>
                </c:pt>
                <c:pt idx="62">
                  <c:v>28.806919098528823</c:v>
                </c:pt>
                <c:pt idx="63">
                  <c:v>28.919457552880264</c:v>
                </c:pt>
                <c:pt idx="64">
                  <c:v>29.032435655208801</c:v>
                </c:pt>
                <c:pt idx="65">
                  <c:v>29.145855123063726</c:v>
                </c:pt>
                <c:pt idx="66">
                  <c:v>29.259717680704203</c:v>
                </c:pt>
                <c:pt idx="67">
                  <c:v>29.374025059125451</c:v>
                </c:pt>
                <c:pt idx="68">
                  <c:v>29.588456769622344</c:v>
                </c:pt>
                <c:pt idx="69">
                  <c:v>29.804453841297146</c:v>
                </c:pt>
                <c:pt idx="70">
                  <c:v>30.022027701357217</c:v>
                </c:pt>
                <c:pt idx="71">
                  <c:v>30.241189860429024</c:v>
                </c:pt>
                <c:pt idx="72">
                  <c:v>30.46195191316713</c:v>
                </c:pt>
                <c:pt idx="73">
                  <c:v>30.750723074795125</c:v>
                </c:pt>
                <c:pt idx="74">
                  <c:v>31.042231709846558</c:v>
                </c:pt>
                <c:pt idx="75">
                  <c:v>31.336503768837733</c:v>
                </c:pt>
                <c:pt idx="76">
                  <c:v>31.633565448288945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F-4AD2-B8B7-F8FC1A98F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18048"/>
        <c:axId val="85636608"/>
      </c:scatterChart>
      <c:scatterChart>
        <c:scatterStyle val="lineMarker"/>
        <c:varyColors val="0"/>
        <c:ser>
          <c:idx val="0"/>
          <c:order val="1"/>
          <c:tx>
            <c:v>Production</c:v>
          </c:tx>
          <c:spPr>
            <a:ln w="38100">
              <a:solidFill>
                <a:srgbClr val="000090"/>
              </a:solidFill>
              <a:prstDash val="solid"/>
            </a:ln>
          </c:spPr>
          <c:marker>
            <c:symbol val="none"/>
          </c:marker>
          <c:xVal>
            <c:numRef>
              <c:f>Dahmus_2014!$A$4:$A$80</c:f>
              <c:numCache>
                <c:formatCode>General</c:formatCode>
                <c:ptCount val="77"/>
                <c:pt idx="0">
                  <c:v>1924</c:v>
                </c:pt>
                <c:pt idx="1">
                  <c:v>1925</c:v>
                </c:pt>
                <c:pt idx="2">
                  <c:v>1926</c:v>
                </c:pt>
                <c:pt idx="3">
                  <c:v>1927</c:v>
                </c:pt>
                <c:pt idx="4">
                  <c:v>1928</c:v>
                </c:pt>
                <c:pt idx="5">
                  <c:v>1929</c:v>
                </c:pt>
                <c:pt idx="6">
                  <c:v>1930</c:v>
                </c:pt>
                <c:pt idx="7">
                  <c:v>1931</c:v>
                </c:pt>
                <c:pt idx="8">
                  <c:v>1932</c:v>
                </c:pt>
                <c:pt idx="9">
                  <c:v>1933</c:v>
                </c:pt>
                <c:pt idx="10">
                  <c:v>1934</c:v>
                </c:pt>
                <c:pt idx="11">
                  <c:v>1935</c:v>
                </c:pt>
                <c:pt idx="12">
                  <c:v>1936</c:v>
                </c:pt>
                <c:pt idx="13">
                  <c:v>1937</c:v>
                </c:pt>
                <c:pt idx="14">
                  <c:v>1938</c:v>
                </c:pt>
                <c:pt idx="15">
                  <c:v>1939</c:v>
                </c:pt>
                <c:pt idx="16">
                  <c:v>1940</c:v>
                </c:pt>
                <c:pt idx="17">
                  <c:v>1941</c:v>
                </c:pt>
                <c:pt idx="18">
                  <c:v>1942</c:v>
                </c:pt>
                <c:pt idx="19">
                  <c:v>1943</c:v>
                </c:pt>
                <c:pt idx="20">
                  <c:v>1944</c:v>
                </c:pt>
                <c:pt idx="21">
                  <c:v>1945</c:v>
                </c:pt>
                <c:pt idx="22">
                  <c:v>1946</c:v>
                </c:pt>
                <c:pt idx="23">
                  <c:v>1947</c:v>
                </c:pt>
                <c:pt idx="24">
                  <c:v>1948</c:v>
                </c:pt>
                <c:pt idx="25">
                  <c:v>1949</c:v>
                </c:pt>
                <c:pt idx="26">
                  <c:v>1950</c:v>
                </c:pt>
                <c:pt idx="27">
                  <c:v>1951</c:v>
                </c:pt>
                <c:pt idx="28">
                  <c:v>1952</c:v>
                </c:pt>
                <c:pt idx="29">
                  <c:v>1953</c:v>
                </c:pt>
                <c:pt idx="30">
                  <c:v>1954</c:v>
                </c:pt>
                <c:pt idx="31">
                  <c:v>1955</c:v>
                </c:pt>
                <c:pt idx="32">
                  <c:v>1956</c:v>
                </c:pt>
                <c:pt idx="33">
                  <c:v>1957</c:v>
                </c:pt>
                <c:pt idx="34">
                  <c:v>1958</c:v>
                </c:pt>
                <c:pt idx="35">
                  <c:v>1959</c:v>
                </c:pt>
                <c:pt idx="36">
                  <c:v>1960</c:v>
                </c:pt>
                <c:pt idx="37">
                  <c:v>1961</c:v>
                </c:pt>
                <c:pt idx="38">
                  <c:v>1962</c:v>
                </c:pt>
                <c:pt idx="39">
                  <c:v>1963</c:v>
                </c:pt>
                <c:pt idx="40">
                  <c:v>1964</c:v>
                </c:pt>
                <c:pt idx="41">
                  <c:v>1965</c:v>
                </c:pt>
                <c:pt idx="42">
                  <c:v>1966</c:v>
                </c:pt>
                <c:pt idx="43">
                  <c:v>1967</c:v>
                </c:pt>
                <c:pt idx="44">
                  <c:v>1968</c:v>
                </c:pt>
                <c:pt idx="45">
                  <c:v>1969</c:v>
                </c:pt>
                <c:pt idx="46">
                  <c:v>1970</c:v>
                </c:pt>
                <c:pt idx="47">
                  <c:v>1971</c:v>
                </c:pt>
                <c:pt idx="48">
                  <c:v>1972</c:v>
                </c:pt>
                <c:pt idx="49">
                  <c:v>1973</c:v>
                </c:pt>
                <c:pt idx="50">
                  <c:v>1974</c:v>
                </c:pt>
                <c:pt idx="51">
                  <c:v>1975</c:v>
                </c:pt>
                <c:pt idx="52">
                  <c:v>1976</c:v>
                </c:pt>
                <c:pt idx="53">
                  <c:v>1977</c:v>
                </c:pt>
                <c:pt idx="54">
                  <c:v>1978</c:v>
                </c:pt>
                <c:pt idx="55">
                  <c:v>1979</c:v>
                </c:pt>
                <c:pt idx="56">
                  <c:v>1980</c:v>
                </c:pt>
                <c:pt idx="57">
                  <c:v>1981</c:v>
                </c:pt>
                <c:pt idx="58">
                  <c:v>1982</c:v>
                </c:pt>
                <c:pt idx="59">
                  <c:v>1983</c:v>
                </c:pt>
                <c:pt idx="60">
                  <c:v>1984</c:v>
                </c:pt>
                <c:pt idx="61">
                  <c:v>1985</c:v>
                </c:pt>
                <c:pt idx="62">
                  <c:v>1986</c:v>
                </c:pt>
                <c:pt idx="63">
                  <c:v>1987</c:v>
                </c:pt>
                <c:pt idx="64">
                  <c:v>1988</c:v>
                </c:pt>
                <c:pt idx="65">
                  <c:v>1989</c:v>
                </c:pt>
                <c:pt idx="66">
                  <c:v>1990</c:v>
                </c:pt>
                <c:pt idx="67">
                  <c:v>1991</c:v>
                </c:pt>
                <c:pt idx="68">
                  <c:v>1992</c:v>
                </c:pt>
                <c:pt idx="69">
                  <c:v>1993</c:v>
                </c:pt>
                <c:pt idx="70">
                  <c:v>1994</c:v>
                </c:pt>
                <c:pt idx="71">
                  <c:v>1995</c:v>
                </c:pt>
                <c:pt idx="72">
                  <c:v>1996</c:v>
                </c:pt>
                <c:pt idx="73">
                  <c:v>1997</c:v>
                </c:pt>
                <c:pt idx="74">
                  <c:v>1998</c:v>
                </c:pt>
                <c:pt idx="75">
                  <c:v>1999</c:v>
                </c:pt>
                <c:pt idx="76">
                  <c:v>2000</c:v>
                </c:pt>
              </c:numCache>
            </c:numRef>
          </c:xVal>
          <c:yVal>
            <c:numRef>
              <c:f>Dahmus_2014!$C$4:$C$80</c:f>
              <c:numCache>
                <c:formatCode>0.000</c:formatCode>
                <c:ptCount val="77"/>
                <c:pt idx="0">
                  <c:v>0.39710000000000001</c:v>
                </c:pt>
                <c:pt idx="1">
                  <c:v>0.45832235649095826</c:v>
                </c:pt>
                <c:pt idx="2">
                  <c:v>0.52898358715543958</c:v>
                </c:pt>
                <c:pt idx="3">
                  <c:v>0.61053891767847213</c:v>
                </c:pt>
                <c:pt idx="4">
                  <c:v>0.70466793120079707</c:v>
                </c:pt>
                <c:pt idx="5">
                  <c:v>0.81330915832676332</c:v>
                </c:pt>
                <c:pt idx="6">
                  <c:v>0.93869999999999998</c:v>
                </c:pt>
                <c:pt idx="7" formatCode="0.00">
                  <c:v>1.0159343607413558</c:v>
                </c:pt>
                <c:pt idx="8" formatCode="0.00">
                  <c:v>1.0995234103919751</c:v>
                </c:pt>
                <c:pt idx="9" formatCode="0.00">
                  <c:v>1.1899900000604311</c:v>
                </c:pt>
                <c:pt idx="10" formatCode="0.00">
                  <c:v>1.2879</c:v>
                </c:pt>
                <c:pt idx="11" formatCode="0.00">
                  <c:v>1.443223999894494</c:v>
                </c:pt>
                <c:pt idx="12" formatCode="0.00">
                  <c:v>1.6172804673277912</c:v>
                </c:pt>
                <c:pt idx="13" formatCode="0.00">
                  <c:v>1.812328585300141</c:v>
                </c:pt>
                <c:pt idx="14" formatCode="0.00">
                  <c:v>2.0308999999999999</c:v>
                </c:pt>
                <c:pt idx="15" formatCode="0.00">
                  <c:v>2.1050233781963947</c:v>
                </c:pt>
                <c:pt idx="16" formatCode="0.00">
                  <c:v>2.1818520964859727</c:v>
                </c:pt>
                <c:pt idx="17" formatCode="0.00">
                  <c:v>2.2614848938252932</c:v>
                </c:pt>
                <c:pt idx="18" formatCode="0.00">
                  <c:v>2.3440241129254193</c:v>
                </c:pt>
                <c:pt idx="19" formatCode="0.00">
                  <c:v>2.4295758317810203</c:v>
                </c:pt>
                <c:pt idx="20" formatCode="0.00">
                  <c:v>2.5182500000000001</c:v>
                </c:pt>
                <c:pt idx="21" formatCode="0.00">
                  <c:v>1.9236394999999999</c:v>
                </c:pt>
                <c:pt idx="22" formatCode="0.00">
                  <c:v>2.2389474028372778</c:v>
                </c:pt>
                <c:pt idx="23" formatCode="0.00">
                  <c:v>2.5782334999999996</c:v>
                </c:pt>
                <c:pt idx="24" formatCode="0.00">
                  <c:v>2.9209960454578137</c:v>
                </c:pt>
                <c:pt idx="25" formatCode="0.00">
                  <c:v>3.2886874773696029</c:v>
                </c:pt>
                <c:pt idx="26" formatCode="0.00">
                  <c:v>3.6847495359825464</c:v>
                </c:pt>
                <c:pt idx="27" formatCode="0.00">
                  <c:v>4.2480991362352754</c:v>
                </c:pt>
                <c:pt idx="28" formatCode="0.00">
                  <c:v>4.8481939714848243</c:v>
                </c:pt>
                <c:pt idx="29" formatCode="0.00">
                  <c:v>5.4901071746372327</c:v>
                </c:pt>
                <c:pt idx="30" formatCode="0.00">
                  <c:v>6.1796122871681014</c:v>
                </c:pt>
                <c:pt idx="31" formatCode="0.00">
                  <c:v>6.9232799591644412</c:v>
                </c:pt>
                <c:pt idx="32" formatCode="0.00">
                  <c:v>7.9449879999999995</c:v>
                </c:pt>
                <c:pt idx="33" formatCode="0.00">
                  <c:v>9.083957016094601</c:v>
                </c:pt>
                <c:pt idx="34" formatCode="0.00">
                  <c:v>10.3163</c:v>
                </c:pt>
                <c:pt idx="35" formatCode="0.00">
                  <c:v>11.342244343529451</c:v>
                </c:pt>
                <c:pt idx="36" formatCode="0.00">
                  <c:v>12.415635</c:v>
                </c:pt>
                <c:pt idx="37" formatCode="0.00">
                  <c:v>13.73</c:v>
                </c:pt>
                <c:pt idx="38" formatCode="0.00">
                  <c:v>15.838000000000001</c:v>
                </c:pt>
                <c:pt idx="39" formatCode="0.00">
                  <c:v>17.946000000000002</c:v>
                </c:pt>
                <c:pt idx="40" formatCode="0.00">
                  <c:v>20.054000000000002</c:v>
                </c:pt>
                <c:pt idx="41" formatCode="0.00">
                  <c:v>22.161999999999999</c:v>
                </c:pt>
                <c:pt idx="42" formatCode="0.00">
                  <c:v>24.107599999999998</c:v>
                </c:pt>
                <c:pt idx="43" formatCode="0.00">
                  <c:v>26.053199999999997</c:v>
                </c:pt>
                <c:pt idx="44" formatCode="0.00">
                  <c:v>27.998799999999996</c:v>
                </c:pt>
                <c:pt idx="45" formatCode="0.00">
                  <c:v>29.944399999999995</c:v>
                </c:pt>
                <c:pt idx="46" formatCode="0.00">
                  <c:v>31.89</c:v>
                </c:pt>
                <c:pt idx="47" formatCode="0.00">
                  <c:v>34.160600000000002</c:v>
                </c:pt>
                <c:pt idx="48" formatCode="0.00">
                  <c:v>36.431200000000004</c:v>
                </c:pt>
                <c:pt idx="49" formatCode="0.00">
                  <c:v>38.701800000000006</c:v>
                </c:pt>
                <c:pt idx="50" formatCode="0.00">
                  <c:v>40.972400000000007</c:v>
                </c:pt>
                <c:pt idx="51" formatCode="0.00">
                  <c:v>43.243000000000002</c:v>
                </c:pt>
                <c:pt idx="52" formatCode="0.00">
                  <c:v>46.486200000000004</c:v>
                </c:pt>
                <c:pt idx="53" formatCode="0.00">
                  <c:v>49.729400000000005</c:v>
                </c:pt>
                <c:pt idx="54" formatCode="0.00">
                  <c:v>52.972600000000007</c:v>
                </c:pt>
                <c:pt idx="55" formatCode="0.00">
                  <c:v>56.215800000000009</c:v>
                </c:pt>
                <c:pt idx="56" formatCode="0.00">
                  <c:v>59.459000000000003</c:v>
                </c:pt>
                <c:pt idx="57" formatCode="0.00">
                  <c:v>62.161999999999999</c:v>
                </c:pt>
                <c:pt idx="58" formatCode="0.00">
                  <c:v>64.729500000000002</c:v>
                </c:pt>
                <c:pt idx="59" formatCode="0.00">
                  <c:v>67.296999999999997</c:v>
                </c:pt>
                <c:pt idx="60" formatCode="0.00">
                  <c:v>69.864499999999992</c:v>
                </c:pt>
                <c:pt idx="61" formatCode="0.00">
                  <c:v>72.716000000000008</c:v>
                </c:pt>
                <c:pt idx="62" formatCode="0.00">
                  <c:v>77.153800000000004</c:v>
                </c:pt>
                <c:pt idx="63" formatCode="0.00">
                  <c:v>81.923000000000002</c:v>
                </c:pt>
                <c:pt idx="64" formatCode="0.00">
                  <c:v>85.692300000000003</c:v>
                </c:pt>
                <c:pt idx="65" formatCode="0.00">
                  <c:v>84.615380000000002</c:v>
                </c:pt>
                <c:pt idx="66" formatCode="0.00">
                  <c:v>81.923100000000005</c:v>
                </c:pt>
                <c:pt idx="67" formatCode="0.00">
                  <c:v>80.605999999999995</c:v>
                </c:pt>
                <c:pt idx="68" formatCode="0.00">
                  <c:v>80.307689999999994</c:v>
                </c:pt>
                <c:pt idx="69" formatCode="0.00">
                  <c:v>79.538460000000001</c:v>
                </c:pt>
                <c:pt idx="70" formatCode="0.00">
                  <c:v>80.846149999999994</c:v>
                </c:pt>
                <c:pt idx="71" formatCode="0.00">
                  <c:v>86.692300000000003</c:v>
                </c:pt>
                <c:pt idx="72" formatCode="0.00">
                  <c:v>88.461500000000001</c:v>
                </c:pt>
                <c:pt idx="73" formatCode="0.00">
                  <c:v>90</c:v>
                </c:pt>
                <c:pt idx="74" formatCode="0.00">
                  <c:v>90.923000000000002</c:v>
                </c:pt>
                <c:pt idx="75" formatCode="0.00">
                  <c:v>89.230770000000007</c:v>
                </c:pt>
                <c:pt idx="76" formatCode="0.00">
                  <c:v>86.537999999999997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F-4AD2-B8B7-F8FC1A98F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8144"/>
        <c:axId val="85639936"/>
      </c:scatterChart>
      <c:valAx>
        <c:axId val="85618048"/>
        <c:scaling>
          <c:orientation val="minMax"/>
          <c:max val="2005"/>
          <c:min val="192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869798940226821"/>
              <c:y val="0.9526158370252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636608"/>
        <c:crosses val="autoZero"/>
        <c:crossBetween val="midCat"/>
        <c:majorUnit val="10"/>
      </c:valAx>
      <c:valAx>
        <c:axId val="85636608"/>
        <c:scaling>
          <c:orientation val="minMax"/>
          <c:max val="35"/>
        </c:scaling>
        <c:delete val="0"/>
        <c:axPos val="l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618048"/>
        <c:crosses val="autoZero"/>
        <c:crossBetween val="midCat"/>
        <c:majorUnit val="5"/>
      </c:valAx>
      <c:valAx>
        <c:axId val="85638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85639936"/>
        <c:crosses val="autoZero"/>
        <c:crossBetween val="midCat"/>
      </c:valAx>
      <c:valAx>
        <c:axId val="856399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5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1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rPr>
                  <a:t>Q</a:t>
                </a:r>
                <a:endParaRPr lang="en-US" sz="1200" b="0" i="0" u="none" strike="noStrike" baseline="0">
                  <a:latin typeface="Calibri"/>
                  <a:ea typeface="Calibri"/>
                  <a:cs typeface="Calibri"/>
                </a:endParaRPr>
              </a:p>
              <a:p>
                <a:pPr>
                  <a:defRPr sz="15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 b="1" i="0" u="none" strike="noStrike" baseline="0">
                    <a:latin typeface="Arial"/>
                    <a:ea typeface="Calibri"/>
                    <a:cs typeface="Arial"/>
                  </a:rPr>
                  <a:t>(billion kg of nitrogen)</a:t>
                </a:r>
              </a:p>
            </c:rich>
          </c:tx>
          <c:layout>
            <c:manualLayout>
              <c:xMode val="edge"/>
              <c:yMode val="edge"/>
              <c:x val="0.93229286860643101"/>
              <c:y val="0.36146163105341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638144"/>
        <c:crosses val="max"/>
        <c:crossBetween val="midCat"/>
        <c:majorUnit val="2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011" r="0.75000000000000011" t="1" header="0.5" footer="0.5"/>
    <c:pageSetup orientation="landscape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Fertiliser plants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582195975503062E-2"/>
                  <c:y val="-0.131063721201516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IndianMOP_2015!$A$5:$A$32</c:f>
              <c:numCache>
                <c:formatCode>General</c:formatCode>
                <c:ptCount val="28"/>
                <c:pt idx="0">
                  <c:v>1976</c:v>
                </c:pt>
                <c:pt idx="1">
                  <c:v>1987</c:v>
                </c:pt>
                <c:pt idx="2">
                  <c:v>1977</c:v>
                </c:pt>
                <c:pt idx="3">
                  <c:v>1977</c:v>
                </c:pt>
                <c:pt idx="4">
                  <c:v>1974</c:v>
                </c:pt>
                <c:pt idx="5">
                  <c:v>1982</c:v>
                </c:pt>
                <c:pt idx="6">
                  <c:v>1971</c:v>
                </c:pt>
                <c:pt idx="7">
                  <c:v>1969</c:v>
                </c:pt>
                <c:pt idx="8">
                  <c:v>1982</c:v>
                </c:pt>
                <c:pt idx="9">
                  <c:v>1973</c:v>
                </c:pt>
                <c:pt idx="10">
                  <c:v>1981</c:v>
                </c:pt>
                <c:pt idx="11">
                  <c:v>1976</c:v>
                </c:pt>
                <c:pt idx="12">
                  <c:v>1967</c:v>
                </c:pt>
                <c:pt idx="13">
                  <c:v>1985</c:v>
                </c:pt>
                <c:pt idx="14">
                  <c:v>1986</c:v>
                </c:pt>
                <c:pt idx="15">
                  <c:v>1975</c:v>
                </c:pt>
                <c:pt idx="16">
                  <c:v>1987</c:v>
                </c:pt>
                <c:pt idx="17">
                  <c:v>1997</c:v>
                </c:pt>
                <c:pt idx="18">
                  <c:v>1995</c:v>
                </c:pt>
                <c:pt idx="19">
                  <c:v>1988</c:v>
                </c:pt>
                <c:pt idx="20">
                  <c:v>1998</c:v>
                </c:pt>
                <c:pt idx="21">
                  <c:v>1993</c:v>
                </c:pt>
                <c:pt idx="22">
                  <c:v>1992</c:v>
                </c:pt>
                <c:pt idx="23">
                  <c:v>1996</c:v>
                </c:pt>
                <c:pt idx="24">
                  <c:v>1999</c:v>
                </c:pt>
                <c:pt idx="25">
                  <c:v>1988</c:v>
                </c:pt>
                <c:pt idx="26">
                  <c:v>1997</c:v>
                </c:pt>
                <c:pt idx="27">
                  <c:v>1994</c:v>
                </c:pt>
              </c:numCache>
            </c:numRef>
          </c:xVal>
          <c:yVal>
            <c:numRef>
              <c:f>IndianMOP_2015!$C$5:$C$32</c:f>
              <c:numCache>
                <c:formatCode>General</c:formatCode>
                <c:ptCount val="28"/>
                <c:pt idx="0">
                  <c:v>70.667760000000001</c:v>
                </c:pt>
                <c:pt idx="1">
                  <c:v>48.283360000000002</c:v>
                </c:pt>
                <c:pt idx="2">
                  <c:v>31.71472</c:v>
                </c:pt>
                <c:pt idx="3">
                  <c:v>29.873760000000001</c:v>
                </c:pt>
                <c:pt idx="4">
                  <c:v>29.455360000000002</c:v>
                </c:pt>
                <c:pt idx="5">
                  <c:v>22.802800000000001</c:v>
                </c:pt>
                <c:pt idx="6">
                  <c:v>22.258880000000001</c:v>
                </c:pt>
                <c:pt idx="7">
                  <c:v>21.422080000000001</c:v>
                </c:pt>
                <c:pt idx="8">
                  <c:v>20.79448</c:v>
                </c:pt>
                <c:pt idx="9">
                  <c:v>18.200399999999998</c:v>
                </c:pt>
                <c:pt idx="10">
                  <c:v>17.907520000000002</c:v>
                </c:pt>
                <c:pt idx="11">
                  <c:v>17.572800000000001</c:v>
                </c:pt>
                <c:pt idx="12">
                  <c:v>16.69416</c:v>
                </c:pt>
                <c:pt idx="13">
                  <c:v>16.359440000000003</c:v>
                </c:pt>
                <c:pt idx="14">
                  <c:v>14.2256</c:v>
                </c:pt>
                <c:pt idx="15">
                  <c:v>14.10008</c:v>
                </c:pt>
                <c:pt idx="16">
                  <c:v>13.723520000000001</c:v>
                </c:pt>
                <c:pt idx="17">
                  <c:v>13.723520000000001</c:v>
                </c:pt>
                <c:pt idx="18">
                  <c:v>13.51432</c:v>
                </c:pt>
                <c:pt idx="19">
                  <c:v>13.26328</c:v>
                </c:pt>
                <c:pt idx="20">
                  <c:v>13.054080000000001</c:v>
                </c:pt>
                <c:pt idx="21">
                  <c:v>13.054080000000001</c:v>
                </c:pt>
                <c:pt idx="22">
                  <c:v>12.71936</c:v>
                </c:pt>
                <c:pt idx="23">
                  <c:v>12.552</c:v>
                </c:pt>
                <c:pt idx="24">
                  <c:v>12.510160000000001</c:v>
                </c:pt>
                <c:pt idx="25">
                  <c:v>12.175440000000002</c:v>
                </c:pt>
                <c:pt idx="26">
                  <c:v>12.091760000000001</c:v>
                </c:pt>
                <c:pt idx="27">
                  <c:v>11.213120000000002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88-4802-BEDF-D505C6AFB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31888"/>
        <c:axId val="39123360"/>
      </c:scatterChart>
      <c:valAx>
        <c:axId val="3913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3360"/>
        <c:crosses val="autoZero"/>
        <c:crossBetween val="midCat"/>
      </c:valAx>
      <c:valAx>
        <c:axId val="391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 intensity [GJ/ton]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3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812006</xdr:colOff>
      <xdr:row>17</xdr:row>
      <xdr:rowOff>23813</xdr:rowOff>
    </xdr:from>
    <xdr:to>
      <xdr:col>11</xdr:col>
      <xdr:colOff>1762126</xdr:colOff>
      <xdr:row>50</xdr:row>
      <xdr:rowOff>130968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18574</xdr:colOff>
      <xdr:row>27</xdr:row>
      <xdr:rowOff>20131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"/>
          <a:ext cx="8145780" cy="440925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17</xdr:col>
      <xdr:colOff>406756</xdr:colOff>
      <xdr:row>12</xdr:row>
      <xdr:rowOff>104524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381000"/>
          <a:ext cx="3495238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17</xdr:col>
      <xdr:colOff>454375</xdr:colOff>
      <xdr:row>20</xdr:row>
      <xdr:rowOff>9357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2476500"/>
          <a:ext cx="3542857" cy="13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2</xdr:row>
      <xdr:rowOff>0</xdr:rowOff>
    </xdr:from>
    <xdr:to>
      <xdr:col>25</xdr:col>
      <xdr:colOff>485191</xdr:colOff>
      <xdr:row>6</xdr:row>
      <xdr:rowOff>114190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87225" y="381000"/>
          <a:ext cx="4666667" cy="8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</xdr:row>
      <xdr:rowOff>0</xdr:rowOff>
    </xdr:from>
    <xdr:to>
      <xdr:col>33</xdr:col>
      <xdr:colOff>577432</xdr:colOff>
      <xdr:row>15</xdr:row>
      <xdr:rowOff>76024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3531" y="1524000"/>
          <a:ext cx="9685714" cy="14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142875</xdr:rowOff>
    </xdr:from>
    <xdr:to>
      <xdr:col>15</xdr:col>
      <xdr:colOff>256537</xdr:colOff>
      <xdr:row>16</xdr:row>
      <xdr:rowOff>75875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5775" y="523875"/>
          <a:ext cx="5104762" cy="2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3</xdr:row>
      <xdr:rowOff>28575</xdr:rowOff>
    </xdr:from>
    <xdr:to>
      <xdr:col>17</xdr:col>
      <xdr:colOff>256290</xdr:colOff>
      <xdr:row>27</xdr:row>
      <xdr:rowOff>56575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0" y="600075"/>
          <a:ext cx="7076190" cy="46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43703</xdr:colOff>
      <xdr:row>77</xdr:row>
      <xdr:rowOff>128706</xdr:rowOff>
    </xdr:from>
    <xdr:to>
      <xdr:col>33</xdr:col>
      <xdr:colOff>524996</xdr:colOff>
      <xdr:row>113</xdr:row>
      <xdr:rowOff>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122706</xdr:colOff>
      <xdr:row>71</xdr:row>
      <xdr:rowOff>42024</xdr:rowOff>
    </xdr:from>
    <xdr:to>
      <xdr:col>33</xdr:col>
      <xdr:colOff>395010</xdr:colOff>
      <xdr:row>75</xdr:row>
      <xdr:rowOff>94131</xdr:rowOff>
    </xdr:to>
    <xdr:grpSp>
      <xdr:nvGrpSpPr>
        <xdr:cNvPr id="3" name="Group 1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>
          <a:grpSpLocks/>
        </xdr:cNvGrpSpPr>
      </xdr:nvGrpSpPr>
      <xdr:grpSpPr bwMode="auto">
        <a:xfrm>
          <a:off x="28262582" y="12011811"/>
          <a:ext cx="1529267" cy="726365"/>
          <a:chOff x="22691959" y="4380925"/>
          <a:chExt cx="1479434" cy="388909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 txBox="1"/>
        </xdr:nvSpPr>
        <xdr:spPr>
          <a:xfrm>
            <a:off x="22738623" y="4380925"/>
            <a:ext cx="1432770" cy="38890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10 best </a:t>
            </a:r>
            <a:r>
              <a:rPr lang="en-US" sz="1100" b="1" baseline="0"/>
              <a:t>ammonia plants in 2008 IFA Benchmarking (BPT)</a:t>
            </a:r>
            <a:endParaRPr lang="en-US" sz="1100" b="1"/>
          </a:p>
        </xdr:txBody>
      </xdr:sp>
      <xdr:sp macro="" textlink="">
        <xdr:nvSpPr>
          <xdr:cNvPr id="5" name="Right Brace 15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>
            <a:spLocks/>
          </xdr:cNvSpPr>
        </xdr:nvSpPr>
        <xdr:spPr bwMode="auto">
          <a:xfrm>
            <a:off x="22691959" y="4460064"/>
            <a:ext cx="89647" cy="122354"/>
          </a:xfrm>
          <a:prstGeom prst="rightBrace">
            <a:avLst>
              <a:gd name="adj1" fmla="val 8334"/>
              <a:gd name="adj2" fmla="val 50000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17</xdr:col>
      <xdr:colOff>593272</xdr:colOff>
      <xdr:row>114</xdr:row>
      <xdr:rowOff>36340</xdr:rowOff>
    </xdr:from>
    <xdr:to>
      <xdr:col>33</xdr:col>
      <xdr:colOff>469447</xdr:colOff>
      <xdr:row>146</xdr:row>
      <xdr:rowOff>120623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493060</xdr:colOff>
      <xdr:row>3</xdr:row>
      <xdr:rowOff>29134</xdr:rowOff>
    </xdr:from>
    <xdr:to>
      <xdr:col>34</xdr:col>
      <xdr:colOff>100853</xdr:colOff>
      <xdr:row>38</xdr:row>
      <xdr:rowOff>44822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560294</xdr:colOff>
      <xdr:row>39</xdr:row>
      <xdr:rowOff>22412</xdr:rowOff>
    </xdr:from>
    <xdr:to>
      <xdr:col>34</xdr:col>
      <xdr:colOff>168087</xdr:colOff>
      <xdr:row>74</xdr:row>
      <xdr:rowOff>38100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380999</xdr:colOff>
      <xdr:row>0</xdr:row>
      <xdr:rowOff>134473</xdr:rowOff>
    </xdr:from>
    <xdr:to>
      <xdr:col>16</xdr:col>
      <xdr:colOff>493058</xdr:colOff>
      <xdr:row>2</xdr:row>
      <xdr:rowOff>156883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13536705" y="134473"/>
          <a:ext cx="4415118" cy="4034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/>
            <a:t>@misc{kermeli2017energy, title={Energy Efficiency and Cost Saving Opportunities for Ammonia and Nitrogenous Fertilizer Production: An ENERGY STAR{\textregistered} Guide for Energy and Plant Managers}, </a:t>
          </a:r>
        </a:p>
        <a:p>
          <a:r>
            <a:rPr lang="en-GB"/>
            <a:t>author={Kermeli, A and Worrell, E and Graus, WHJ and Corsten, MAM}, </a:t>
          </a:r>
        </a:p>
        <a:p>
          <a:r>
            <a:rPr lang="en-GB"/>
            <a:t>year={2017}, </a:t>
          </a:r>
        </a:p>
        <a:p>
          <a:r>
            <a:rPr lang="en-GB"/>
            <a:t>publisher={EPA-United States Environmental Protection Agency} }</a:t>
          </a:r>
          <a:endParaRPr lang="en-GB" sz="1100"/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0.81225</cdr:x>
      <cdr:y>0.47617</cdr:y>
    </cdr:from>
    <cdr:to>
      <cdr:x>0.97823</cdr:x>
      <cdr:y>0.54316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7D249094-A127-A342-B29A-1ED7B82DFCBD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8427977" y="2633383"/>
          <a:ext cx="1722223" cy="370478"/>
          <a:chOff x="0" y="0"/>
          <a:chExt cx="1579341" cy="209058"/>
        </a:xfrm>
      </cdr:grpSpPr>
      <cdr:sp macro="" textlink="">
        <cdr:nvSpPr>
          <cdr:cNvPr id="3" name="TextBox 17"/>
          <cdr:cNvSpPr txBox="1"/>
        </cdr:nvSpPr>
        <cdr:spPr>
          <a:xfrm xmlns:a="http://schemas.openxmlformats.org/drawingml/2006/main">
            <a:off x="167224" y="0"/>
            <a:ext cx="1412117" cy="209058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 b="1"/>
              <a:t>10 best </a:t>
            </a:r>
            <a:r>
              <a:rPr lang="en-US" sz="1100" b="1" baseline="0"/>
              <a:t>ammonia plants in 2008 IFA Benchmarking (BPT)</a:t>
            </a:r>
            <a:endParaRPr lang="en-US" sz="1100" b="1"/>
          </a:p>
        </cdr:txBody>
      </cdr:sp>
      <cdr:sp macro="" textlink="">
        <cdr:nvSpPr>
          <cdr:cNvPr id="4" name="Right Brace 3"/>
          <cdr:cNvSpPr>
            <a:spLocks xmlns:a="http://schemas.openxmlformats.org/drawingml/2006/main"/>
          </cdr:cNvSpPr>
        </cdr:nvSpPr>
        <cdr:spPr bwMode="auto">
          <a:xfrm xmlns:a="http://schemas.openxmlformats.org/drawingml/2006/main">
            <a:off x="0" y="70117"/>
            <a:ext cx="88708" cy="94025"/>
          </a:xfrm>
          <a:prstGeom xmlns:a="http://schemas.openxmlformats.org/drawingml/2006/main" prst="rightBrace">
            <a:avLst>
              <a:gd name="adj1" fmla="val 8334"/>
              <a:gd name="adj2" fmla="val 50000"/>
            </a:avLst>
          </a:prstGeom>
          <a:solidFill xmlns:a="http://schemas.openxmlformats.org/drawingml/2006/main">
            <a:srgbClr xmlns:mc="http://schemas.openxmlformats.org/markup-compatibility/2006" xmlns:a14="http://schemas.microsoft.com/office/drawing/2010/main" val="FFFFFF" mc:Ignorable="a14" a14:legacySpreadsheetColorIndex="9"/>
          </a:solidFill>
          <a:ln xmlns:a="http://schemas.openxmlformats.org/drawingml/2006/main" w="9525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GB"/>
          </a:p>
        </cdr:txBody>
      </cdr: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257175</xdr:colOff>
      <xdr:row>4</xdr:row>
      <xdr:rowOff>65716</xdr:rowOff>
    </xdr:from>
    <xdr:to>
      <xdr:col>16</xdr:col>
      <xdr:colOff>113165</xdr:colOff>
      <xdr:row>35</xdr:row>
      <xdr:rowOff>122794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827716"/>
          <a:ext cx="6561590" cy="5962578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4</xdr:row>
      <xdr:rowOff>38100</xdr:rowOff>
    </xdr:from>
    <xdr:to>
      <xdr:col>26</xdr:col>
      <xdr:colOff>27498</xdr:colOff>
      <xdr:row>17</xdr:row>
      <xdr:rowOff>42829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77650" y="800100"/>
          <a:ext cx="6085398" cy="24812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295285</xdr:colOff>
      <xdr:row>2</xdr:row>
      <xdr:rowOff>180975</xdr:rowOff>
    </xdr:from>
    <xdr:to>
      <xdr:col>13</xdr:col>
      <xdr:colOff>447</xdr:colOff>
      <xdr:row>38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10" y="561975"/>
          <a:ext cx="5801162" cy="68389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180975</xdr:colOff>
      <xdr:row>2</xdr:row>
      <xdr:rowOff>76200</xdr:rowOff>
    </xdr:from>
    <xdr:to>
      <xdr:col>23</xdr:col>
      <xdr:colOff>370689</xdr:colOff>
      <xdr:row>27</xdr:row>
      <xdr:rowOff>18462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457200"/>
          <a:ext cx="6285714" cy="47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0</xdr:rowOff>
    </xdr:from>
    <xdr:to>
      <xdr:col>13</xdr:col>
      <xdr:colOff>484730</xdr:colOff>
      <xdr:row>27</xdr:row>
      <xdr:rowOff>86342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743075"/>
          <a:ext cx="8371430" cy="36867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30955</xdr:colOff>
      <xdr:row>51</xdr:row>
      <xdr:rowOff>121443</xdr:rowOff>
    </xdr:from>
    <xdr:to>
      <xdr:col>17</xdr:col>
      <xdr:colOff>363450</xdr:colOff>
      <xdr:row>83</xdr:row>
      <xdr:rowOff>168300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5549" y="9836943"/>
          <a:ext cx="7011901" cy="6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495048</xdr:colOff>
      <xdr:row>21</xdr:row>
      <xdr:rowOff>154779</xdr:rowOff>
    </xdr:from>
    <xdr:to>
      <xdr:col>21</xdr:col>
      <xdr:colOff>198912</xdr:colOff>
      <xdr:row>37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2954" y="4155279"/>
          <a:ext cx="5168833" cy="2988471"/>
        </a:xfrm>
        <a:prstGeom prst="rect">
          <a:avLst/>
        </a:prstGeom>
      </xdr:spPr>
    </xdr:pic>
    <xdr:clientData/>
  </xdr:twoCellAnchor>
  <xdr:twoCellAnchor editAs="oneCell">
    <xdr:from>
      <xdr:col>12</xdr:col>
      <xdr:colOff>559593</xdr:colOff>
      <xdr:row>38</xdr:row>
      <xdr:rowOff>17251</xdr:rowOff>
    </xdr:from>
    <xdr:to>
      <xdr:col>21</xdr:col>
      <xdr:colOff>290056</xdr:colOff>
      <xdr:row>49</xdr:row>
      <xdr:rowOff>119062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499" y="7256251"/>
          <a:ext cx="5195432" cy="2197311"/>
        </a:xfrm>
        <a:prstGeom prst="rect">
          <a:avLst/>
        </a:prstGeom>
      </xdr:spPr>
    </xdr:pic>
    <xdr:clientData/>
  </xdr:twoCellAnchor>
  <xdr:twoCellAnchor editAs="oneCell">
    <xdr:from>
      <xdr:col>5</xdr:col>
      <xdr:colOff>518125</xdr:colOff>
      <xdr:row>21</xdr:row>
      <xdr:rowOff>154782</xdr:rowOff>
    </xdr:from>
    <xdr:to>
      <xdr:col>12</xdr:col>
      <xdr:colOff>416719</xdr:colOff>
      <xdr:row>48</xdr:row>
      <xdr:rowOff>127323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85500" y="4155282"/>
          <a:ext cx="4149125" cy="511604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0</xdr:row>
      <xdr:rowOff>0</xdr:rowOff>
    </xdr:from>
    <xdr:to>
      <xdr:col>14</xdr:col>
      <xdr:colOff>519860</xdr:colOff>
      <xdr:row>20</xdr:row>
      <xdr:rowOff>88507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50844" y="0"/>
          <a:ext cx="4901360" cy="3898507"/>
        </a:xfrm>
        <a:prstGeom prst="rect">
          <a:avLst/>
        </a:prstGeom>
      </xdr:spPr>
    </xdr:pic>
    <xdr:clientData/>
  </xdr:twoCellAnchor>
  <xdr:twoCellAnchor editAs="oneCell">
    <xdr:from>
      <xdr:col>14</xdr:col>
      <xdr:colOff>464343</xdr:colOff>
      <xdr:row>0</xdr:row>
      <xdr:rowOff>30166</xdr:rowOff>
    </xdr:from>
    <xdr:to>
      <xdr:col>23</xdr:col>
      <xdr:colOff>107155</xdr:colOff>
      <xdr:row>21</xdr:row>
      <xdr:rowOff>143443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96687" y="30166"/>
          <a:ext cx="5107781" cy="41137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40481</xdr:colOff>
      <xdr:row>0</xdr:row>
      <xdr:rowOff>0</xdr:rowOff>
    </xdr:from>
    <xdr:to>
      <xdr:col>17</xdr:col>
      <xdr:colOff>172976</xdr:colOff>
      <xdr:row>33</xdr:row>
      <xdr:rowOff>132548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4075" y="0"/>
          <a:ext cx="6811901" cy="6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309562</xdr:colOff>
      <xdr:row>0</xdr:row>
      <xdr:rowOff>0</xdr:rowOff>
    </xdr:from>
    <xdr:to>
      <xdr:col>31</xdr:col>
      <xdr:colOff>546590</xdr:colOff>
      <xdr:row>28</xdr:row>
      <xdr:rowOff>132667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2562" y="0"/>
          <a:ext cx="8738091" cy="54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28576</xdr:colOff>
      <xdr:row>3</xdr:row>
      <xdr:rowOff>95251</xdr:rowOff>
    </xdr:from>
    <xdr:to>
      <xdr:col>19</xdr:col>
      <xdr:colOff>494481</xdr:colOff>
      <xdr:row>20</xdr:row>
      <xdr:rowOff>104370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3545" y="666751"/>
          <a:ext cx="6538092" cy="32476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180976</xdr:colOff>
      <xdr:row>0</xdr:row>
      <xdr:rowOff>0</xdr:rowOff>
    </xdr:from>
    <xdr:to>
      <xdr:col>23</xdr:col>
      <xdr:colOff>140830</xdr:colOff>
      <xdr:row>24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6" y="0"/>
          <a:ext cx="9713454" cy="45815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15</xdr:col>
      <xdr:colOff>399390</xdr:colOff>
      <xdr:row>22</xdr:row>
      <xdr:rowOff>142381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381000"/>
          <a:ext cx="5276190" cy="39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15</xdr:col>
      <xdr:colOff>494629</xdr:colOff>
      <xdr:row>42</xdr:row>
      <xdr:rowOff>132881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4381500"/>
          <a:ext cx="5371429" cy="37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542925</xdr:colOff>
      <xdr:row>2</xdr:row>
      <xdr:rowOff>9525</xdr:rowOff>
    </xdr:from>
    <xdr:to>
      <xdr:col>24</xdr:col>
      <xdr:colOff>313668</xdr:colOff>
      <xdr:row>22</xdr:row>
      <xdr:rowOff>28096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86925" y="390525"/>
          <a:ext cx="5257143" cy="38285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447675</xdr:colOff>
      <xdr:row>3</xdr:row>
      <xdr:rowOff>57150</xdr:rowOff>
    </xdr:from>
    <xdr:to>
      <xdr:col>19</xdr:col>
      <xdr:colOff>218342</xdr:colOff>
      <xdr:row>39</xdr:row>
      <xdr:rowOff>142007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628650"/>
          <a:ext cx="5866667" cy="694285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485029</xdr:colOff>
      <xdr:row>13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71429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9</xdr:col>
      <xdr:colOff>446933</xdr:colOff>
      <xdr:row>27</xdr:row>
      <xdr:rowOff>37786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5933333" cy="25142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47624</xdr:rowOff>
    </xdr:from>
    <xdr:to>
      <xdr:col>18</xdr:col>
      <xdr:colOff>558616</xdr:colOff>
      <xdr:row>35</xdr:row>
      <xdr:rowOff>94251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" y="619124"/>
          <a:ext cx="7454716" cy="614262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561975</xdr:colOff>
      <xdr:row>5</xdr:row>
      <xdr:rowOff>57150</xdr:rowOff>
    </xdr:from>
    <xdr:to>
      <xdr:col>15</xdr:col>
      <xdr:colOff>113518</xdr:colOff>
      <xdr:row>16</xdr:row>
      <xdr:rowOff>75936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0375" y="1009650"/>
          <a:ext cx="6257143" cy="211428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12708</xdr:colOff>
      <xdr:row>3</xdr:row>
      <xdr:rowOff>12700</xdr:rowOff>
    </xdr:from>
    <xdr:to>
      <xdr:col>27</xdr:col>
      <xdr:colOff>603497</xdr:colOff>
      <xdr:row>39</xdr:row>
      <xdr:rowOff>6096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155575</xdr:colOff>
      <xdr:row>177</xdr:row>
      <xdr:rowOff>66675</xdr:rowOff>
    </xdr:from>
    <xdr:to>
      <xdr:col>27</xdr:col>
      <xdr:colOff>85736</xdr:colOff>
      <xdr:row>179</xdr:row>
      <xdr:rowOff>104775</xdr:rowOff>
    </xdr:to>
    <xdr:sp macro="" textlink="">
      <xdr:nvSpPr>
        <xdr:cNvPr id="3" name="Text Box 5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>
          <a:spLocks noChangeArrowheads="1"/>
        </xdr:cNvSpPr>
      </xdr:nvSpPr>
      <xdr:spPr bwMode="auto">
        <a:xfrm>
          <a:off x="10194925" y="29289375"/>
          <a:ext cx="6426211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Reference: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Smil, Vaclav.  </a:t>
          </a:r>
          <a:r>
            <a:rPr lang="en-US" sz="1000" b="0" i="0" u="sng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Energy in World History.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  1994.</a:t>
          </a:r>
          <a:endParaRPr lang="en-US" sz="1200" b="0" i="0" u="sng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l" rtl="0">
            <a:defRPr sz="1000"/>
          </a:pPr>
          <a:endParaRPr lang="en-US" sz="1200" b="0" i="0" u="sng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</xdr:txBody>
    </xdr:sp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0.55522</cdr:x>
      <cdr:y>0.71847</cdr:y>
    </cdr:from>
    <cdr:to>
      <cdr:x>0.82369</cdr:x>
      <cdr:y>0.77477</cdr:y>
    </cdr:to>
    <cdr:sp macro="" textlink="">
      <cdr:nvSpPr>
        <cdr:cNvPr id="3584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38910" y="3937093"/>
          <a:ext cx="2146388" cy="308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1" i="0" strike="noStrike">
              <a:solidFill>
                <a:srgbClr val="000000"/>
              </a:solidFill>
              <a:latin typeface="Arial"/>
              <a:cs typeface="Arial"/>
            </a:rPr>
            <a:t>Quantity</a:t>
          </a:r>
        </a:p>
      </cdr:txBody>
    </cdr:sp>
  </cdr:relSizeAnchor>
  <cdr:relSizeAnchor xmlns:cdr="http://schemas.openxmlformats.org/drawingml/2006/chartDrawing">
    <cdr:from>
      <cdr:x>0.3587</cdr:x>
      <cdr:y>0.42646</cdr:y>
    </cdr:from>
    <cdr:to>
      <cdr:x>0.60793</cdr:x>
      <cdr:y>0.47515</cdr:y>
    </cdr:to>
    <cdr:sp macro="" textlink="">
      <cdr:nvSpPr>
        <cdr:cNvPr id="3584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67758" y="2336892"/>
          <a:ext cx="1992566" cy="2668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1" i="0" strike="noStrike">
              <a:solidFill>
                <a:srgbClr val="000000"/>
              </a:solidFill>
              <a:latin typeface="Arial"/>
              <a:cs typeface="Arial"/>
            </a:rPr>
            <a:t>Efficiency</a:t>
          </a:r>
        </a:p>
      </cdr:txBody>
    </cdr:sp>
  </cdr:relSizeAnchor>
  <cdr:relSizeAnchor xmlns:cdr="http://schemas.openxmlformats.org/drawingml/2006/chartDrawing">
    <cdr:from>
      <cdr:x>0.00651</cdr:x>
      <cdr:y>0.05794</cdr:y>
    </cdr:from>
    <cdr:to>
      <cdr:x>0.06704</cdr:x>
      <cdr:y>0.90872</cdr:y>
    </cdr:to>
    <cdr:sp macro="" textlink="">
      <cdr:nvSpPr>
        <cdr:cNvPr id="3584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047" y="317500"/>
          <a:ext cx="483930" cy="46621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1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e</a:t>
          </a:r>
          <a:endParaRPr lang="en-US" sz="1400" b="1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 xmlns:a="http://schemas.openxmlformats.org/drawingml/2006/main">
          <a:pPr algn="ctr" rtl="0">
            <a:lnSpc>
              <a:spcPts val="1100"/>
            </a:lnSpc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(kg of nitrogen produced per GJ of energy consumed)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18</xdr:row>
      <xdr:rowOff>38099</xdr:rowOff>
    </xdr:from>
    <xdr:to>
      <xdr:col>10</xdr:col>
      <xdr:colOff>538785</xdr:colOff>
      <xdr:row>34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3467099"/>
          <a:ext cx="4596435" cy="3143251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3</xdr:row>
      <xdr:rowOff>66675</xdr:rowOff>
    </xdr:from>
    <xdr:to>
      <xdr:col>10</xdr:col>
      <xdr:colOff>571500</xdr:colOff>
      <xdr:row>17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345283</xdr:colOff>
      <xdr:row>1</xdr:row>
      <xdr:rowOff>0</xdr:rowOff>
    </xdr:from>
    <xdr:to>
      <xdr:col>34</xdr:col>
      <xdr:colOff>392907</xdr:colOff>
      <xdr:row>36</xdr:row>
      <xdr:rowOff>164124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21439" y="190500"/>
          <a:ext cx="6584156" cy="6831624"/>
        </a:xfrm>
        <a:prstGeom prst="rect">
          <a:avLst/>
        </a:prstGeom>
      </xdr:spPr>
    </xdr:pic>
    <xdr:clientData/>
  </xdr:twoCellAnchor>
  <xdr:twoCellAnchor editAs="oneCell">
    <xdr:from>
      <xdr:col>25</xdr:col>
      <xdr:colOff>333376</xdr:colOff>
      <xdr:row>37</xdr:row>
      <xdr:rowOff>54366</xdr:rowOff>
    </xdr:from>
    <xdr:to>
      <xdr:col>34</xdr:col>
      <xdr:colOff>381000</xdr:colOff>
      <xdr:row>67</xdr:row>
      <xdr:rowOff>33373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09532" y="7102866"/>
          <a:ext cx="6584156" cy="569400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irago.internal.dtlr.gov.uk/data/2005Publications/RoRo%20Q2_2005/Bulletin205draf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pebr/Dropbox/Fellowship%201960-2015%20PFU%20database/Data/Machines%20-%20Data/Blast_oxygen_furnaces/Blast_oxygen_furnac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dor/Downloads/Energ&#237;a%20inputs%20v3.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virago.internal.dtlr.gov.uk/data/Publications%20&amp;%20DataProvision/SR2/Annual%20Bulletin%20working%20version/work/Sect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virago.internal.dtlr.gov.uk/data/TSGB1998/SECTION1/1-13-9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2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irago.internal.dtlr.gov.uk/data/IRHS/EXCEL/RORO/bulletins/2003/SA%20Changes/SA%20Changes%20to%20bulletin%20-%20draf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NR/Reports/31x_32x_33(globaux%202010)/index_31x_32x_3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a"/>
      <sheetName val="TABLE5"/>
      <sheetName val="TABLE4A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Meyers_1993"/>
      <sheetName val="Mernier_1984"/>
      <sheetName val="China PB data"/>
      <sheetName val="ISSB UK data"/>
      <sheetName val="Johansson_2012"/>
      <sheetName val="DOE_2015"/>
      <sheetName val="Krishnan_2013"/>
      <sheetName val="Sargsyan_2008"/>
      <sheetName val="Freuhan_2000"/>
      <sheetName val="WorldSteel"/>
      <sheetName val="Bravard_1972"/>
      <sheetName val="Hajidavalloo_2013"/>
      <sheetName val="Blanchard_2011"/>
      <sheetName val="Jochem_2000"/>
      <sheetName val="Ayres_2006"/>
      <sheetName val="IndianMOP_2015"/>
      <sheetName val="Units"/>
      <sheetName val="Hernandez_2018"/>
      <sheetName val="de Beer_1998"/>
      <sheetName val="Kumar_2020"/>
      <sheetName val="ChemExergy"/>
      <sheetName val="Calcs_ChemEx"/>
      <sheetName val="ChemEnergy"/>
      <sheetName val="Figures"/>
    </sheetNames>
    <sheetDataSet>
      <sheetData sheetId="0"/>
      <sheetData sheetId="1"/>
      <sheetData sheetId="2"/>
      <sheetData sheetId="3"/>
      <sheetData sheetId="4"/>
      <sheetData sheetId="5"/>
      <sheetData sheetId="6">
        <row r="32">
          <cell r="D32">
            <v>1960</v>
          </cell>
        </row>
      </sheetData>
      <sheetData sheetId="7"/>
      <sheetData sheetId="8"/>
      <sheetData sheetId="9"/>
      <sheetData sheetId="10"/>
      <sheetData sheetId="11">
        <row r="2">
          <cell r="C2">
            <v>7.9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3">
          <cell r="B3">
            <v>3.5999999999999999E-3</v>
          </cell>
        </row>
        <row r="4">
          <cell r="B4">
            <v>4.1840000000000002E-3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 refreshError="1"/>
      <sheetData sheetId="1" refreshError="1">
        <row r="2">
          <cell r="F2">
            <v>1.055056</v>
          </cell>
        </row>
        <row r="9">
          <cell r="L9">
            <v>0.79960317460317454</v>
          </cell>
          <cell r="N9">
            <v>40.299999999999997</v>
          </cell>
        </row>
        <row r="10">
          <cell r="N10">
            <v>36.840910000000001</v>
          </cell>
        </row>
        <row r="11">
          <cell r="M11">
            <v>22.4</v>
          </cell>
        </row>
        <row r="15">
          <cell r="F15">
            <v>3.5999999997119998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ar"/>
      <sheetName val="c11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/>
      <sheetData sheetId="1">
        <row r="5">
          <cell r="W5">
            <v>70.142337662337667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S-INDEX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 refreshError="1"/>
      <sheetData sheetId="1">
        <row r="3">
          <cell r="M3">
            <v>46.2</v>
          </cell>
        </row>
        <row r="4">
          <cell r="M4">
            <v>47.1</v>
          </cell>
        </row>
        <row r="5">
          <cell r="M5">
            <v>45.7</v>
          </cell>
        </row>
        <row r="9">
          <cell r="M9">
            <v>50.4</v>
          </cell>
        </row>
      </sheetData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/>
      <sheetData sheetId="1">
        <row r="5">
          <cell r="N5">
            <v>38.566230000000004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a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_me"/>
      <sheetName val="Index"/>
      <sheetName val="33"/>
      <sheetName val="Graph 33"/>
      <sheetName val="Configuration"/>
      <sheetName val="MD"/>
      <sheetName val="Configurations save"/>
    </sheetNames>
    <sheetDataSet>
      <sheetData sheetId="0"/>
      <sheetData sheetId="1"/>
      <sheetData sheetId="2"/>
      <sheetData sheetId="3"/>
      <sheetData sheetId="4"/>
      <sheetData sheetId="5">
        <row r="2">
          <cell r="D2" t="str">
            <v>All GNR Participants</v>
          </cell>
        </row>
        <row r="3">
          <cell r="D3" t="str">
            <v>AALBORG PORTLAND</v>
          </cell>
        </row>
        <row r="4">
          <cell r="D4" t="str">
            <v>ASH GROVE CEMENT</v>
          </cell>
        </row>
        <row r="5">
          <cell r="D5" t="str">
            <v>BIO BIO</v>
          </cell>
        </row>
        <row r="6">
          <cell r="D6" t="str">
            <v>BUZZI UNICEM</v>
          </cell>
        </row>
        <row r="7">
          <cell r="D7" t="str">
            <v>CALME</v>
          </cell>
        </row>
        <row r="8">
          <cell r="D8" t="str">
            <v>CEMENT HRANICE</v>
          </cell>
        </row>
        <row r="9">
          <cell r="D9" t="str">
            <v>CEMENTERIA DI MONSELICE</v>
          </cell>
        </row>
        <row r="10">
          <cell r="D10" t="str">
            <v>CEMENTI DELLA LUCANIA</v>
          </cell>
        </row>
        <row r="11">
          <cell r="D11" t="str">
            <v>CEMENTI MOCCIA</v>
          </cell>
        </row>
        <row r="12">
          <cell r="D12" t="str">
            <v>CEMENTIR</v>
          </cell>
        </row>
        <row r="13">
          <cell r="D13" t="str">
            <v>CEMENTIROSSI</v>
          </cell>
        </row>
        <row r="14">
          <cell r="D14" t="str">
            <v>CEMENTIZILLO</v>
          </cell>
        </row>
        <row r="15">
          <cell r="D15" t="str">
            <v>CEMENTOS DEL NORTE</v>
          </cell>
        </row>
        <row r="16">
          <cell r="D16" t="str">
            <v>CEMENTOS MOLINS</v>
          </cell>
        </row>
        <row r="17">
          <cell r="D17" t="str">
            <v>CEMENTOS PROGRESO</v>
          </cell>
        </row>
        <row r="18">
          <cell r="D18" t="str">
            <v>CEMENTOWNIA ODRA</v>
          </cell>
        </row>
        <row r="19">
          <cell r="D19" t="str">
            <v>CEMENTOWNIA WARTA</v>
          </cell>
        </row>
        <row r="20">
          <cell r="D20" t="str">
            <v>CEMEX</v>
          </cell>
        </row>
        <row r="21">
          <cell r="D21" t="str">
            <v>CHIMBORAZO</v>
          </cell>
        </row>
        <row r="22">
          <cell r="D22" t="str">
            <v>CIMALUX</v>
          </cell>
        </row>
        <row r="23">
          <cell r="D23" t="str">
            <v>CIMENTOS LIZ</v>
          </cell>
        </row>
        <row r="24">
          <cell r="D24" t="str">
            <v>CIMPOR</v>
          </cell>
        </row>
        <row r="25">
          <cell r="D25" t="str">
            <v>COLACEM</v>
          </cell>
        </row>
        <row r="26">
          <cell r="D26" t="str">
            <v>COMODORO RIVADAVIA</v>
          </cell>
        </row>
        <row r="27">
          <cell r="D27" t="str">
            <v>CRH</v>
          </cell>
        </row>
        <row r="28">
          <cell r="D28" t="str">
            <v>DYCKERHOFF POLSKA</v>
          </cell>
        </row>
        <row r="29">
          <cell r="D29" t="str">
            <v>GMUNDNER</v>
          </cell>
        </row>
        <row r="30">
          <cell r="D30" t="str">
            <v>GUAPAN</v>
          </cell>
        </row>
        <row r="31">
          <cell r="D31" t="str">
            <v>HEIDELBERG CEMENT</v>
          </cell>
        </row>
        <row r="32">
          <cell r="D32" t="str">
            <v>HOLCIM</v>
          </cell>
        </row>
        <row r="33">
          <cell r="D33" t="str">
            <v>INTERCEMENT</v>
          </cell>
        </row>
        <row r="34">
          <cell r="D34" t="str">
            <v>ITALCEMENTI</v>
          </cell>
        </row>
        <row r="35">
          <cell r="D35" t="str">
            <v>KIRCHDORFER</v>
          </cell>
        </row>
        <row r="36">
          <cell r="D36" t="str">
            <v>LAFARGE</v>
          </cell>
        </row>
        <row r="37">
          <cell r="D37" t="str">
            <v>LEUBE</v>
          </cell>
        </row>
        <row r="38">
          <cell r="D38" t="str">
            <v>MELON</v>
          </cell>
        </row>
        <row r="39">
          <cell r="D39" t="str">
            <v>OFICEMEN</v>
          </cell>
        </row>
        <row r="40">
          <cell r="D40" t="str">
            <v>PORTLAND VALDERRIVAS</v>
          </cell>
        </row>
        <row r="41">
          <cell r="D41" t="str">
            <v>QUINN GROUP</v>
          </cell>
        </row>
        <row r="42">
          <cell r="D42" t="str">
            <v>SACCI</v>
          </cell>
        </row>
        <row r="43">
          <cell r="D43" t="str">
            <v>SCG CEMENT</v>
          </cell>
        </row>
        <row r="44">
          <cell r="D44" t="str">
            <v>SCHRETTER</v>
          </cell>
        </row>
        <row r="45">
          <cell r="D45" t="str">
            <v>SECIL</v>
          </cell>
        </row>
        <row r="46">
          <cell r="D46" t="str">
            <v>SHREE CEMENT</v>
          </cell>
        </row>
        <row r="47">
          <cell r="D47" t="str">
            <v>TAIHEIYO</v>
          </cell>
        </row>
        <row r="48">
          <cell r="D48" t="str">
            <v>TARMAC</v>
          </cell>
        </row>
        <row r="49">
          <cell r="D49" t="str">
            <v>TITAN</v>
          </cell>
        </row>
        <row r="50">
          <cell r="D50" t="str">
            <v>ULTRATECH CEMENT</v>
          </cell>
        </row>
        <row r="51">
          <cell r="D51" t="str">
            <v>VDZ</v>
          </cell>
        </row>
        <row r="52">
          <cell r="D52" t="str">
            <v>VICAT FRANCE</v>
          </cell>
        </row>
        <row r="53">
          <cell r="D53" t="str">
            <v>VICAT SWITZERLAND</v>
          </cell>
        </row>
        <row r="54">
          <cell r="D54" t="str">
            <v>VOTORANTIM</v>
          </cell>
        </row>
        <row r="55">
          <cell r="D55" t="str">
            <v>WOPFINGER</v>
          </cell>
        </row>
        <row r="56">
          <cell r="D56" t="str">
            <v>WUP</v>
          </cell>
        </row>
        <row r="57">
          <cell r="D57" t="str">
            <v>YATAI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pubs.rsc.org/en/content/articlepdf/2020/ee/c9ee02873k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ota.fas.org/reports/8312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dx.doi.org/10.1080/07352680490886905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researchgate.net/publication/319137040_Energy_Efficiency_and_Cost_Saving_Opportunities_for_Ammonia_and_Nitrogenous_Fertilizer_Production_An_ENERGY_STARR_Guide_for_Energy_Plant_Managers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1.eere.energy.gov/manufacturing/resources/aluminum/pdfs/al_theoretical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sciencedirect.com/science/article/pii/S0360544204004943?casa_token=BiAfkmhLi_MAAAAA:hhEQ7yjYwaXAZgyC2EnueXCjB65B2so2unBEPkC6tCwuBEigKmyfNfY76PrPzCFa2q529wPItQ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researchgate.net/publication/279804486_IEA_Tracking_Industrial_Energy_Efficiency_and_CO2_Emission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documents1.worldbank.org/curated/en/930741468739305174/pdf/multi-page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2.xml"/><Relationship Id="rId1" Type="http://schemas.openxmlformats.org/officeDocument/2006/relationships/hyperlink" Target="http://documents1.worldbank.org/curated/en/965921468766220943/pdf/multi-page.pdf" TargetMode="External"/><Relationship Id="rId4" Type="http://schemas.openxmlformats.org/officeDocument/2006/relationships/comments" Target="../comments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3.xml"/><Relationship Id="rId1" Type="http://schemas.openxmlformats.org/officeDocument/2006/relationships/hyperlink" Target="http://documents1.worldbank.org/curated/en/963761468739213764/pdf/multi-page.pdf" TargetMode="External"/><Relationship Id="rId4" Type="http://schemas.openxmlformats.org/officeDocument/2006/relationships/comments" Target="../comments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www.jstor.org/stable/4313148?seq=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5.xml"/><Relationship Id="rId1" Type="http://schemas.openxmlformats.org/officeDocument/2006/relationships/hyperlink" Target="https://www.osti.gov/biblio/773773" TargetMode="External"/><Relationship Id="rId4" Type="http://schemas.openxmlformats.org/officeDocument/2006/relationships/comments" Target="../comments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hyperlink" Target="https://www.sciencedirect.com/science/article/pii/S0360544211003446?casa_token=kWMGil4J7UoAAAAA:aEcFJWf7NSa17-uvknymB30rjiXxHA3ZAKQnfhuL4uhANcx5e94VbB5xCRGrWaYaJHvH0r2y_g" TargetMode="External"/><Relationship Id="rId4" Type="http://schemas.openxmlformats.org/officeDocument/2006/relationships/comments" Target="../comments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www.osti.gov/biblio/773773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www.osti.gov/biblio/764326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beeindia.gov.in/content/pat-downloads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s://ideas.repec.org/p/seh/wpaper/1507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tabSelected="1" workbookViewId="0"/>
  </sheetViews>
  <sheetFormatPr defaultColWidth="9.109375" defaultRowHeight="14.4"/>
  <cols>
    <col min="1" max="16384" width="9.109375" style="108"/>
  </cols>
  <sheetData>
    <row r="1" spans="1:1">
      <c r="A1" s="120" t="s">
        <v>245</v>
      </c>
    </row>
    <row r="2" spans="1:1">
      <c r="A2" s="118" t="s">
        <v>227</v>
      </c>
    </row>
    <row r="3" spans="1:1">
      <c r="A3" s="118" t="s">
        <v>228</v>
      </c>
    </row>
    <row r="4" spans="1:1">
      <c r="A4" s="118" t="s">
        <v>229</v>
      </c>
    </row>
    <row r="5" spans="1:1">
      <c r="A5" s="118" t="s">
        <v>230</v>
      </c>
    </row>
    <row r="6" spans="1:1">
      <c r="A6" s="118" t="s">
        <v>231</v>
      </c>
    </row>
    <row r="7" spans="1:1">
      <c r="A7" s="118" t="s">
        <v>232</v>
      </c>
    </row>
    <row r="8" spans="1:1">
      <c r="A8" s="118" t="s">
        <v>233</v>
      </c>
    </row>
    <row r="9" spans="1:1">
      <c r="A9" s="118" t="s">
        <v>234</v>
      </c>
    </row>
    <row r="10" spans="1:1">
      <c r="A10" s="118" t="s">
        <v>235</v>
      </c>
    </row>
    <row r="11" spans="1:1">
      <c r="A11" s="118" t="s">
        <v>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16"/>
  <sheetViews>
    <sheetView zoomScale="80" zoomScaleNormal="80" workbookViewId="0">
      <selection activeCell="H2" sqref="H2"/>
    </sheetView>
  </sheetViews>
  <sheetFormatPr defaultColWidth="8.6640625" defaultRowHeight="14.4"/>
  <cols>
    <col min="2" max="2" width="11.6640625" style="74" bestFit="1" customWidth="1"/>
    <col min="3" max="3" width="10.109375" style="74" bestFit="1" customWidth="1"/>
    <col min="4" max="4" width="8.109375" style="74" bestFit="1" customWidth="1"/>
    <col min="5" max="5" width="23.6640625" bestFit="1" customWidth="1"/>
    <col min="6" max="6" width="12.44140625" customWidth="1"/>
    <col min="7" max="7" width="11.44140625" customWidth="1"/>
    <col min="8" max="9" width="9.33203125" customWidth="1"/>
  </cols>
  <sheetData>
    <row r="1" spans="1:68" s="68" customFormat="1">
      <c r="A1" s="81" t="s">
        <v>72</v>
      </c>
      <c r="B1" s="81" t="s">
        <v>213</v>
      </c>
      <c r="C1" s="81" t="s">
        <v>214</v>
      </c>
      <c r="D1" s="81" t="s">
        <v>215</v>
      </c>
      <c r="E1" s="81" t="s">
        <v>73</v>
      </c>
      <c r="F1" s="81" t="s">
        <v>74</v>
      </c>
      <c r="G1" s="81" t="s">
        <v>212</v>
      </c>
      <c r="H1" s="81">
        <v>1960</v>
      </c>
      <c r="I1" s="81">
        <v>1961</v>
      </c>
      <c r="J1" s="81">
        <v>1962</v>
      </c>
      <c r="K1" s="81">
        <v>1963</v>
      </c>
      <c r="L1" s="81">
        <v>1964</v>
      </c>
      <c r="M1" s="81">
        <v>1965</v>
      </c>
      <c r="N1" s="81">
        <v>1966</v>
      </c>
      <c r="O1" s="81">
        <v>1967</v>
      </c>
      <c r="P1" s="81">
        <v>1968</v>
      </c>
      <c r="Q1" s="81">
        <v>1969</v>
      </c>
      <c r="R1" s="81">
        <v>1970</v>
      </c>
      <c r="S1" s="81">
        <v>1971</v>
      </c>
      <c r="T1" s="81">
        <v>1972</v>
      </c>
      <c r="U1" s="81">
        <v>1973</v>
      </c>
      <c r="V1" s="81">
        <v>1974</v>
      </c>
      <c r="W1" s="81">
        <v>1975</v>
      </c>
      <c r="X1" s="81">
        <v>1976</v>
      </c>
      <c r="Y1" s="81">
        <v>1977</v>
      </c>
      <c r="Z1" s="81">
        <v>1978</v>
      </c>
      <c r="AA1" s="81">
        <v>1979</v>
      </c>
      <c r="AB1" s="81">
        <v>1980</v>
      </c>
      <c r="AC1" s="81">
        <v>1981</v>
      </c>
      <c r="AD1" s="81">
        <v>1982</v>
      </c>
      <c r="AE1" s="81">
        <v>1983</v>
      </c>
      <c r="AF1" s="81">
        <v>1984</v>
      </c>
      <c r="AG1" s="81">
        <v>1985</v>
      </c>
      <c r="AH1" s="81">
        <v>1986</v>
      </c>
      <c r="AI1" s="81">
        <v>1987</v>
      </c>
      <c r="AJ1" s="81">
        <v>1988</v>
      </c>
      <c r="AK1" s="81">
        <v>1989</v>
      </c>
      <c r="AL1" s="81">
        <v>1990</v>
      </c>
      <c r="AM1" s="81">
        <v>1991</v>
      </c>
      <c r="AN1" s="81">
        <v>1992</v>
      </c>
      <c r="AO1" s="81">
        <v>1993</v>
      </c>
      <c r="AP1" s="81">
        <v>1994</v>
      </c>
      <c r="AQ1" s="81">
        <v>1995</v>
      </c>
      <c r="AR1" s="81">
        <v>1996</v>
      </c>
      <c r="AS1" s="81">
        <v>1997</v>
      </c>
      <c r="AT1" s="81">
        <v>1998</v>
      </c>
      <c r="AU1" s="81">
        <v>1999</v>
      </c>
      <c r="AV1" s="81">
        <v>2000</v>
      </c>
      <c r="AW1" s="81">
        <v>2001</v>
      </c>
      <c r="AX1" s="81">
        <v>2002</v>
      </c>
      <c r="AY1" s="81">
        <v>2003</v>
      </c>
      <c r="AZ1" s="81">
        <v>2004</v>
      </c>
      <c r="BA1" s="81">
        <v>2005</v>
      </c>
      <c r="BB1" s="81">
        <v>2006</v>
      </c>
      <c r="BC1" s="81">
        <v>2007</v>
      </c>
      <c r="BD1" s="81">
        <v>2008</v>
      </c>
      <c r="BE1" s="81">
        <v>2009</v>
      </c>
      <c r="BF1" s="81">
        <v>2010</v>
      </c>
      <c r="BG1" s="81">
        <v>2011</v>
      </c>
      <c r="BH1" s="81">
        <v>2012</v>
      </c>
      <c r="BI1" s="81">
        <v>2013</v>
      </c>
      <c r="BJ1" s="81">
        <v>2014</v>
      </c>
      <c r="BK1" s="81">
        <v>2015</v>
      </c>
      <c r="BL1" s="81">
        <v>2016</v>
      </c>
      <c r="BM1" s="81">
        <v>2017</v>
      </c>
      <c r="BN1" s="81">
        <v>2018</v>
      </c>
      <c r="BO1" s="81">
        <v>2019</v>
      </c>
      <c r="BP1" s="81">
        <v>2020</v>
      </c>
    </row>
    <row r="2" spans="1:68">
      <c r="A2" s="74" t="s">
        <v>244</v>
      </c>
      <c r="B2" s="74" t="s">
        <v>216</v>
      </c>
      <c r="C2" s="74" t="s">
        <v>217</v>
      </c>
      <c r="D2" s="74" t="s">
        <v>218</v>
      </c>
      <c r="E2" s="74" t="s">
        <v>124</v>
      </c>
      <c r="F2" s="74" t="s">
        <v>239</v>
      </c>
      <c r="G2" s="74" t="s">
        <v>219</v>
      </c>
      <c r="H2" s="106">
        <f t="array" ref="H2:BP2">TRANSPOSE(Calcs!T23:T83)</f>
        <v>0.3842292914258022</v>
      </c>
      <c r="I2" s="106">
        <v>0.39084369421234433</v>
      </c>
      <c r="J2" s="106">
        <v>0.39768981627447048</v>
      </c>
      <c r="K2" s="106">
        <v>0.4047800512721399</v>
      </c>
      <c r="L2" s="106">
        <v>0.4121276927532358</v>
      </c>
      <c r="M2" s="106">
        <v>0.41974701733819886</v>
      </c>
      <c r="N2" s="106">
        <v>0.43060307706631279</v>
      </c>
      <c r="O2" s="106">
        <v>0.44203559382105911</v>
      </c>
      <c r="P2" s="106">
        <v>0.45409173471224484</v>
      </c>
      <c r="Q2" s="106">
        <v>0.46682395690079348</v>
      </c>
      <c r="R2" s="106">
        <v>0.4802907706287049</v>
      </c>
      <c r="S2" s="106">
        <v>0.49260646512701256</v>
      </c>
      <c r="T2" s="106">
        <v>0.50557038359583517</v>
      </c>
      <c r="U2" s="106">
        <v>0.5192350871940723</v>
      </c>
      <c r="V2" s="106">
        <v>0.53365897749016811</v>
      </c>
      <c r="W2" s="106">
        <v>0.54890713084759168</v>
      </c>
      <c r="X2" s="106">
        <v>0.5640931820953774</v>
      </c>
      <c r="Y2" s="106">
        <v>0.58014341563355831</v>
      </c>
      <c r="Z2" s="106">
        <v>0.59713375796178336</v>
      </c>
      <c r="AA2" s="106">
        <v>0.6151492983972866</v>
      </c>
      <c r="AB2" s="106">
        <v>0.63428571428571423</v>
      </c>
      <c r="AC2" s="106">
        <v>0.64534883720930236</v>
      </c>
      <c r="AD2" s="106">
        <v>0.65680473372781067</v>
      </c>
      <c r="AE2" s="106">
        <v>0.66867469879518082</v>
      </c>
      <c r="AF2" s="106">
        <v>0.68098159509202461</v>
      </c>
      <c r="AG2" s="106">
        <v>0.69374999999999998</v>
      </c>
      <c r="AH2" s="106">
        <v>0.70006811473548769</v>
      </c>
      <c r="AI2" s="106">
        <v>0.70650236773766473</v>
      </c>
      <c r="AJ2" s="106">
        <v>0.71305599095510941</v>
      </c>
      <c r="AK2" s="106">
        <v>0.71973233737939601</v>
      </c>
      <c r="AL2" s="106">
        <v>0.72653488676528333</v>
      </c>
      <c r="AM2" s="106">
        <v>0.73186169791913913</v>
      </c>
      <c r="AN2" s="106">
        <v>0.73726719625919923</v>
      </c>
      <c r="AO2" s="106">
        <v>0.74275313829929601</v>
      </c>
      <c r="AP2" s="106">
        <v>0.74832133322546723</v>
      </c>
      <c r="AQ2" s="106">
        <v>0.7539736448852058</v>
      </c>
      <c r="AR2" s="106">
        <v>0.75568293994703417</v>
      </c>
      <c r="AS2" s="106">
        <v>0.75740000272936947</v>
      </c>
      <c r="AT2" s="106">
        <v>0.75912488630224118</v>
      </c>
      <c r="AU2" s="106">
        <v>0.76085764422022384</v>
      </c>
      <c r="AV2" s="106">
        <v>0.7625983305279791</v>
      </c>
      <c r="AW2" s="106">
        <v>0.76318033057396661</v>
      </c>
      <c r="AX2" s="106">
        <v>0.76376321964041205</v>
      </c>
      <c r="AY2" s="106">
        <v>0.76434699976587572</v>
      </c>
      <c r="AZ2" s="106">
        <v>0.76493167299515552</v>
      </c>
      <c r="BA2" s="106">
        <v>0.76551724137931032</v>
      </c>
      <c r="BB2" s="106">
        <v>0.76669107184793261</v>
      </c>
      <c r="BC2" s="106">
        <v>0.76786850770635595</v>
      </c>
      <c r="BD2" s="106">
        <v>0.76904956559092097</v>
      </c>
      <c r="BE2" s="106">
        <v>0.77023426224047953</v>
      </c>
      <c r="BF2" s="106">
        <v>0.77142261449718541</v>
      </c>
      <c r="BG2" s="106">
        <v>0.77201816676983426</v>
      </c>
      <c r="BH2" s="106">
        <v>0.77261463930729168</v>
      </c>
      <c r="BI2" s="106">
        <v>0.77321203424423735</v>
      </c>
      <c r="BJ2" s="106">
        <v>0.77381035372195783</v>
      </c>
      <c r="BK2" s="106">
        <v>0.77440959988837332</v>
      </c>
      <c r="BL2" s="106">
        <v>0.77440959988837332</v>
      </c>
      <c r="BM2" s="106">
        <v>0.77440959988837332</v>
      </c>
      <c r="BN2" s="106">
        <v>0.77440959988837332</v>
      </c>
      <c r="BO2" s="106">
        <v>0.77440959988837332</v>
      </c>
      <c r="BP2" s="106">
        <v>0.77440959988837332</v>
      </c>
    </row>
    <row r="3" spans="1:68">
      <c r="A3" s="74" t="s">
        <v>129</v>
      </c>
      <c r="B3" s="74" t="s">
        <v>216</v>
      </c>
      <c r="C3" s="74" t="s">
        <v>217</v>
      </c>
      <c r="D3" s="74" t="s">
        <v>218</v>
      </c>
      <c r="E3" s="74" t="s">
        <v>124</v>
      </c>
      <c r="F3" s="74" t="s">
        <v>239</v>
      </c>
      <c r="G3" s="74" t="s">
        <v>219</v>
      </c>
      <c r="H3" s="106">
        <f t="array" ref="H3:BP3">TRANSPOSE(Calcs!AB23:AB83)</f>
        <v>0.21454272968111926</v>
      </c>
      <c r="I3" s="106">
        <v>0.21823602444209192</v>
      </c>
      <c r="J3" s="106">
        <v>0.22205870466901656</v>
      </c>
      <c r="K3" s="106">
        <v>0.22601769062981061</v>
      </c>
      <c r="L3" s="106">
        <v>0.23012040506426426</v>
      </c>
      <c r="M3" s="106">
        <v>0.23437481963197845</v>
      </c>
      <c r="N3" s="106">
        <v>0.24043653522635186</v>
      </c>
      <c r="O3" s="106">
        <v>0.24682012806121009</v>
      </c>
      <c r="P3" s="106">
        <v>0.25355193491179384</v>
      </c>
      <c r="Q3" s="106">
        <v>0.26066124636772492</v>
      </c>
      <c r="R3" s="106">
        <v>0.26818073288727678</v>
      </c>
      <c r="S3" s="106">
        <v>0.27505746710444384</v>
      </c>
      <c r="T3" s="106">
        <v>0.2822961511863985</v>
      </c>
      <c r="U3" s="106">
        <v>0.28992613379228044</v>
      </c>
      <c r="V3" s="106">
        <v>0.29798002470013429</v>
      </c>
      <c r="W3" s="106">
        <v>0.30649416070407742</v>
      </c>
      <c r="X3" s="106">
        <v>0.31497362065281609</v>
      </c>
      <c r="Y3" s="106">
        <v>0.32393561546201644</v>
      </c>
      <c r="Z3" s="106">
        <v>0.33342254033384905</v>
      </c>
      <c r="AA3" s="106">
        <v>0.3434819067277301</v>
      </c>
      <c r="AB3" s="106">
        <v>0.3434819067277301</v>
      </c>
      <c r="AC3" s="106">
        <v>0.36310944425502895</v>
      </c>
      <c r="AD3" s="106">
        <v>0.36310944425502895</v>
      </c>
      <c r="AE3" s="106">
        <v>0.37936807608734369</v>
      </c>
      <c r="AF3" s="106">
        <v>0.37936807608734369</v>
      </c>
      <c r="AG3" s="106">
        <v>0.42718758147650465</v>
      </c>
      <c r="AH3" s="106">
        <v>0.42718758147650465</v>
      </c>
      <c r="AI3" s="106">
        <v>0.43823553616986249</v>
      </c>
      <c r="AJ3" s="106">
        <v>0.43823553616986249</v>
      </c>
      <c r="AK3" s="106">
        <v>0.44592387890968466</v>
      </c>
      <c r="AL3" s="106">
        <v>0.44592387890968466</v>
      </c>
      <c r="AM3" s="106">
        <v>0.44204627996264395</v>
      </c>
      <c r="AN3" s="106">
        <v>0.44204627996264395</v>
      </c>
      <c r="AO3" s="106">
        <v>0.46213929268821868</v>
      </c>
      <c r="AP3" s="106">
        <v>0.46213929268821868</v>
      </c>
      <c r="AQ3" s="106">
        <v>0.46637910271288119</v>
      </c>
      <c r="AR3" s="106">
        <v>0.46637910271288119</v>
      </c>
      <c r="AS3" s="106">
        <v>0.46921663120282792</v>
      </c>
      <c r="AT3" s="106">
        <v>0.47205415969277464</v>
      </c>
      <c r="AU3" s="106">
        <v>0.47489168818272137</v>
      </c>
      <c r="AV3" s="106">
        <v>0.4777292166726681</v>
      </c>
      <c r="AW3" s="106">
        <v>0.48056674516261483</v>
      </c>
      <c r="AX3" s="106">
        <v>0.48340427365256156</v>
      </c>
      <c r="AY3" s="106">
        <v>0.48624180214250828</v>
      </c>
      <c r="AZ3" s="106">
        <v>0.48907933063245501</v>
      </c>
      <c r="BA3" s="106">
        <v>0.49191685912240191</v>
      </c>
      <c r="BB3" s="106">
        <v>0.49267115565036307</v>
      </c>
      <c r="BC3" s="106">
        <v>0.49342776898052154</v>
      </c>
      <c r="BD3" s="106">
        <v>0.49418670980329144</v>
      </c>
      <c r="BE3" s="106">
        <v>0.49494798887496022</v>
      </c>
      <c r="BF3" s="106">
        <v>0.49571161701819638</v>
      </c>
      <c r="BG3" s="106">
        <v>0.49609431539201326</v>
      </c>
      <c r="BH3" s="106">
        <v>0.49647760512256217</v>
      </c>
      <c r="BI3" s="106">
        <v>0.49686148758157567</v>
      </c>
      <c r="BJ3" s="106">
        <v>0.49724596414503192</v>
      </c>
      <c r="BK3" s="106">
        <v>0.49763103619317173</v>
      </c>
      <c r="BL3" s="106">
        <v>0.49763103619317173</v>
      </c>
      <c r="BM3" s="106">
        <v>0.49763103619317173</v>
      </c>
      <c r="BN3" s="106">
        <v>0.49763103619317173</v>
      </c>
      <c r="BO3" s="106">
        <v>0.49763103619317173</v>
      </c>
      <c r="BP3" s="106">
        <v>0.49763103619317173</v>
      </c>
    </row>
    <row r="4" spans="1:68">
      <c r="A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</row>
    <row r="5" spans="1:68">
      <c r="A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</row>
    <row r="6" spans="1:68">
      <c r="A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</row>
    <row r="7" spans="1:68">
      <c r="A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</row>
    <row r="8" spans="1:68">
      <c r="A8" s="74"/>
      <c r="B8" s="89"/>
      <c r="C8" s="89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</row>
    <row r="9" spans="1:68">
      <c r="A9" s="74"/>
      <c r="B9" s="89"/>
      <c r="C9" s="109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</row>
    <row r="10" spans="1:68">
      <c r="A10" s="74"/>
      <c r="B10" s="89"/>
      <c r="C10" s="109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</row>
    <row r="11" spans="1:68">
      <c r="A11" s="74"/>
      <c r="B11" s="89"/>
      <c r="C11" s="109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</row>
    <row r="12" spans="1:68">
      <c r="A12" s="74"/>
      <c r="B12" s="89"/>
      <c r="C12" s="109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</row>
    <row r="13" spans="1:68">
      <c r="A13" s="74"/>
      <c r="B13" s="89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</row>
    <row r="14" spans="1:68">
      <c r="A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</row>
    <row r="15" spans="1:68">
      <c r="A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</row>
    <row r="16" spans="1:68">
      <c r="A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84"/>
  <sheetViews>
    <sheetView topLeftCell="A13" zoomScale="80" zoomScaleNormal="80" workbookViewId="0">
      <pane xSplit="1" topLeftCell="B1" activePane="topRight" state="frozen"/>
      <selection pane="topRight" activeCell="T14" sqref="T14"/>
    </sheetView>
  </sheetViews>
  <sheetFormatPr defaultColWidth="8.6640625" defaultRowHeight="14.4"/>
  <cols>
    <col min="1" max="1" width="9.109375" style="74"/>
    <col min="2" max="2" width="39" style="74" bestFit="1" customWidth="1"/>
    <col min="3" max="3" width="37.44140625" style="74" bestFit="1" customWidth="1"/>
    <col min="4" max="4" width="29" style="74" customWidth="1"/>
    <col min="5" max="5" width="23.6640625" style="74" bestFit="1" customWidth="1"/>
    <col min="6" max="7" width="21.109375" style="74" customWidth="1"/>
    <col min="8" max="8" width="23.6640625" bestFit="1" customWidth="1"/>
    <col min="9" max="9" width="15.6640625" bestFit="1" customWidth="1"/>
    <col min="10" max="11" width="15.6640625" customWidth="1"/>
    <col min="12" max="12" width="33.44140625" style="74" customWidth="1"/>
    <col min="13" max="13" width="15.6640625" customWidth="1"/>
    <col min="14" max="14" width="23.6640625" bestFit="1" customWidth="1"/>
    <col min="15" max="16" width="18.109375" customWidth="1"/>
    <col min="17" max="17" width="23.6640625" bestFit="1" customWidth="1"/>
    <col min="18" max="19" width="18.109375" customWidth="1"/>
    <col min="20" max="20" width="21" bestFit="1" customWidth="1"/>
    <col min="22" max="22" width="24.33203125" style="74" customWidth="1"/>
    <col min="23" max="23" width="28.109375" bestFit="1" customWidth="1"/>
    <col min="24" max="24" width="28.109375" style="112" customWidth="1"/>
    <col min="25" max="25" width="9.33203125" customWidth="1"/>
    <col min="26" max="26" width="23.6640625" bestFit="1" customWidth="1"/>
    <col min="27" max="27" width="28.6640625" bestFit="1" customWidth="1"/>
    <col min="28" max="28" width="21" bestFit="1" customWidth="1"/>
    <col min="29" max="29" width="28.6640625" bestFit="1" customWidth="1"/>
    <col min="31" max="31" width="23.6640625" bestFit="1" customWidth="1"/>
    <col min="32" max="32" width="15.109375" bestFit="1" customWidth="1"/>
    <col min="33" max="33" width="21" bestFit="1" customWidth="1"/>
  </cols>
  <sheetData>
    <row r="1" spans="1:33">
      <c r="E1" s="79" t="s">
        <v>39</v>
      </c>
      <c r="F1" s="84"/>
      <c r="G1" s="84"/>
      <c r="H1" s="79"/>
      <c r="I1" s="85"/>
      <c r="J1" s="85"/>
      <c r="K1" s="85"/>
      <c r="L1" s="84"/>
      <c r="M1" s="85"/>
      <c r="N1" s="88"/>
      <c r="O1" s="85"/>
      <c r="P1" s="85"/>
      <c r="Q1" s="85"/>
      <c r="R1" s="85"/>
      <c r="S1" s="85"/>
      <c r="T1" s="85"/>
      <c r="V1" s="82" t="s">
        <v>120</v>
      </c>
      <c r="W1" s="87"/>
      <c r="X1" s="113"/>
      <c r="Z1" s="83" t="s">
        <v>129</v>
      </c>
      <c r="AA1" s="86"/>
      <c r="AB1" s="86"/>
      <c r="AC1" s="86"/>
      <c r="AE1" s="94" t="s">
        <v>144</v>
      </c>
      <c r="AF1" s="95"/>
      <c r="AG1" s="95"/>
    </row>
    <row r="2" spans="1:33" s="116" customFormat="1">
      <c r="A2" s="115" t="s">
        <v>4</v>
      </c>
      <c r="B2" s="115" t="s">
        <v>223</v>
      </c>
      <c r="C2" s="115" t="s">
        <v>224</v>
      </c>
      <c r="D2" s="115"/>
      <c r="E2" s="116" t="s">
        <v>102</v>
      </c>
      <c r="F2" s="115" t="s">
        <v>104</v>
      </c>
      <c r="G2" s="115"/>
      <c r="H2" s="116" t="s">
        <v>102</v>
      </c>
      <c r="I2" s="115" t="s">
        <v>104</v>
      </c>
      <c r="J2" s="115"/>
      <c r="K2" s="116" t="s">
        <v>102</v>
      </c>
      <c r="L2" s="115" t="s">
        <v>104</v>
      </c>
      <c r="M2" s="115"/>
      <c r="N2" s="116" t="s">
        <v>102</v>
      </c>
      <c r="O2" s="115" t="s">
        <v>104</v>
      </c>
      <c r="P2" s="115"/>
      <c r="Q2" s="116" t="s">
        <v>102</v>
      </c>
      <c r="R2" s="115" t="s">
        <v>104</v>
      </c>
      <c r="S2" s="115"/>
      <c r="T2" s="115" t="s">
        <v>210</v>
      </c>
      <c r="V2" s="115" t="s">
        <v>102</v>
      </c>
      <c r="W2" s="115" t="s">
        <v>104</v>
      </c>
      <c r="X2" s="115" t="s">
        <v>210</v>
      </c>
      <c r="Z2" s="115" t="s">
        <v>102</v>
      </c>
      <c r="AA2" s="115" t="s">
        <v>104</v>
      </c>
      <c r="AB2" s="115" t="s">
        <v>210</v>
      </c>
      <c r="AC2" s="115" t="s">
        <v>104</v>
      </c>
      <c r="AE2" s="115" t="s">
        <v>102</v>
      </c>
      <c r="AF2" s="115" t="s">
        <v>104</v>
      </c>
      <c r="AG2" s="115" t="s">
        <v>210</v>
      </c>
    </row>
    <row r="3" spans="1:33" s="92" customFormat="1">
      <c r="A3" s="74">
        <v>1940</v>
      </c>
      <c r="B3" s="74">
        <f>Smith_2020!$R$24</f>
        <v>22.2</v>
      </c>
      <c r="C3" s="74">
        <f>Smith_2020!$R$25</f>
        <v>21.3</v>
      </c>
      <c r="D3" s="91"/>
      <c r="F3" s="91"/>
      <c r="G3" s="91"/>
      <c r="I3" s="91"/>
      <c r="J3" s="91"/>
      <c r="K3" s="91"/>
      <c r="L3" s="91"/>
      <c r="M3" s="91"/>
      <c r="N3" s="78">
        <f>Heath_1985!C18</f>
        <v>80</v>
      </c>
      <c r="O3" s="78" t="s">
        <v>158</v>
      </c>
      <c r="P3" s="78"/>
      <c r="Q3" s="78"/>
      <c r="R3" s="78"/>
      <c r="S3" s="78"/>
      <c r="T3" s="91"/>
      <c r="V3" s="93">
        <f>Constant_1992!D10</f>
        <v>79.125</v>
      </c>
      <c r="W3" s="74" t="s">
        <v>164</v>
      </c>
      <c r="X3" s="106"/>
      <c r="Z3" s="91"/>
      <c r="AA3" s="91"/>
      <c r="AC3" s="91"/>
      <c r="AE3" s="91"/>
      <c r="AF3" s="91"/>
    </row>
    <row r="4" spans="1:33" s="92" customFormat="1">
      <c r="A4" s="74">
        <v>1941</v>
      </c>
      <c r="B4" s="74">
        <f>Smith_2020!$R$24</f>
        <v>22.2</v>
      </c>
      <c r="C4" s="74">
        <f>Smith_2020!$R$25</f>
        <v>21.3</v>
      </c>
      <c r="D4" s="91"/>
      <c r="F4" s="91"/>
      <c r="G4" s="91"/>
      <c r="I4" s="91"/>
      <c r="J4" s="91"/>
      <c r="K4" s="91"/>
      <c r="L4" s="91"/>
      <c r="M4" s="91"/>
      <c r="O4" s="91"/>
      <c r="P4" s="91"/>
      <c r="Q4" s="91"/>
      <c r="R4" s="91"/>
      <c r="S4" s="91"/>
      <c r="T4" s="91"/>
      <c r="V4" s="91"/>
      <c r="W4" s="91"/>
      <c r="X4" s="114"/>
      <c r="Z4" s="91"/>
      <c r="AA4" s="91"/>
      <c r="AC4" s="91"/>
      <c r="AE4" s="91"/>
      <c r="AF4" s="91"/>
    </row>
    <row r="5" spans="1:33" s="92" customFormat="1">
      <c r="A5" s="74">
        <v>1942</v>
      </c>
      <c r="B5" s="74">
        <f>Smith_2020!$R$24</f>
        <v>22.2</v>
      </c>
      <c r="C5" s="74">
        <f>Smith_2020!$R$25</f>
        <v>21.3</v>
      </c>
      <c r="D5" s="91"/>
      <c r="F5" s="91"/>
      <c r="G5" s="91"/>
      <c r="I5" s="91"/>
      <c r="J5" s="91"/>
      <c r="K5" s="91"/>
      <c r="L5" s="91"/>
      <c r="M5" s="91"/>
      <c r="O5" s="91"/>
      <c r="P5" s="91"/>
      <c r="Q5" s="91"/>
      <c r="R5" s="91"/>
      <c r="S5" s="91"/>
      <c r="T5" s="91"/>
      <c r="V5" s="91"/>
      <c r="W5" s="91"/>
      <c r="X5" s="114"/>
      <c r="Z5" s="91"/>
      <c r="AA5" s="91"/>
      <c r="AC5" s="91"/>
      <c r="AE5" s="91"/>
      <c r="AF5" s="91"/>
    </row>
    <row r="6" spans="1:33" s="92" customFormat="1">
      <c r="A6" s="74">
        <v>1943</v>
      </c>
      <c r="B6" s="74">
        <f>Smith_2020!$R$24</f>
        <v>22.2</v>
      </c>
      <c r="C6" s="74">
        <f>Smith_2020!$R$25</f>
        <v>21.3</v>
      </c>
      <c r="D6" s="91"/>
      <c r="F6" s="91"/>
      <c r="G6" s="91"/>
      <c r="I6" s="91"/>
      <c r="J6" s="74"/>
      <c r="K6" s="74"/>
      <c r="L6" s="74"/>
      <c r="M6" s="74"/>
      <c r="O6" s="91"/>
      <c r="P6" s="91"/>
      <c r="Q6" s="91"/>
      <c r="R6" s="91"/>
      <c r="S6" s="91"/>
      <c r="T6" s="91"/>
      <c r="V6" s="91"/>
      <c r="W6" s="91"/>
      <c r="X6" s="114"/>
      <c r="Z6" s="91"/>
      <c r="AA6" s="91"/>
      <c r="AC6" s="91"/>
      <c r="AE6" s="91"/>
      <c r="AF6" s="91"/>
    </row>
    <row r="7" spans="1:33" s="92" customFormat="1">
      <c r="A7" s="74">
        <v>1944</v>
      </c>
      <c r="B7" s="74">
        <f>Smith_2020!$R$24</f>
        <v>22.2</v>
      </c>
      <c r="C7" s="74">
        <f>Smith_2020!$R$25</f>
        <v>21.3</v>
      </c>
      <c r="D7" s="91"/>
      <c r="F7" s="91"/>
      <c r="G7" s="91"/>
      <c r="I7" s="91"/>
      <c r="J7" s="74"/>
      <c r="K7" s="74"/>
      <c r="L7" s="74"/>
      <c r="M7" s="74"/>
      <c r="O7" s="91"/>
      <c r="P7" s="91"/>
      <c r="Q7" s="91"/>
      <c r="R7" s="91"/>
      <c r="S7" s="91"/>
      <c r="T7" s="91"/>
      <c r="V7" s="91"/>
      <c r="W7" s="91"/>
      <c r="X7" s="114"/>
      <c r="Z7" s="91"/>
      <c r="AA7" s="91"/>
      <c r="AC7" s="91"/>
      <c r="AE7" s="91"/>
      <c r="AF7" s="91"/>
    </row>
    <row r="8" spans="1:33" s="92" customFormat="1">
      <c r="A8" s="74">
        <v>1945</v>
      </c>
      <c r="B8" s="74">
        <f>Smith_2020!$R$24</f>
        <v>22.2</v>
      </c>
      <c r="C8" s="74">
        <f>Smith_2020!$R$25</f>
        <v>21.3</v>
      </c>
      <c r="D8" s="91"/>
      <c r="F8" s="91"/>
      <c r="G8" s="91"/>
      <c r="I8" s="91"/>
      <c r="J8" s="74"/>
      <c r="K8" s="74"/>
      <c r="L8" s="74"/>
      <c r="M8" s="74"/>
      <c r="O8" s="91"/>
      <c r="P8" s="91"/>
      <c r="Q8" s="91"/>
      <c r="R8" s="91"/>
      <c r="S8" s="91"/>
      <c r="T8" s="91"/>
      <c r="V8" s="91"/>
      <c r="W8" s="91"/>
      <c r="X8" s="114"/>
      <c r="Z8" s="91"/>
      <c r="AA8" s="91"/>
      <c r="AC8" s="91"/>
      <c r="AE8" s="91"/>
      <c r="AF8" s="91"/>
    </row>
    <row r="9" spans="1:33" s="92" customFormat="1">
      <c r="A9" s="74">
        <v>1946</v>
      </c>
      <c r="B9" s="74">
        <f>Smith_2020!$R$24</f>
        <v>22.2</v>
      </c>
      <c r="C9" s="74">
        <f>Smith_2020!$R$25</f>
        <v>21.3</v>
      </c>
      <c r="D9" s="91"/>
      <c r="F9" s="91"/>
      <c r="G9" s="91"/>
      <c r="I9" s="91"/>
      <c r="J9" s="74"/>
      <c r="K9" s="74"/>
      <c r="L9" s="74"/>
      <c r="M9" s="74"/>
      <c r="O9" s="91"/>
      <c r="P9" s="91"/>
      <c r="Q9" s="91"/>
      <c r="R9" s="91"/>
      <c r="S9" s="91"/>
      <c r="T9" s="91"/>
      <c r="V9" s="91"/>
      <c r="W9" s="91"/>
      <c r="X9" s="114"/>
      <c r="Z9" s="91"/>
      <c r="AA9" s="91"/>
      <c r="AC9" s="91"/>
      <c r="AE9" s="91"/>
      <c r="AF9" s="91"/>
    </row>
    <row r="10" spans="1:33" s="92" customFormat="1">
      <c r="A10" s="74">
        <v>1947</v>
      </c>
      <c r="B10" s="74">
        <f>Smith_2020!$R$24</f>
        <v>22.2</v>
      </c>
      <c r="C10" s="74">
        <f>Smith_2020!$R$25</f>
        <v>21.3</v>
      </c>
      <c r="D10" s="91"/>
      <c r="F10" s="91"/>
      <c r="G10" s="91"/>
      <c r="I10" s="91"/>
      <c r="J10" s="74"/>
      <c r="K10" s="74"/>
      <c r="L10" s="74"/>
      <c r="M10" s="74"/>
      <c r="O10" s="91"/>
      <c r="P10" s="91"/>
      <c r="Q10" s="91"/>
      <c r="R10" s="91"/>
      <c r="S10" s="91"/>
      <c r="T10" s="91"/>
      <c r="V10" s="91"/>
      <c r="W10" s="91"/>
      <c r="X10" s="114"/>
      <c r="Z10" s="91"/>
      <c r="AA10" s="91"/>
      <c r="AC10" s="91"/>
      <c r="AE10" s="91"/>
      <c r="AF10" s="91"/>
    </row>
    <row r="11" spans="1:33" s="92" customFormat="1">
      <c r="A11" s="74">
        <v>1948</v>
      </c>
      <c r="B11" s="74">
        <f>Smith_2020!$R$24</f>
        <v>22.2</v>
      </c>
      <c r="C11" s="74">
        <f>Smith_2020!$R$25</f>
        <v>21.3</v>
      </c>
      <c r="D11" s="91"/>
      <c r="F11" s="91"/>
      <c r="G11" s="91"/>
      <c r="I11" s="91"/>
      <c r="J11" s="74"/>
      <c r="K11" s="74"/>
      <c r="L11" s="74"/>
      <c r="M11" s="74"/>
      <c r="N11" s="91"/>
      <c r="O11" s="91"/>
      <c r="P11" s="91"/>
      <c r="Q11" s="91"/>
      <c r="R11" s="91"/>
      <c r="S11" s="91"/>
      <c r="T11" s="91"/>
      <c r="V11" s="91"/>
      <c r="W11" s="91"/>
      <c r="X11" s="114"/>
      <c r="Z11" s="91"/>
      <c r="AA11" s="91"/>
      <c r="AC11" s="91"/>
      <c r="AE11" s="91"/>
      <c r="AF11" s="91"/>
    </row>
    <row r="12" spans="1:33" s="92" customFormat="1">
      <c r="A12" s="74">
        <v>1949</v>
      </c>
      <c r="B12" s="74">
        <f>Smith_2020!$R$24</f>
        <v>22.2</v>
      </c>
      <c r="C12" s="74">
        <f>Smith_2020!$R$25</f>
        <v>21.3</v>
      </c>
      <c r="D12" s="91"/>
      <c r="F12" s="91"/>
      <c r="G12" s="91"/>
      <c r="I12" s="91"/>
      <c r="J12" s="74"/>
      <c r="K12" s="74"/>
      <c r="L12" s="74"/>
      <c r="M12" s="74"/>
      <c r="N12" s="91"/>
      <c r="O12" s="91"/>
      <c r="P12" s="91"/>
      <c r="Q12" s="91"/>
      <c r="R12" s="91"/>
      <c r="S12" s="91"/>
      <c r="T12" s="91"/>
      <c r="V12" s="91"/>
      <c r="W12" s="91"/>
      <c r="X12" s="114"/>
      <c r="Z12" s="91"/>
      <c r="AA12" s="91"/>
      <c r="AC12" s="91"/>
      <c r="AE12" s="91"/>
      <c r="AF12" s="91"/>
    </row>
    <row r="13" spans="1:33" ht="15" customHeight="1">
      <c r="A13" s="74">
        <v>1950</v>
      </c>
      <c r="B13" s="74">
        <f>Smith_2020!$R$24</f>
        <v>22.2</v>
      </c>
      <c r="C13" s="74">
        <f>Smith_2020!$R$25</f>
        <v>21.3</v>
      </c>
      <c r="D13" s="77">
        <f>(E13+H13+Q13+K13)/4</f>
        <v>72.231671169453932</v>
      </c>
      <c r="E13" s="77">
        <f t="array" ref="E13:E73">TRANSPOSE(Aguilera_2015_b!F6:BN6)</f>
        <v>73.869000909658936</v>
      </c>
      <c r="F13" s="78" t="s">
        <v>77</v>
      </c>
      <c r="G13" s="78"/>
      <c r="H13" s="77">
        <f>Dahmus_2014!E30</f>
        <v>85</v>
      </c>
      <c r="I13" s="74" t="s">
        <v>103</v>
      </c>
      <c r="J13" s="74"/>
      <c r="K13" s="77">
        <f>Kermeli_2017!S5</f>
        <v>67.724683768156794</v>
      </c>
      <c r="L13" s="105" t="s">
        <v>209</v>
      </c>
      <c r="M13" s="74" t="s">
        <v>138</v>
      </c>
      <c r="N13" s="74"/>
      <c r="O13" s="74"/>
      <c r="P13" s="74"/>
      <c r="Q13" s="77">
        <f>Smith_2020!B49</f>
        <v>62.332999999999998</v>
      </c>
      <c r="R13" s="74" t="s">
        <v>126</v>
      </c>
      <c r="S13" s="74"/>
      <c r="T13" s="106">
        <f>B13/Q13</f>
        <v>0.35615163717453036</v>
      </c>
      <c r="V13" s="74">
        <v>81</v>
      </c>
      <c r="W13" s="74" t="s">
        <v>121</v>
      </c>
      <c r="X13" s="106">
        <f>C13/V13</f>
        <v>0.26296296296296295</v>
      </c>
      <c r="AB13" s="117">
        <f t="shared" ref="AB13:AB40" si="0">T13*(AB$42/T$42)</f>
        <v>0.19886496455353841</v>
      </c>
      <c r="AC13" s="89" t="s">
        <v>243</v>
      </c>
    </row>
    <row r="14" spans="1:33" ht="14.25" customHeight="1">
      <c r="A14" s="74">
        <v>1951</v>
      </c>
      <c r="B14" s="74">
        <f>Smith_2020!$R$24</f>
        <v>22.2</v>
      </c>
      <c r="C14" s="74">
        <f>Smith_2020!$R$25</f>
        <v>21.3</v>
      </c>
      <c r="D14" s="77">
        <f t="shared" ref="D14:D77" si="1">(E14+H14+Q14+K14)/4</f>
        <v>69.931057839725511</v>
      </c>
      <c r="E14" s="77">
        <v>72.775085266825911</v>
      </c>
      <c r="F14" s="78" t="s">
        <v>77</v>
      </c>
      <c r="G14" s="78"/>
      <c r="H14" s="77">
        <f>Dahmus_2014!E31</f>
        <v>77.912596619645541</v>
      </c>
      <c r="I14" s="74" t="s">
        <v>103</v>
      </c>
      <c r="J14" s="74"/>
      <c r="K14" s="77">
        <f>Kermeli_2017!S6</f>
        <v>67.036749472430571</v>
      </c>
      <c r="L14" s="105" t="s">
        <v>208</v>
      </c>
      <c r="M14" s="74"/>
      <c r="O14" s="74"/>
      <c r="P14" s="74"/>
      <c r="Q14" s="77">
        <f>Smith_2020!B50</f>
        <v>61.9998</v>
      </c>
      <c r="R14" s="74" t="s">
        <v>126</v>
      </c>
      <c r="S14" s="74"/>
      <c r="T14" s="106">
        <f t="shared" ref="T14:T77" si="2">B14/Q14</f>
        <v>0.35806567117958443</v>
      </c>
      <c r="AB14" s="117">
        <f t="shared" si="0"/>
        <v>0.19993370681059791</v>
      </c>
      <c r="AC14" s="89" t="s">
        <v>243</v>
      </c>
    </row>
    <row r="15" spans="1:33" ht="14.25" customHeight="1">
      <c r="A15" s="74">
        <v>1952</v>
      </c>
      <c r="B15" s="74">
        <f>Smith_2020!$R$24</f>
        <v>22.2</v>
      </c>
      <c r="C15" s="74">
        <f>Smith_2020!$R$25</f>
        <v>21.3</v>
      </c>
      <c r="D15" s="77">
        <f t="shared" si="1"/>
        <v>67.77993056448004</v>
      </c>
      <c r="E15" s="77">
        <v>71.681169623992886</v>
      </c>
      <c r="F15" s="78" t="s">
        <v>77</v>
      </c>
      <c r="G15" s="78"/>
      <c r="H15" s="77">
        <f>Dahmus_2014!E32</f>
        <v>71.416149553124725</v>
      </c>
      <c r="I15" s="74" t="s">
        <v>103</v>
      </c>
      <c r="J15" s="74"/>
      <c r="K15" s="77">
        <f>Kermeli_2017!S7</f>
        <v>66.355803080802559</v>
      </c>
      <c r="L15" s="105" t="s">
        <v>208</v>
      </c>
      <c r="M15" s="74"/>
      <c r="N15" s="78">
        <f>Heath_1985!C7</f>
        <v>61.1</v>
      </c>
      <c r="O15" s="78" t="s">
        <v>158</v>
      </c>
      <c r="P15" s="78"/>
      <c r="Q15" s="77">
        <f>Smith_2020!B51</f>
        <v>61.666600000000003</v>
      </c>
      <c r="R15" s="74" t="s">
        <v>126</v>
      </c>
      <c r="S15" s="78"/>
      <c r="T15" s="106">
        <f t="shared" si="2"/>
        <v>0.36000038918960992</v>
      </c>
      <c r="AB15" s="117">
        <f t="shared" si="0"/>
        <v>0.20101399842890169</v>
      </c>
      <c r="AC15" s="89" t="s">
        <v>243</v>
      </c>
    </row>
    <row r="16" spans="1:33" ht="14.25" customHeight="1">
      <c r="A16" s="74">
        <v>1953</v>
      </c>
      <c r="B16" s="74">
        <f>Smith_2020!$R$24</f>
        <v>22.2</v>
      </c>
      <c r="C16" s="74">
        <f>Smith_2020!$R$25</f>
        <v>21.3</v>
      </c>
      <c r="D16" s="77">
        <f t="shared" si="1"/>
        <v>65.765952934223421</v>
      </c>
      <c r="E16" s="77">
        <v>70.587253981159861</v>
      </c>
      <c r="F16" s="78" t="s">
        <v>77</v>
      </c>
      <c r="G16" s="78"/>
      <c r="H16" s="77">
        <f>Dahmus_2014!E33</f>
        <v>65.461384144245713</v>
      </c>
      <c r="I16" s="74" t="s">
        <v>103</v>
      </c>
      <c r="J16" s="74"/>
      <c r="K16" s="77">
        <f>Kermeli_2017!S8</f>
        <v>65.681773611488111</v>
      </c>
      <c r="L16" s="105" t="s">
        <v>208</v>
      </c>
      <c r="M16" s="74"/>
      <c r="N16" s="78">
        <f>Heath_1985!C8</f>
        <v>58.6</v>
      </c>
      <c r="O16" s="78" t="s">
        <v>158</v>
      </c>
      <c r="P16" s="78"/>
      <c r="Q16" s="77">
        <f>Smith_2020!B52</f>
        <v>61.333400000000005</v>
      </c>
      <c r="R16" s="74" t="s">
        <v>126</v>
      </c>
      <c r="S16" s="78"/>
      <c r="T16" s="106">
        <f t="shared" si="2"/>
        <v>0.36195612830855617</v>
      </c>
      <c r="AB16" s="117">
        <f t="shared" si="0"/>
        <v>0.20210602763772606</v>
      </c>
      <c r="AC16" s="89" t="s">
        <v>243</v>
      </c>
    </row>
    <row r="17" spans="1:29" ht="14.25" customHeight="1">
      <c r="A17" s="74">
        <v>1954</v>
      </c>
      <c r="B17" s="74">
        <f>Smith_2020!$R$24</f>
        <v>22.2</v>
      </c>
      <c r="C17" s="74">
        <f>Smith_2020!$R$25</f>
        <v>21.3</v>
      </c>
      <c r="D17" s="77">
        <f t="shared" si="1"/>
        <v>63.877815864907305</v>
      </c>
      <c r="E17" s="77">
        <v>69.493338338326836</v>
      </c>
      <c r="F17" s="78" t="s">
        <v>77</v>
      </c>
      <c r="G17" s="78"/>
      <c r="H17" s="77">
        <f>Dahmus_2014!E34</f>
        <v>60.003134317579722</v>
      </c>
      <c r="I17" s="74" t="s">
        <v>103</v>
      </c>
      <c r="J17" s="74"/>
      <c r="K17" s="77">
        <f>Kermeli_2017!S9</f>
        <v>65.014590803722641</v>
      </c>
      <c r="L17" s="105" t="s">
        <v>208</v>
      </c>
      <c r="M17" s="74"/>
      <c r="O17" s="74"/>
      <c r="P17" s="74"/>
      <c r="Q17" s="77">
        <f>Smith_2020!B53</f>
        <v>61.000200000000007</v>
      </c>
      <c r="R17" s="74" t="s">
        <v>126</v>
      </c>
      <c r="S17" s="74"/>
      <c r="T17" s="106">
        <f t="shared" si="2"/>
        <v>0.36393323300579339</v>
      </c>
      <c r="AB17" s="117">
        <f t="shared" si="0"/>
        <v>0.20320998677898938</v>
      </c>
      <c r="AC17" s="89" t="s">
        <v>243</v>
      </c>
    </row>
    <row r="18" spans="1:29" ht="14.25" customHeight="1">
      <c r="A18" s="74">
        <v>1955</v>
      </c>
      <c r="B18" s="74">
        <f>Smith_2020!$R$24</f>
        <v>22.2</v>
      </c>
      <c r="C18" s="74">
        <f>Smith_2020!$R$25</f>
        <v>21.3</v>
      </c>
      <c r="D18" s="77">
        <f t="shared" si="1"/>
        <v>62.105151951482668</v>
      </c>
      <c r="E18" s="77">
        <v>68.399422695493811</v>
      </c>
      <c r="F18" s="78" t="s">
        <v>77</v>
      </c>
      <c r="G18" s="78"/>
      <c r="H18" s="77">
        <f>Dahmus_2014!E35</f>
        <v>55</v>
      </c>
      <c r="I18" s="74" t="s">
        <v>103</v>
      </c>
      <c r="J18" s="74"/>
      <c r="K18" s="77">
        <f>Kermeli_2017!S10</f>
        <v>64.354185110436845</v>
      </c>
      <c r="L18" s="105" t="s">
        <v>208</v>
      </c>
      <c r="M18" s="74"/>
      <c r="N18" s="78">
        <f>Heath_1985!C9</f>
        <v>51.7</v>
      </c>
      <c r="O18" s="78" t="s">
        <v>158</v>
      </c>
      <c r="P18" s="78"/>
      <c r="Q18" s="77">
        <f>Smith_2020!B54</f>
        <v>60.667000000000002</v>
      </c>
      <c r="R18" s="74" t="s">
        <v>126</v>
      </c>
      <c r="S18" s="78"/>
      <c r="T18" s="106">
        <f t="shared" si="2"/>
        <v>0.36593205531837736</v>
      </c>
      <c r="AB18" s="117">
        <f t="shared" si="0"/>
        <v>0.20432607242019069</v>
      </c>
      <c r="AC18" s="89" t="s">
        <v>243</v>
      </c>
    </row>
    <row r="19" spans="1:29" ht="14.25" customHeight="1">
      <c r="A19" s="74">
        <v>1956</v>
      </c>
      <c r="B19" s="74">
        <f>Smith_2020!$R$24</f>
        <v>22.2</v>
      </c>
      <c r="C19" s="74">
        <f>Smith_2020!$R$25</f>
        <v>21.3</v>
      </c>
      <c r="D19" s="77">
        <f t="shared" si="1"/>
        <v>61.093826645499448</v>
      </c>
      <c r="E19" s="77">
        <v>67.305507052660786</v>
      </c>
      <c r="F19" s="78" t="s">
        <v>77</v>
      </c>
      <c r="G19" s="78"/>
      <c r="H19" s="77">
        <f>Dahmus_2014!E36</f>
        <v>53.280111838330534</v>
      </c>
      <c r="I19" s="74" t="s">
        <v>103</v>
      </c>
      <c r="J19" s="74"/>
      <c r="K19" s="77">
        <f>Kermeli_2017!S11</f>
        <v>63.700487691006465</v>
      </c>
      <c r="L19" s="105" t="s">
        <v>208</v>
      </c>
      <c r="M19" s="74"/>
      <c r="O19" s="74"/>
      <c r="P19" s="74"/>
      <c r="Q19" s="77">
        <f>Smith_2020!B55</f>
        <v>60.089199999999998</v>
      </c>
      <c r="R19" s="74" t="s">
        <v>126</v>
      </c>
      <c r="S19" s="74"/>
      <c r="T19" s="106">
        <f t="shared" si="2"/>
        <v>0.36945074988517074</v>
      </c>
      <c r="AB19" s="117">
        <f t="shared" si="0"/>
        <v>0.20629081158537158</v>
      </c>
      <c r="AC19" s="89" t="s">
        <v>243</v>
      </c>
    </row>
    <row r="20" spans="1:29" ht="14.25" customHeight="1">
      <c r="A20" s="74">
        <v>1957</v>
      </c>
      <c r="B20" s="74">
        <f>Smith_2020!$R$24</f>
        <v>22.2</v>
      </c>
      <c r="C20" s="74">
        <f>Smith_2020!$R$25</f>
        <v>21.3</v>
      </c>
      <c r="D20" s="77">
        <f t="shared" si="1"/>
        <v>60.097606896680965</v>
      </c>
      <c r="E20" s="77">
        <v>66.211591409827761</v>
      </c>
      <c r="F20" s="78" t="s">
        <v>77</v>
      </c>
      <c r="G20" s="78"/>
      <c r="H20" s="77">
        <f>Dahmus_2014!E37</f>
        <v>51.614005772818359</v>
      </c>
      <c r="I20" s="74" t="s">
        <v>103</v>
      </c>
      <c r="J20" s="74"/>
      <c r="K20" s="77">
        <f>Kermeli_2017!S12</f>
        <v>63.053430404077744</v>
      </c>
      <c r="L20" s="105" t="s">
        <v>208</v>
      </c>
      <c r="M20" s="74"/>
      <c r="O20" s="74"/>
      <c r="P20" s="74"/>
      <c r="Q20" s="77">
        <f>Smith_2020!B56</f>
        <v>59.511399999999995</v>
      </c>
      <c r="R20" s="74" t="s">
        <v>126</v>
      </c>
      <c r="S20" s="74"/>
      <c r="T20" s="106">
        <f t="shared" si="2"/>
        <v>0.37303777091448026</v>
      </c>
      <c r="AB20" s="117">
        <f t="shared" si="0"/>
        <v>0.20829370230772104</v>
      </c>
      <c r="AC20" s="89" t="s">
        <v>243</v>
      </c>
    </row>
    <row r="21" spans="1:29" ht="14.25" customHeight="1">
      <c r="A21" s="74">
        <v>1958</v>
      </c>
      <c r="B21" s="74">
        <f>Smith_2020!$R$24</f>
        <v>22.2</v>
      </c>
      <c r="C21" s="74">
        <f>Smith_2020!$R$25</f>
        <v>21.3</v>
      </c>
      <c r="D21" s="77">
        <f t="shared" si="1"/>
        <v>59.116055391864606</v>
      </c>
      <c r="E21" s="77">
        <v>65.117675766994736</v>
      </c>
      <c r="F21" s="78" t="s">
        <v>77</v>
      </c>
      <c r="G21" s="78"/>
      <c r="H21" s="77">
        <f>Dahmus_2014!E38</f>
        <v>50</v>
      </c>
      <c r="I21" s="74" t="s">
        <v>103</v>
      </c>
      <c r="J21" s="74"/>
      <c r="K21" s="77">
        <f>Kermeli_2017!S13</f>
        <v>62.412945800463682</v>
      </c>
      <c r="L21" s="105" t="s">
        <v>208</v>
      </c>
      <c r="M21" s="74"/>
      <c r="O21" s="74"/>
      <c r="P21" s="74"/>
      <c r="Q21" s="77">
        <f>Smith_2020!B57</f>
        <v>58.933599999999991</v>
      </c>
      <c r="R21" s="74" t="s">
        <v>126</v>
      </c>
      <c r="S21" s="74"/>
      <c r="T21" s="106">
        <f t="shared" si="2"/>
        <v>0.37669512807634359</v>
      </c>
      <c r="AB21" s="117">
        <f t="shared" si="0"/>
        <v>0.21033586672994201</v>
      </c>
      <c r="AC21" s="89" t="s">
        <v>243</v>
      </c>
    </row>
    <row r="22" spans="1:29" ht="14.25" customHeight="1">
      <c r="A22" s="74">
        <v>1959</v>
      </c>
      <c r="B22" s="74">
        <f>Smith_2020!$R$24</f>
        <v>22.2</v>
      </c>
      <c r="C22" s="74">
        <f>Smith_2020!$R$25</f>
        <v>21.3</v>
      </c>
      <c r="D22" s="77">
        <f t="shared" si="1"/>
        <v>58.21467864038474</v>
      </c>
      <c r="E22" s="77">
        <v>64.023760124161711</v>
      </c>
      <c r="F22" s="78" t="s">
        <v>77</v>
      </c>
      <c r="G22" s="78"/>
      <c r="H22" s="77">
        <f>Dahmus_2014!E39</f>
        <v>48.700187321264835</v>
      </c>
      <c r="I22" s="74" t="s">
        <v>103</v>
      </c>
      <c r="J22" s="74"/>
      <c r="K22" s="77">
        <f>Kermeli_2017!S14</f>
        <v>61.778967116112426</v>
      </c>
      <c r="L22" s="105" t="s">
        <v>208</v>
      </c>
      <c r="M22" s="74"/>
      <c r="O22" s="74"/>
      <c r="P22" s="74"/>
      <c r="Q22" s="77">
        <f>Smith_2020!B58</f>
        <v>58.355799999999988</v>
      </c>
      <c r="R22" s="74" t="s">
        <v>126</v>
      </c>
      <c r="S22" s="74"/>
      <c r="T22" s="106">
        <f t="shared" si="2"/>
        <v>0.38042491063441858</v>
      </c>
      <c r="AB22" s="117">
        <f t="shared" si="0"/>
        <v>0.21241847143755566</v>
      </c>
      <c r="AC22" s="89" t="s">
        <v>243</v>
      </c>
    </row>
    <row r="23" spans="1:29" ht="14.25" customHeight="1">
      <c r="A23" s="74">
        <v>1960</v>
      </c>
      <c r="B23" s="74">
        <f>Smith_2020!$R$24</f>
        <v>22.2</v>
      </c>
      <c r="C23" s="74">
        <f>Smith_2020!$R$25</f>
        <v>21.3</v>
      </c>
      <c r="D23" s="77">
        <f t="shared" si="1"/>
        <v>57.323359412250952</v>
      </c>
      <c r="E23" s="77">
        <v>62.929844481328693</v>
      </c>
      <c r="F23" s="78" t="s">
        <v>77</v>
      </c>
      <c r="G23" s="78"/>
      <c r="H23" s="77">
        <f>Dahmus_2014!E40</f>
        <v>47.434164902525687</v>
      </c>
      <c r="I23" s="74" t="s">
        <v>103</v>
      </c>
      <c r="J23" s="74"/>
      <c r="K23" s="77">
        <f>Kermeli_2017!S15</f>
        <v>61.151428265149441</v>
      </c>
      <c r="L23" s="105" t="s">
        <v>208</v>
      </c>
      <c r="M23" s="74"/>
      <c r="N23" s="78">
        <f>Heath_1985!C10</f>
        <v>47.9</v>
      </c>
      <c r="O23" s="78" t="s">
        <v>158</v>
      </c>
      <c r="P23" s="78"/>
      <c r="Q23" s="77">
        <f>Smith_2020!B59</f>
        <v>57.777999999999999</v>
      </c>
      <c r="R23" s="74" t="s">
        <v>126</v>
      </c>
      <c r="S23" s="78"/>
      <c r="T23" s="106">
        <f t="shared" si="2"/>
        <v>0.3842292914258022</v>
      </c>
      <c r="AB23" s="117">
        <f t="shared" si="0"/>
        <v>0.21454272968111926</v>
      </c>
      <c r="AC23" s="89" t="s">
        <v>243</v>
      </c>
    </row>
    <row r="24" spans="1:29" ht="14.25" customHeight="1">
      <c r="A24" s="74">
        <v>1961</v>
      </c>
      <c r="B24" s="74">
        <f>Smith_2020!$R$24</f>
        <v>22.2</v>
      </c>
      <c r="C24" s="74">
        <f>Smith_2020!$R$25</f>
        <v>21.3</v>
      </c>
      <c r="D24" s="77">
        <f t="shared" si="1"/>
        <v>56.46156951538245</v>
      </c>
      <c r="E24" s="77">
        <v>62.314759904927612</v>
      </c>
      <c r="F24" s="78" t="s">
        <v>77</v>
      </c>
      <c r="G24" s="78"/>
      <c r="H24" s="77">
        <f>Dahmus_2014!E41</f>
        <v>46.201054323615345</v>
      </c>
      <c r="I24" s="74" t="s">
        <v>103</v>
      </c>
      <c r="J24" s="74"/>
      <c r="K24" s="77">
        <f>Kermeli_2017!S16</f>
        <v>60.530263832986861</v>
      </c>
      <c r="L24" s="105" t="s">
        <v>208</v>
      </c>
      <c r="M24" s="74"/>
      <c r="O24" s="74"/>
      <c r="P24" s="74"/>
      <c r="Q24" s="77">
        <f>Smith_2020!B60</f>
        <v>56.800199999999997</v>
      </c>
      <c r="R24" s="74" t="s">
        <v>126</v>
      </c>
      <c r="S24" s="74"/>
      <c r="T24" s="106">
        <f t="shared" si="2"/>
        <v>0.39084369421234433</v>
      </c>
      <c r="AB24" s="117">
        <f t="shared" si="0"/>
        <v>0.21823602444209192</v>
      </c>
      <c r="AC24" s="89" t="s">
        <v>243</v>
      </c>
    </row>
    <row r="25" spans="1:29" ht="14.25" customHeight="1">
      <c r="A25" s="74">
        <v>1962</v>
      </c>
      <c r="B25" s="74">
        <f>Smith_2020!$R$24</f>
        <v>22.2</v>
      </c>
      <c r="C25" s="74">
        <f>Smith_2020!$R$25</f>
        <v>21.3</v>
      </c>
      <c r="D25" s="77">
        <f t="shared" si="1"/>
        <v>55.609371099508195</v>
      </c>
      <c r="E25" s="77">
        <v>61.699675328526531</v>
      </c>
      <c r="F25" s="78" t="s">
        <v>77</v>
      </c>
      <c r="G25" s="78"/>
      <c r="H25" s="77">
        <f>Dahmus_2014!E42</f>
        <v>45</v>
      </c>
      <c r="I25" s="74" t="s">
        <v>103</v>
      </c>
      <c r="J25" s="74"/>
      <c r="K25" s="77">
        <f>Kermeli_2017!S17</f>
        <v>59.915409069506275</v>
      </c>
      <c r="L25" s="105" t="s">
        <v>208</v>
      </c>
      <c r="M25" s="74"/>
      <c r="O25" s="74"/>
      <c r="P25" s="74"/>
      <c r="Q25" s="77">
        <f>Smith_2020!B61</f>
        <v>55.822399999999995</v>
      </c>
      <c r="R25" s="74" t="s">
        <v>126</v>
      </c>
      <c r="S25" s="74"/>
      <c r="T25" s="106">
        <f t="shared" si="2"/>
        <v>0.39768981627447048</v>
      </c>
      <c r="AB25" s="117">
        <f t="shared" si="0"/>
        <v>0.22205870466901656</v>
      </c>
      <c r="AC25" s="89" t="s">
        <v>243</v>
      </c>
    </row>
    <row r="26" spans="1:29" ht="14.25" customHeight="1">
      <c r="A26" s="74">
        <v>1963</v>
      </c>
      <c r="B26" s="74">
        <f>Smith_2020!$R$24</f>
        <v>22.2</v>
      </c>
      <c r="C26" s="74">
        <f>Smith_2020!$R$25</f>
        <v>21.3</v>
      </c>
      <c r="D26" s="77">
        <f t="shared" si="1"/>
        <v>54.732562522023258</v>
      </c>
      <c r="E26" s="77">
        <v>61.08459075212545</v>
      </c>
      <c r="F26" s="78" t="s">
        <v>77</v>
      </c>
      <c r="G26" s="78"/>
      <c r="H26" s="77">
        <f>Dahmus_2014!E43</f>
        <v>43.694259453659107</v>
      </c>
      <c r="I26" s="74" t="s">
        <v>103</v>
      </c>
      <c r="J26" s="74"/>
      <c r="K26" s="77">
        <f>Kermeli_2017!S18</f>
        <v>59.306799882308489</v>
      </c>
      <c r="L26" s="105" t="s">
        <v>208</v>
      </c>
      <c r="M26" s="74"/>
      <c r="N26" s="78">
        <f>Heath_1985!C11</f>
        <v>46.7</v>
      </c>
      <c r="O26" s="78" t="s">
        <v>158</v>
      </c>
      <c r="P26" s="78"/>
      <c r="Q26" s="77">
        <f>Smith_2020!B62</f>
        <v>54.844599999999993</v>
      </c>
      <c r="R26" s="74" t="s">
        <v>126</v>
      </c>
      <c r="S26" s="78"/>
      <c r="T26" s="106">
        <f t="shared" si="2"/>
        <v>0.4047800512721399</v>
      </c>
      <c r="AB26" s="117">
        <f t="shared" si="0"/>
        <v>0.22601769062981061</v>
      </c>
      <c r="AC26" s="89" t="s">
        <v>243</v>
      </c>
    </row>
    <row r="27" spans="1:29" ht="14.25" customHeight="1">
      <c r="A27" s="74">
        <v>1964</v>
      </c>
      <c r="B27" s="74">
        <f>Smith_2020!$R$24</f>
        <v>22.2</v>
      </c>
      <c r="C27" s="74">
        <f>Smith_2020!$R$25</f>
        <v>21.3</v>
      </c>
      <c r="D27" s="77">
        <f t="shared" si="1"/>
        <v>53.866771469237293</v>
      </c>
      <c r="E27" s="77">
        <v>60.469506175724369</v>
      </c>
      <c r="F27" s="78" t="s">
        <v>77</v>
      </c>
      <c r="G27" s="78"/>
      <c r="H27" s="77">
        <f>Dahmus_2014!E44</f>
        <v>42.426406871192853</v>
      </c>
      <c r="I27" s="74" t="s">
        <v>103</v>
      </c>
      <c r="J27" s="74"/>
      <c r="K27" s="77">
        <f>Kermeli_2017!S19</f>
        <v>58.704372830031957</v>
      </c>
      <c r="L27" s="105" t="s">
        <v>208</v>
      </c>
      <c r="M27" s="74"/>
      <c r="O27" s="74"/>
      <c r="P27" s="74"/>
      <c r="Q27" s="77">
        <f>Smith_2020!B63</f>
        <v>53.866799999999991</v>
      </c>
      <c r="R27" s="74" t="s">
        <v>126</v>
      </c>
      <c r="S27" s="74"/>
      <c r="T27" s="106">
        <f t="shared" si="2"/>
        <v>0.4121276927532358</v>
      </c>
      <c r="AB27" s="117">
        <f t="shared" si="0"/>
        <v>0.23012040506426426</v>
      </c>
      <c r="AC27" s="89" t="s">
        <v>243</v>
      </c>
    </row>
    <row r="28" spans="1:29" ht="14.25" customHeight="1">
      <c r="A28" s="74">
        <v>1965</v>
      </c>
      <c r="B28" s="74">
        <f>Smith_2020!$R$24</f>
        <v>22.2</v>
      </c>
      <c r="C28" s="74">
        <f>Smith_2020!$R$25</f>
        <v>21.3</v>
      </c>
      <c r="D28" s="77">
        <f t="shared" si="1"/>
        <v>53.011707398301631</v>
      </c>
      <c r="E28" s="77">
        <v>59.854421599323288</v>
      </c>
      <c r="F28" s="78" t="s">
        <v>77</v>
      </c>
      <c r="G28" s="78"/>
      <c r="H28" s="77">
        <f>Dahmus_2014!E45</f>
        <v>41.195342878142363</v>
      </c>
      <c r="I28" s="74" t="s">
        <v>103</v>
      </c>
      <c r="J28" s="74"/>
      <c r="K28" s="77">
        <f>Kermeli_2017!S20</f>
        <v>58.108065115740857</v>
      </c>
      <c r="L28" s="105" t="s">
        <v>208</v>
      </c>
      <c r="M28" s="74"/>
      <c r="O28" s="74"/>
      <c r="P28" s="74"/>
      <c r="Q28" s="77">
        <f>Smith_2020!B64</f>
        <v>52.889000000000003</v>
      </c>
      <c r="R28" s="74" t="s">
        <v>126</v>
      </c>
      <c r="S28" s="74"/>
      <c r="T28" s="106">
        <f t="shared" si="2"/>
        <v>0.41974701733819886</v>
      </c>
      <c r="V28" s="74">
        <v>52</v>
      </c>
      <c r="W28" s="74" t="s">
        <v>121</v>
      </c>
      <c r="X28" s="106">
        <f>C28/V28</f>
        <v>0.4096153846153846</v>
      </c>
      <c r="AB28" s="117">
        <f t="shared" si="0"/>
        <v>0.23437481963197845</v>
      </c>
      <c r="AC28" s="89" t="s">
        <v>243</v>
      </c>
    </row>
    <row r="29" spans="1:29" ht="14.25" customHeight="1">
      <c r="A29" s="74">
        <v>1966</v>
      </c>
      <c r="B29" s="74">
        <f>Smith_2020!$R$24</f>
        <v>22.2</v>
      </c>
      <c r="C29" s="74">
        <f>Smith_2020!$R$25</f>
        <v>21.3</v>
      </c>
      <c r="D29" s="77">
        <f t="shared" si="1"/>
        <v>52.078187900825192</v>
      </c>
      <c r="E29" s="77">
        <v>59.239337022922207</v>
      </c>
      <c r="F29" s="78" t="s">
        <v>77</v>
      </c>
      <c r="G29" s="78"/>
      <c r="H29" s="77">
        <f>Dahmus_2014!E46</f>
        <v>40</v>
      </c>
      <c r="I29" s="74" t="s">
        <v>103</v>
      </c>
      <c r="J29" s="74"/>
      <c r="K29" s="77">
        <f>Kermeli_2017!S21</f>
        <v>57.517814580378577</v>
      </c>
      <c r="L29" s="105" t="s">
        <v>208</v>
      </c>
      <c r="M29" s="74"/>
      <c r="O29" s="74"/>
      <c r="P29" s="74"/>
      <c r="Q29" s="77">
        <f>Smith_2020!B65</f>
        <v>51.555600000000005</v>
      </c>
      <c r="R29" s="74" t="s">
        <v>126</v>
      </c>
      <c r="S29" s="74"/>
      <c r="T29" s="106">
        <f t="shared" si="2"/>
        <v>0.43060307706631279</v>
      </c>
      <c r="W29" s="74"/>
      <c r="X29" s="106"/>
      <c r="AB29" s="117">
        <f t="shared" si="0"/>
        <v>0.24043653522635186</v>
      </c>
      <c r="AC29" s="89" t="s">
        <v>243</v>
      </c>
    </row>
    <row r="30" spans="1:29" ht="14.25" customHeight="1">
      <c r="A30" s="74">
        <v>1967</v>
      </c>
      <c r="B30" s="74">
        <f>Smith_2020!$R$24</f>
        <v>22.2</v>
      </c>
      <c r="C30" s="74">
        <f>Smith_2020!$R$25</f>
        <v>21.3</v>
      </c>
      <c r="D30" s="77">
        <f t="shared" si="1"/>
        <v>51.371994715912038</v>
      </c>
      <c r="E30" s="77">
        <v>58.624252446521126</v>
      </c>
      <c r="F30" s="78" t="s">
        <v>77</v>
      </c>
      <c r="G30" s="78"/>
      <c r="H30" s="77">
        <f>Dahmus_2014!E47</f>
        <v>39.707966720839416</v>
      </c>
      <c r="I30" s="74" t="s">
        <v>103</v>
      </c>
      <c r="J30" s="74"/>
      <c r="K30" s="77">
        <f>Kermeli_2017!S22</f>
        <v>56.933559696287588</v>
      </c>
      <c r="L30" s="105" t="s">
        <v>208</v>
      </c>
      <c r="M30" s="74"/>
      <c r="O30" s="74"/>
      <c r="P30" s="74"/>
      <c r="Q30" s="77">
        <f>Smith_2020!B66</f>
        <v>50.222200000000008</v>
      </c>
      <c r="R30" s="74" t="s">
        <v>126</v>
      </c>
      <c r="S30" s="74"/>
      <c r="T30" s="106">
        <f t="shared" si="2"/>
        <v>0.44203559382105911</v>
      </c>
      <c r="W30" s="74"/>
      <c r="X30" s="106"/>
      <c r="AB30" s="117">
        <f t="shared" si="0"/>
        <v>0.24682012806121009</v>
      </c>
      <c r="AC30" s="89" t="s">
        <v>243</v>
      </c>
    </row>
    <row r="31" spans="1:29" ht="14.25" customHeight="1">
      <c r="A31" s="74">
        <v>1968</v>
      </c>
      <c r="B31" s="74">
        <f>Smith_2020!$R$24</f>
        <v>22.2</v>
      </c>
      <c r="C31" s="74">
        <f>Smith_2020!$R$25</f>
        <v>21.3</v>
      </c>
      <c r="D31" s="77">
        <f t="shared" si="1"/>
        <v>50.667818239624893</v>
      </c>
      <c r="E31" s="77">
        <v>58.009167870120045</v>
      </c>
      <c r="F31" s="78" t="s">
        <v>77</v>
      </c>
      <c r="G31" s="78"/>
      <c r="H31" s="77">
        <f>Dahmus_2014!E48</f>
        <v>39.418065527582257</v>
      </c>
      <c r="I31" s="74" t="s">
        <v>103</v>
      </c>
      <c r="J31" s="74"/>
      <c r="K31" s="77">
        <f>Kermeli_2017!S23</f>
        <v>56.355239560797273</v>
      </c>
      <c r="L31" s="105" t="s">
        <v>208</v>
      </c>
      <c r="M31" s="74"/>
      <c r="O31" s="74"/>
      <c r="P31" s="74"/>
      <c r="Q31" s="77">
        <f>Smith_2020!B67</f>
        <v>48.88880000000001</v>
      </c>
      <c r="R31" s="74" t="s">
        <v>126</v>
      </c>
      <c r="S31" s="74"/>
      <c r="T31" s="106">
        <f t="shared" si="2"/>
        <v>0.45409173471224484</v>
      </c>
      <c r="W31" s="74"/>
      <c r="X31" s="106"/>
      <c r="AB31" s="117">
        <f t="shared" si="0"/>
        <v>0.25355193491179384</v>
      </c>
      <c r="AC31" s="89" t="s">
        <v>243</v>
      </c>
    </row>
    <row r="32" spans="1:29" ht="14.25" customHeight="1">
      <c r="A32" s="74">
        <v>1969</v>
      </c>
      <c r="B32" s="74">
        <f>Smith_2020!$R$24</f>
        <v>22.2</v>
      </c>
      <c r="C32" s="74">
        <f>Smith_2020!$R$25</f>
        <v>21.3</v>
      </c>
      <c r="D32" s="77">
        <f t="shared" si="1"/>
        <v>49.965639509455109</v>
      </c>
      <c r="E32" s="77">
        <v>57.394083293718964</v>
      </c>
      <c r="F32" s="78" t="s">
        <v>77</v>
      </c>
      <c r="G32" s="78"/>
      <c r="H32" s="77">
        <f>Dahmus_2014!E49</f>
        <v>39.130280854227593</v>
      </c>
      <c r="I32" s="74" t="s">
        <v>103</v>
      </c>
      <c r="J32" s="74"/>
      <c r="K32" s="77">
        <f>Kermeli_2017!S24</f>
        <v>55.782793889873858</v>
      </c>
      <c r="L32" s="105" t="s">
        <v>208</v>
      </c>
      <c r="M32" s="74"/>
      <c r="N32" s="74"/>
      <c r="O32" s="74"/>
      <c r="P32" s="74"/>
      <c r="Q32" s="77">
        <f>Smith_2020!B68</f>
        <v>47.555400000000013</v>
      </c>
      <c r="R32" s="74" t="s">
        <v>126</v>
      </c>
      <c r="S32" s="74"/>
      <c r="T32" s="106">
        <f t="shared" si="2"/>
        <v>0.46682395690079348</v>
      </c>
      <c r="W32" s="74"/>
      <c r="X32" s="106"/>
      <c r="AB32" s="117">
        <f t="shared" si="0"/>
        <v>0.26066124636772492</v>
      </c>
      <c r="AC32" s="89" t="s">
        <v>243</v>
      </c>
    </row>
    <row r="33" spans="1:32" ht="14.25" customHeight="1">
      <c r="A33" s="74">
        <v>1970</v>
      </c>
      <c r="B33" s="74">
        <f>Smith_2020!$R$24</f>
        <v>22.2</v>
      </c>
      <c r="C33" s="74">
        <f>Smith_2020!$R$25</f>
        <v>21.3</v>
      </c>
      <c r="D33" s="77">
        <f t="shared" si="1"/>
        <v>49.26543974439371</v>
      </c>
      <c r="E33" s="77">
        <v>56.77899871731789</v>
      </c>
      <c r="F33" s="78" t="s">
        <v>77</v>
      </c>
      <c r="G33" s="78"/>
      <c r="H33" s="77">
        <f>Dahmus_2014!E50</f>
        <v>38.84459724841922</v>
      </c>
      <c r="I33" s="74" t="s">
        <v>103</v>
      </c>
      <c r="J33" s="74"/>
      <c r="K33" s="77">
        <f>Kermeli_2017!S25</f>
        <v>55.216163011837722</v>
      </c>
      <c r="L33" s="105" t="s">
        <v>208</v>
      </c>
      <c r="M33" s="74"/>
      <c r="N33" s="78">
        <f>Heath_1985!C12</f>
        <v>41.45</v>
      </c>
      <c r="O33" s="78" t="s">
        <v>158</v>
      </c>
      <c r="P33" s="78"/>
      <c r="Q33" s="77">
        <f>Smith_2020!B69</f>
        <v>46.222000000000001</v>
      </c>
      <c r="R33" s="74" t="s">
        <v>126</v>
      </c>
      <c r="S33" s="78"/>
      <c r="T33" s="106">
        <f t="shared" si="2"/>
        <v>0.4802907706287049</v>
      </c>
      <c r="W33" s="74"/>
      <c r="X33" s="106"/>
      <c r="AB33" s="117">
        <f t="shared" si="0"/>
        <v>0.26818073288727678</v>
      </c>
      <c r="AC33" s="89" t="s">
        <v>243</v>
      </c>
    </row>
    <row r="34" spans="1:32" ht="14.25" customHeight="1">
      <c r="A34" s="74">
        <v>1971</v>
      </c>
      <c r="B34" s="74">
        <f>Smith_2020!$R$24</f>
        <v>22.2</v>
      </c>
      <c r="C34" s="74">
        <f>Smith_2020!$R$25</f>
        <v>21.3</v>
      </c>
      <c r="D34" s="77">
        <f t="shared" si="1"/>
        <v>48.676084068971463</v>
      </c>
      <c r="E34" s="77">
        <v>56.42164904412715</v>
      </c>
      <c r="F34" s="78" t="s">
        <v>77</v>
      </c>
      <c r="G34" s="78"/>
      <c r="H34" s="77">
        <f>Dahmus_2014!E51</f>
        <v>38.560999370616017</v>
      </c>
      <c r="I34" s="74" t="s">
        <v>103</v>
      </c>
      <c r="J34" s="74"/>
      <c r="K34" s="77">
        <f>Kermeli_2017!S26</f>
        <v>54.655287861142675</v>
      </c>
      <c r="L34" s="105" t="s">
        <v>208</v>
      </c>
      <c r="M34" s="74"/>
      <c r="O34" s="74"/>
      <c r="P34" s="74"/>
      <c r="Q34" s="77">
        <f>Smith_2020!B70</f>
        <v>45.066400000000002</v>
      </c>
      <c r="R34" s="74" t="s">
        <v>126</v>
      </c>
      <c r="S34" s="74"/>
      <c r="T34" s="106">
        <f t="shared" si="2"/>
        <v>0.49260646512701256</v>
      </c>
      <c r="W34" s="74"/>
      <c r="X34" s="106"/>
      <c r="AB34" s="117">
        <f t="shared" si="0"/>
        <v>0.27505746710444384</v>
      </c>
      <c r="AC34" s="89" t="s">
        <v>243</v>
      </c>
    </row>
    <row r="35" spans="1:32" ht="14.25" customHeight="1">
      <c r="A35" s="74">
        <v>1972</v>
      </c>
      <c r="B35" s="74">
        <f>Smith_2020!$R$24</f>
        <v>22.2</v>
      </c>
      <c r="C35" s="74">
        <f>Smith_2020!$R$25</f>
        <v>21.3</v>
      </c>
      <c r="D35" s="77">
        <f t="shared" si="1"/>
        <v>48.088670334105771</v>
      </c>
      <c r="E35" s="77">
        <v>56.064299370936411</v>
      </c>
      <c r="F35" s="78" t="s">
        <v>77</v>
      </c>
      <c r="G35" s="78"/>
      <c r="H35" s="77">
        <f>Dahmus_2014!E52</f>
        <v>38.27947199326826</v>
      </c>
      <c r="I35" s="74" t="s">
        <v>103</v>
      </c>
      <c r="J35" s="74"/>
      <c r="K35" s="77">
        <f>Kermeli_2017!S27</f>
        <v>54.100109972218412</v>
      </c>
      <c r="L35" s="105" t="s">
        <v>208</v>
      </c>
      <c r="M35" s="74"/>
      <c r="N35" s="74"/>
      <c r="O35" s="74"/>
      <c r="P35" s="74"/>
      <c r="Q35" s="77">
        <f>Smith_2020!B71</f>
        <v>43.910800000000002</v>
      </c>
      <c r="R35" s="74" t="s">
        <v>126</v>
      </c>
      <c r="S35" s="74"/>
      <c r="T35" s="106">
        <f t="shared" si="2"/>
        <v>0.50557038359583517</v>
      </c>
      <c r="V35" s="74">
        <v>46.5</v>
      </c>
      <c r="W35" s="74" t="s">
        <v>121</v>
      </c>
      <c r="X35" s="106">
        <f>C35/V35</f>
        <v>0.45806451612903226</v>
      </c>
      <c r="AB35" s="117">
        <f t="shared" si="0"/>
        <v>0.2822961511863985</v>
      </c>
      <c r="AC35" s="89" t="s">
        <v>243</v>
      </c>
    </row>
    <row r="36" spans="1:32" ht="14.25" customHeight="1">
      <c r="A36" s="74">
        <v>1973</v>
      </c>
      <c r="B36" s="74">
        <f>Smith_2020!$R$24</f>
        <v>22.2</v>
      </c>
      <c r="C36" s="74">
        <f>Smith_2020!$R$25</f>
        <v>21.3</v>
      </c>
      <c r="D36" s="77">
        <f t="shared" si="1"/>
        <v>47.503180292780769</v>
      </c>
      <c r="E36" s="77">
        <v>55.706949697745671</v>
      </c>
      <c r="F36" s="78" t="s">
        <v>77</v>
      </c>
      <c r="G36" s="78"/>
      <c r="H36" s="77">
        <f>Dahmus_2014!E53</f>
        <v>38</v>
      </c>
      <c r="I36" s="74" t="s">
        <v>103</v>
      </c>
      <c r="J36" s="74"/>
      <c r="K36" s="77">
        <f>Kermeli_2017!S28</f>
        <v>53.550571473377389</v>
      </c>
      <c r="L36" s="105" t="s">
        <v>208</v>
      </c>
      <c r="M36" s="74"/>
      <c r="N36" s="74"/>
      <c r="O36" s="74"/>
      <c r="P36" s="74"/>
      <c r="Q36" s="77">
        <f>Smith_2020!B72</f>
        <v>42.755200000000002</v>
      </c>
      <c r="R36" s="74" t="s">
        <v>126</v>
      </c>
      <c r="S36" s="74"/>
      <c r="T36" s="106">
        <f t="shared" si="2"/>
        <v>0.5192350871940723</v>
      </c>
      <c r="W36" s="74"/>
      <c r="X36" s="106"/>
      <c r="AB36" s="117">
        <f t="shared" si="0"/>
        <v>0.28992613379228044</v>
      </c>
      <c r="AC36" s="89" t="s">
        <v>243</v>
      </c>
    </row>
    <row r="37" spans="1:32" ht="14.25" customHeight="1">
      <c r="A37" s="74">
        <v>1974</v>
      </c>
      <c r="B37" s="74">
        <f>Smith_2020!$R$24</f>
        <v>22.2</v>
      </c>
      <c r="C37" s="74">
        <f>Smith_2020!$R$25</f>
        <v>21.3</v>
      </c>
      <c r="D37" s="77">
        <f t="shared" si="1"/>
        <v>46.728431769659863</v>
      </c>
      <c r="E37" s="77">
        <v>55.349600024554931</v>
      </c>
      <c r="F37" s="78" t="s">
        <v>77</v>
      </c>
      <c r="G37" s="78"/>
      <c r="H37" s="77">
        <f>Dahmus_2014!E54</f>
        <v>36.957911973303752</v>
      </c>
      <c r="I37" s="74" t="s">
        <v>103</v>
      </c>
      <c r="J37" s="74"/>
      <c r="K37" s="77">
        <f>Kermeli_2017!S29</f>
        <v>53.006615080780762</v>
      </c>
      <c r="L37" s="105" t="s">
        <v>208</v>
      </c>
      <c r="M37" s="74"/>
      <c r="N37" s="74"/>
      <c r="O37" s="74"/>
      <c r="P37" s="74"/>
      <c r="Q37" s="77">
        <f>Smith_2020!B73</f>
        <v>41.599600000000002</v>
      </c>
      <c r="R37" s="74" t="s">
        <v>126</v>
      </c>
      <c r="S37" s="74"/>
      <c r="T37" s="106">
        <f t="shared" si="2"/>
        <v>0.53365897749016811</v>
      </c>
      <c r="W37" s="74"/>
      <c r="X37" s="106"/>
      <c r="AB37" s="117">
        <f t="shared" si="0"/>
        <v>0.29798002470013429</v>
      </c>
      <c r="AC37" s="89" t="s">
        <v>243</v>
      </c>
    </row>
    <row r="38" spans="1:32" ht="14.25" customHeight="1">
      <c r="A38" s="74">
        <v>1975</v>
      </c>
      <c r="B38" s="74">
        <f>Smith_2020!$R$24</f>
        <v>22.2</v>
      </c>
      <c r="C38" s="74">
        <f>Smith_2020!$R$25</f>
        <v>21.3</v>
      </c>
      <c r="D38" s="77">
        <f t="shared" si="1"/>
        <v>45.962208988763877</v>
      </c>
      <c r="E38" s="77">
        <v>54.992250351364191</v>
      </c>
      <c r="F38" s="78" t="s">
        <v>77</v>
      </c>
      <c r="G38" s="78"/>
      <c r="H38" s="77">
        <f>Dahmus_2014!E55</f>
        <v>35.944401511222857</v>
      </c>
      <c r="I38" s="74" t="s">
        <v>103</v>
      </c>
      <c r="J38" s="74"/>
      <c r="K38" s="77">
        <f>Kermeli_2017!S30</f>
        <v>52.468184092468448</v>
      </c>
      <c r="L38" s="105" t="s">
        <v>208</v>
      </c>
      <c r="M38" s="74"/>
      <c r="N38" s="74"/>
      <c r="O38" s="74"/>
      <c r="P38" s="74"/>
      <c r="Q38" s="77">
        <f>Smith_2020!B74</f>
        <v>40.444000000000003</v>
      </c>
      <c r="R38" s="74" t="s">
        <v>126</v>
      </c>
      <c r="S38" s="74"/>
      <c r="T38" s="106">
        <f t="shared" si="2"/>
        <v>0.54890713084759168</v>
      </c>
      <c r="W38" s="74"/>
      <c r="X38" s="106"/>
      <c r="AB38" s="117">
        <f t="shared" si="0"/>
        <v>0.30649416070407742</v>
      </c>
      <c r="AC38" s="89" t="s">
        <v>243</v>
      </c>
    </row>
    <row r="39" spans="1:32" ht="14.25" customHeight="1">
      <c r="A39" s="74">
        <v>1976</v>
      </c>
      <c r="B39" s="74">
        <f>Smith_2020!$R$24</f>
        <v>22.2</v>
      </c>
      <c r="C39" s="74">
        <f>Smith_2020!$R$25</f>
        <v>21.3</v>
      </c>
      <c r="D39" s="77">
        <f t="shared" si="1"/>
        <v>45.221001995318908</v>
      </c>
      <c r="E39" s="77">
        <v>54.634900678173452</v>
      </c>
      <c r="F39" s="78" t="s">
        <v>77</v>
      </c>
      <c r="G39" s="78"/>
      <c r="H39" s="77">
        <f>Dahmus_2014!E56</f>
        <v>34.958684920654228</v>
      </c>
      <c r="I39" s="74" t="s">
        <v>103</v>
      </c>
      <c r="J39" s="74"/>
      <c r="K39" s="77">
        <f>Kermeli_2017!S31</f>
        <v>51.935222382447968</v>
      </c>
      <c r="L39" s="105" t="s">
        <v>208</v>
      </c>
      <c r="M39" s="74"/>
      <c r="N39" s="74"/>
      <c r="O39" s="74"/>
      <c r="P39" s="74"/>
      <c r="Q39" s="77">
        <f>Smith_2020!B75</f>
        <v>39.355200000000004</v>
      </c>
      <c r="R39" s="74" t="s">
        <v>126</v>
      </c>
      <c r="S39" s="74"/>
      <c r="T39" s="106">
        <f t="shared" si="2"/>
        <v>0.5640931820953774</v>
      </c>
      <c r="W39" s="74"/>
      <c r="X39" s="106"/>
      <c r="AB39" s="117">
        <f t="shared" si="0"/>
        <v>0.31497362065281609</v>
      </c>
      <c r="AC39" s="89" t="s">
        <v>243</v>
      </c>
    </row>
    <row r="40" spans="1:32" ht="14.25" customHeight="1">
      <c r="A40" s="74">
        <v>1977</v>
      </c>
      <c r="B40" s="74">
        <f>Smith_2020!$R$24</f>
        <v>22.2</v>
      </c>
      <c r="C40" s="74">
        <f>Smith_2020!$R$25</f>
        <v>21.3</v>
      </c>
      <c r="D40" s="77">
        <f t="shared" si="1"/>
        <v>44.487906349956504</v>
      </c>
      <c r="E40" s="77">
        <v>54.277551004982712</v>
      </c>
      <c r="F40" s="78" t="s">
        <v>77</v>
      </c>
      <c r="G40" s="78"/>
      <c r="H40" s="77">
        <f>Dahmus_2014!E57</f>
        <v>34</v>
      </c>
      <c r="I40" s="74" t="s">
        <v>103</v>
      </c>
      <c r="J40" s="74"/>
      <c r="K40" s="77">
        <f>Kermeli_2017!S32</f>
        <v>51.407674394843305</v>
      </c>
      <c r="L40" s="105" t="s">
        <v>208</v>
      </c>
      <c r="M40" s="74"/>
      <c r="N40" s="74"/>
      <c r="O40" s="74"/>
      <c r="P40" s="74"/>
      <c r="Q40" s="77">
        <f>Smith_2020!B76</f>
        <v>38.266400000000004</v>
      </c>
      <c r="R40" s="74" t="s">
        <v>126</v>
      </c>
      <c r="S40" s="74"/>
      <c r="T40" s="106">
        <f t="shared" si="2"/>
        <v>0.58014341563355831</v>
      </c>
      <c r="W40" s="74"/>
      <c r="X40" s="106"/>
      <c r="AB40" s="117">
        <f t="shared" si="0"/>
        <v>0.32393561546201644</v>
      </c>
      <c r="AC40" s="89" t="s">
        <v>243</v>
      </c>
    </row>
    <row r="41" spans="1:32" ht="14.25" customHeight="1">
      <c r="A41" s="74">
        <v>1978</v>
      </c>
      <c r="B41" s="74">
        <f>Smith_2020!$R$24</f>
        <v>22.2</v>
      </c>
      <c r="C41" s="74">
        <f>Smith_2020!$R$25</f>
        <v>21.3</v>
      </c>
      <c r="D41" s="77">
        <f t="shared" si="1"/>
        <v>43.648488640786361</v>
      </c>
      <c r="E41" s="77">
        <v>53.920201331791972</v>
      </c>
      <c r="F41" s="78" t="s">
        <v>77</v>
      </c>
      <c r="G41" s="78"/>
      <c r="H41" s="77">
        <f>Dahmus_2014!E58</f>
        <v>32.610668093248584</v>
      </c>
      <c r="I41" s="74" t="s">
        <v>103</v>
      </c>
      <c r="J41" s="74"/>
      <c r="K41" s="77">
        <f>Kermeli_2017!S33</f>
        <v>50.885485138104876</v>
      </c>
      <c r="L41" s="105" t="s">
        <v>208</v>
      </c>
      <c r="M41" s="74"/>
      <c r="N41" s="74"/>
      <c r="O41" s="74"/>
      <c r="P41" s="74"/>
      <c r="Q41" s="77">
        <f>Smith_2020!B77</f>
        <v>37.177600000000005</v>
      </c>
      <c r="R41" s="74" t="s">
        <v>126</v>
      </c>
      <c r="S41" s="74"/>
      <c r="T41" s="106">
        <f t="shared" si="2"/>
        <v>0.59713375796178336</v>
      </c>
      <c r="V41" s="74">
        <v>41.2</v>
      </c>
      <c r="W41" s="74" t="s">
        <v>121</v>
      </c>
      <c r="X41" s="106">
        <f>C41/V41</f>
        <v>0.51699029126213591</v>
      </c>
      <c r="AB41" s="117">
        <f>T41*(AB$42/T$42)</f>
        <v>0.33342254033384905</v>
      </c>
      <c r="AC41" s="89" t="s">
        <v>243</v>
      </c>
    </row>
    <row r="42" spans="1:32" ht="14.25" customHeight="1">
      <c r="A42" s="74">
        <v>1979</v>
      </c>
      <c r="B42" s="74">
        <f>Smith_2020!$R$24</f>
        <v>22.2</v>
      </c>
      <c r="C42" s="74">
        <f>Smith_2020!$R$25</f>
        <v>21.3</v>
      </c>
      <c r="D42" s="77">
        <f t="shared" si="1"/>
        <v>42.824589970410813</v>
      </c>
      <c r="E42" s="77">
        <v>53.562851658601232</v>
      </c>
      <c r="F42" s="78" t="s">
        <v>77</v>
      </c>
      <c r="G42" s="78"/>
      <c r="H42" s="77">
        <f>Dahmus_2014!E59</f>
        <v>31.278108043765332</v>
      </c>
      <c r="I42" s="74" t="s">
        <v>103</v>
      </c>
      <c r="J42" s="74"/>
      <c r="K42" s="77">
        <f>Kermeli_2017!S34</f>
        <v>50.368600179276676</v>
      </c>
      <c r="L42" s="105" t="s">
        <v>208</v>
      </c>
      <c r="M42" s="74"/>
      <c r="N42" s="74"/>
      <c r="O42" s="74"/>
      <c r="P42" s="74"/>
      <c r="Q42" s="77">
        <f>Smith_2020!B78</f>
        <v>36.088800000000006</v>
      </c>
      <c r="R42" s="74" t="s">
        <v>126</v>
      </c>
      <c r="S42" s="74"/>
      <c r="T42" s="106">
        <f t="shared" si="2"/>
        <v>0.6151492983972866</v>
      </c>
      <c r="W42" s="74"/>
      <c r="X42" s="106"/>
      <c r="Z42" s="74">
        <f>Schumacher_1999!C5</f>
        <v>62.012000000000008</v>
      </c>
      <c r="AA42" s="74" t="s">
        <v>130</v>
      </c>
      <c r="AB42" s="106">
        <f>C42/Z42</f>
        <v>0.3434819067277301</v>
      </c>
      <c r="AC42" s="74" t="s">
        <v>130</v>
      </c>
      <c r="AE42" s="74"/>
      <c r="AF42" s="74"/>
    </row>
    <row r="43" spans="1:32" ht="14.25" customHeight="1">
      <c r="A43" s="74">
        <v>1980</v>
      </c>
      <c r="B43" s="74">
        <f>Smith_2020!$R$24</f>
        <v>22.2</v>
      </c>
      <c r="C43" s="74">
        <f>Smith_2020!$R$25</f>
        <v>21.3</v>
      </c>
      <c r="D43" s="77">
        <f t="shared" si="1"/>
        <v>42.01561690593303</v>
      </c>
      <c r="E43" s="77">
        <v>53.205501985410493</v>
      </c>
      <c r="F43" s="78" t="s">
        <v>77</v>
      </c>
      <c r="G43" s="78"/>
      <c r="H43" s="77">
        <f>Dahmus_2014!E60</f>
        <v>30</v>
      </c>
      <c r="I43" s="74" t="s">
        <v>103</v>
      </c>
      <c r="J43" s="74"/>
      <c r="K43" s="77">
        <f>Kermeli_2017!S35</f>
        <v>49.85696563832164</v>
      </c>
      <c r="L43" s="105" t="s">
        <v>208</v>
      </c>
      <c r="M43" s="74"/>
      <c r="N43" s="74"/>
      <c r="O43" s="74"/>
      <c r="P43" s="74"/>
      <c r="Q43" s="77">
        <f>Smith_2020!B79</f>
        <v>35</v>
      </c>
      <c r="R43" s="74" t="s">
        <v>126</v>
      </c>
      <c r="S43" s="74"/>
      <c r="T43" s="106">
        <f t="shared" si="2"/>
        <v>0.63428571428571423</v>
      </c>
      <c r="W43" s="74"/>
      <c r="X43" s="106"/>
      <c r="Z43" s="74">
        <f>Schumacher_1999!C6</f>
        <v>62.012000000000008</v>
      </c>
      <c r="AA43" s="74" t="s">
        <v>130</v>
      </c>
      <c r="AB43" s="106">
        <f t="shared" ref="AB43:AB59" si="3">C43/Z43</f>
        <v>0.3434819067277301</v>
      </c>
      <c r="AC43" s="74" t="s">
        <v>130</v>
      </c>
      <c r="AE43" s="74"/>
      <c r="AF43" s="74"/>
    </row>
    <row r="44" spans="1:32" ht="14.25" customHeight="1">
      <c r="A44" s="74">
        <v>1981</v>
      </c>
      <c r="B44" s="74">
        <f>Smith_2020!$R$24</f>
        <v>22.2</v>
      </c>
      <c r="C44" s="74">
        <f>Smith_2020!$R$25</f>
        <v>21.3</v>
      </c>
      <c r="D44" s="77">
        <f t="shared" si="1"/>
        <v>41.514643597739671</v>
      </c>
      <c r="E44" s="77">
        <v>52.812283800946972</v>
      </c>
      <c r="F44" s="78" t="s">
        <v>77</v>
      </c>
      <c r="G44" s="78"/>
      <c r="H44" s="77">
        <f>Dahmus_2014!E61</f>
        <v>29.49576240750525</v>
      </c>
      <c r="I44" s="74" t="s">
        <v>103</v>
      </c>
      <c r="J44" s="74"/>
      <c r="K44" s="77">
        <f>Kermeli_2017!S36</f>
        <v>49.350528182506459</v>
      </c>
      <c r="L44" s="105" t="s">
        <v>208</v>
      </c>
      <c r="M44" s="74"/>
      <c r="N44" s="74"/>
      <c r="O44" s="74"/>
      <c r="P44" s="74"/>
      <c r="Q44" s="77">
        <f>Smith_2020!B80</f>
        <v>34.4</v>
      </c>
      <c r="R44" s="74" t="s">
        <v>126</v>
      </c>
      <c r="S44" s="74"/>
      <c r="T44" s="106">
        <f t="shared" si="2"/>
        <v>0.64534883720930236</v>
      </c>
      <c r="W44" s="74"/>
      <c r="X44" s="106"/>
      <c r="Z44" s="74">
        <f>Schumacher_1999!C7</f>
        <v>58.660000000000004</v>
      </c>
      <c r="AA44" s="74" t="s">
        <v>130</v>
      </c>
      <c r="AB44" s="106">
        <f t="shared" si="3"/>
        <v>0.36310944425502895</v>
      </c>
      <c r="AC44" s="74" t="s">
        <v>130</v>
      </c>
      <c r="AE44" s="74"/>
      <c r="AF44" s="74"/>
    </row>
    <row r="45" spans="1:32" ht="14.25" customHeight="1">
      <c r="A45" s="74">
        <v>1982</v>
      </c>
      <c r="B45" s="74">
        <f>Smith_2020!$R$24</f>
        <v>22.2</v>
      </c>
      <c r="C45" s="74">
        <f>Smith_2020!$R$25</f>
        <v>21.3</v>
      </c>
      <c r="D45" s="77">
        <f t="shared" si="1"/>
        <v>41.01707515933105</v>
      </c>
      <c r="E45" s="77">
        <v>52.419065616483451</v>
      </c>
      <c r="F45" s="78" t="s">
        <v>77</v>
      </c>
      <c r="G45" s="78"/>
      <c r="H45" s="77">
        <f>Dahmus_2014!E62</f>
        <v>29</v>
      </c>
      <c r="I45" s="74" t="s">
        <v>103</v>
      </c>
      <c r="J45" s="74"/>
      <c r="K45" s="77">
        <f>Kermeli_2017!S37</f>
        <v>48.849235020840759</v>
      </c>
      <c r="L45" s="105" t="s">
        <v>208</v>
      </c>
      <c r="M45" s="74"/>
      <c r="N45" s="78">
        <f>Heath_1985!C13</f>
        <v>39.4</v>
      </c>
      <c r="O45" s="78" t="s">
        <v>158</v>
      </c>
      <c r="P45" s="78"/>
      <c r="Q45" s="77">
        <f>Smith_2020!B81</f>
        <v>33.799999999999997</v>
      </c>
      <c r="R45" s="74" t="s">
        <v>126</v>
      </c>
      <c r="S45" s="78"/>
      <c r="T45" s="106">
        <f t="shared" si="2"/>
        <v>0.65680473372781067</v>
      </c>
      <c r="W45" s="74"/>
      <c r="X45" s="106"/>
      <c r="Z45" s="74">
        <f>Schumacher_1999!C8</f>
        <v>58.660000000000004</v>
      </c>
      <c r="AA45" s="74" t="s">
        <v>130</v>
      </c>
      <c r="AB45" s="106">
        <f t="shared" si="3"/>
        <v>0.36310944425502895</v>
      </c>
      <c r="AC45" s="74" t="s">
        <v>130</v>
      </c>
      <c r="AE45" s="74"/>
      <c r="AF45" s="74"/>
    </row>
    <row r="46" spans="1:32" ht="14.25" customHeight="1">
      <c r="A46" s="74">
        <v>1983</v>
      </c>
      <c r="B46" s="74">
        <f>Smith_2020!$R$24</f>
        <v>22.2</v>
      </c>
      <c r="C46" s="74">
        <f>Smith_2020!$R$25</f>
        <v>21.3</v>
      </c>
      <c r="D46" s="77">
        <f t="shared" si="1"/>
        <v>40.616507362451998</v>
      </c>
      <c r="E46" s="77">
        <v>52.02584743201993</v>
      </c>
      <c r="F46" s="78" t="s">
        <v>77</v>
      </c>
      <c r="G46" s="78"/>
      <c r="H46" s="77">
        <f>Dahmus_2014!E63</f>
        <v>28.887148119212668</v>
      </c>
      <c r="I46" s="74" t="s">
        <v>103</v>
      </c>
      <c r="J46" s="74"/>
      <c r="K46" s="77">
        <f>Kermeli_2017!S38</f>
        <v>48.353033898575397</v>
      </c>
      <c r="L46" s="105" t="s">
        <v>208</v>
      </c>
      <c r="M46" s="74"/>
      <c r="N46" s="74"/>
      <c r="O46" s="74"/>
      <c r="P46" s="74"/>
      <c r="Q46" s="77">
        <f>Smith_2020!B82</f>
        <v>33.199999999999996</v>
      </c>
      <c r="R46" s="74" t="s">
        <v>126</v>
      </c>
      <c r="S46" s="74"/>
      <c r="T46" s="106">
        <f t="shared" si="2"/>
        <v>0.66867469879518082</v>
      </c>
      <c r="Z46" s="74">
        <f>Schumacher_1999!C9</f>
        <v>56.146000000000008</v>
      </c>
      <c r="AA46" s="74" t="s">
        <v>130</v>
      </c>
      <c r="AB46" s="106">
        <f t="shared" si="3"/>
        <v>0.37936807608734369</v>
      </c>
      <c r="AC46" s="74" t="s">
        <v>130</v>
      </c>
      <c r="AE46" s="74"/>
      <c r="AF46" s="74"/>
    </row>
    <row r="47" spans="1:32" ht="14.25" customHeight="1">
      <c r="A47" s="74">
        <v>1984</v>
      </c>
      <c r="B47" s="74">
        <f>Smith_2020!$R$24</f>
        <v>22.2</v>
      </c>
      <c r="C47" s="74">
        <f>Smith_2020!$R$25</f>
        <v>21.3</v>
      </c>
      <c r="D47" s="77">
        <f t="shared" si="1"/>
        <v>40.217309433632416</v>
      </c>
      <c r="E47" s="77">
        <v>51.632629247556409</v>
      </c>
      <c r="F47" s="78" t="s">
        <v>77</v>
      </c>
      <c r="G47" s="78"/>
      <c r="H47" s="77">
        <f>Dahmus_2014!E64</f>
        <v>28.774735395218347</v>
      </c>
      <c r="I47" s="74" t="s">
        <v>103</v>
      </c>
      <c r="J47" s="74"/>
      <c r="K47" s="77">
        <f>Kermeli_2017!S39</f>
        <v>47.861873091754909</v>
      </c>
      <c r="L47" s="105" t="s">
        <v>208</v>
      </c>
      <c r="M47" s="74"/>
      <c r="N47" s="78">
        <f>Heath_1985!C14</f>
        <v>33</v>
      </c>
      <c r="O47" s="78" t="s">
        <v>158</v>
      </c>
      <c r="P47" s="78"/>
      <c r="Q47" s="77">
        <f>Smith_2020!B83</f>
        <v>32.599999999999994</v>
      </c>
      <c r="R47" s="74" t="s">
        <v>126</v>
      </c>
      <c r="S47" s="78"/>
      <c r="T47" s="106">
        <f t="shared" si="2"/>
        <v>0.68098159509202461</v>
      </c>
      <c r="Z47" s="74">
        <f>Schumacher_1999!C10</f>
        <v>56.146000000000008</v>
      </c>
      <c r="AA47" s="74" t="s">
        <v>130</v>
      </c>
      <c r="AB47" s="106">
        <f t="shared" si="3"/>
        <v>0.37936807608734369</v>
      </c>
      <c r="AC47" s="74" t="s">
        <v>130</v>
      </c>
      <c r="AE47" s="74"/>
      <c r="AF47" s="74"/>
    </row>
    <row r="48" spans="1:32" ht="14.25" customHeight="1">
      <c r="A48" s="74">
        <v>1985</v>
      </c>
      <c r="B48" s="74">
        <f>Smith_2020!$R$24</f>
        <v>22.2</v>
      </c>
      <c r="C48" s="74">
        <f>Smith_2020!$R$25</f>
        <v>21.3</v>
      </c>
      <c r="D48" s="77">
        <f t="shared" si="1"/>
        <v>39.819468145995266</v>
      </c>
      <c r="E48" s="77">
        <v>51.239411063092888</v>
      </c>
      <c r="F48" s="78" t="s">
        <v>77</v>
      </c>
      <c r="G48" s="78"/>
      <c r="H48" s="77">
        <f>Dahmus_2014!E65</f>
        <v>28.662760119062892</v>
      </c>
      <c r="I48" s="74" t="s">
        <v>103</v>
      </c>
      <c r="J48" s="74"/>
      <c r="K48" s="77">
        <f>Kermeli_2017!S40</f>
        <v>47.375701401825289</v>
      </c>
      <c r="L48" s="105" t="s">
        <v>208</v>
      </c>
      <c r="M48" s="74"/>
      <c r="N48" s="74"/>
      <c r="O48" s="74"/>
      <c r="P48" s="74"/>
      <c r="Q48" s="77">
        <f>Smith_2020!B84</f>
        <v>32</v>
      </c>
      <c r="R48" s="74" t="s">
        <v>126</v>
      </c>
      <c r="S48" s="74"/>
      <c r="T48" s="106">
        <f t="shared" si="2"/>
        <v>0.69374999999999998</v>
      </c>
      <c r="Z48" s="74">
        <f>Schumacher_1999!C11</f>
        <v>49.861000000000004</v>
      </c>
      <c r="AA48" s="74" t="s">
        <v>130</v>
      </c>
      <c r="AB48" s="106">
        <f t="shared" si="3"/>
        <v>0.42718758147650465</v>
      </c>
      <c r="AC48" s="74" t="s">
        <v>130</v>
      </c>
      <c r="AE48" s="74"/>
      <c r="AF48" s="74"/>
    </row>
    <row r="49" spans="1:32" ht="14.25" customHeight="1">
      <c r="A49" s="74">
        <v>1986</v>
      </c>
      <c r="B49" s="74">
        <f>Smith_2020!$R$24</f>
        <v>22.2</v>
      </c>
      <c r="C49" s="74">
        <f>Smith_2020!$R$25</f>
        <v>21.3</v>
      </c>
      <c r="D49" s="77">
        <f t="shared" si="1"/>
        <v>39.500770404342489</v>
      </c>
      <c r="E49" s="77">
        <v>50.846192878629367</v>
      </c>
      <c r="F49" s="78" t="s">
        <v>77</v>
      </c>
      <c r="G49" s="78"/>
      <c r="H49" s="77">
        <f>Dahmus_2014!E66</f>
        <v>28.551220588442465</v>
      </c>
      <c r="I49" s="74" t="s">
        <v>103</v>
      </c>
      <c r="J49" s="74"/>
      <c r="K49" s="77">
        <f>Kermeli_2017!S41</f>
        <v>46.89446815029811</v>
      </c>
      <c r="L49" s="105" t="s">
        <v>208</v>
      </c>
      <c r="M49" s="74"/>
      <c r="N49" s="74"/>
      <c r="O49" s="74"/>
      <c r="P49" s="74"/>
      <c r="Q49" s="77">
        <f>Smith_2020!B85</f>
        <v>31.711200000000002</v>
      </c>
      <c r="R49" s="74" t="s">
        <v>126</v>
      </c>
      <c r="S49" s="74"/>
      <c r="T49" s="106">
        <f t="shared" si="2"/>
        <v>0.70006811473548769</v>
      </c>
      <c r="Z49" s="74">
        <f>Schumacher_1999!C12</f>
        <v>49.861000000000004</v>
      </c>
      <c r="AA49" s="74" t="s">
        <v>130</v>
      </c>
      <c r="AB49" s="106">
        <f t="shared" si="3"/>
        <v>0.42718758147650465</v>
      </c>
      <c r="AC49" s="74" t="s">
        <v>130</v>
      </c>
      <c r="AE49" s="74"/>
      <c r="AF49" s="74"/>
    </row>
    <row r="50" spans="1:32" ht="14.25" customHeight="1">
      <c r="A50" s="74">
        <v>1987</v>
      </c>
      <c r="B50" s="74">
        <f>Smith_2020!$R$24</f>
        <v>22.2</v>
      </c>
      <c r="C50" s="74">
        <f>Smith_2020!$R$25</f>
        <v>21.3</v>
      </c>
      <c r="D50" s="77">
        <f t="shared" si="1"/>
        <v>39.183403243827691</v>
      </c>
      <c r="E50" s="77">
        <v>50.452974694165846</v>
      </c>
      <c r="F50" s="78" t="s">
        <v>77</v>
      </c>
      <c r="G50" s="78"/>
      <c r="H50" s="77">
        <f>Dahmus_2014!E67</f>
        <v>28.440115107677649</v>
      </c>
      <c r="I50" s="74" t="s">
        <v>103</v>
      </c>
      <c r="J50" s="74"/>
      <c r="K50" s="77">
        <f>Kermeli_2017!S42</f>
        <v>46.418123173467258</v>
      </c>
      <c r="L50" s="105" t="s">
        <v>208</v>
      </c>
      <c r="M50" s="74"/>
      <c r="N50" s="74"/>
      <c r="O50" s="74"/>
      <c r="P50" s="74"/>
      <c r="Q50" s="77">
        <f>Smith_2020!B86</f>
        <v>31.422400000000003</v>
      </c>
      <c r="R50" s="74" t="s">
        <v>126</v>
      </c>
      <c r="S50" s="74"/>
      <c r="T50" s="106">
        <f t="shared" si="2"/>
        <v>0.70650236773766473</v>
      </c>
      <c r="Z50" s="74">
        <f>Schumacher_1999!C13</f>
        <v>48.604000000000006</v>
      </c>
      <c r="AA50" s="74" t="s">
        <v>130</v>
      </c>
      <c r="AB50" s="106">
        <f t="shared" si="3"/>
        <v>0.43823553616986249</v>
      </c>
      <c r="AC50" s="74" t="s">
        <v>130</v>
      </c>
      <c r="AE50" s="74"/>
      <c r="AF50" s="74"/>
    </row>
    <row r="51" spans="1:32" ht="14.25" customHeight="1">
      <c r="A51" s="74">
        <v>1988</v>
      </c>
      <c r="B51" s="74">
        <f>Smith_2020!$R$24</f>
        <v>22.2</v>
      </c>
      <c r="C51" s="74">
        <f>Smith_2020!$R$25</f>
        <v>21.3</v>
      </c>
      <c r="D51" s="77">
        <f t="shared" si="1"/>
        <v>38.867353828642344</v>
      </c>
      <c r="E51" s="77">
        <v>50.059756509702325</v>
      </c>
      <c r="F51" s="78" t="s">
        <v>77</v>
      </c>
      <c r="G51" s="78"/>
      <c r="H51" s="77">
        <f>Dahmus_2014!E68</f>
        <v>28.329441987687662</v>
      </c>
      <c r="I51" s="74" t="s">
        <v>103</v>
      </c>
      <c r="J51" s="74"/>
      <c r="K51" s="77">
        <f>Kermeli_2017!S43</f>
        <v>45.94661681717939</v>
      </c>
      <c r="L51" s="105" t="s">
        <v>208</v>
      </c>
      <c r="M51" s="74"/>
      <c r="N51" s="74"/>
      <c r="O51" s="74"/>
      <c r="P51" s="74"/>
      <c r="Q51" s="77">
        <f>Smith_2020!B87</f>
        <v>31.133600000000005</v>
      </c>
      <c r="R51" s="74" t="s">
        <v>126</v>
      </c>
      <c r="S51" s="74"/>
      <c r="T51" s="106">
        <f t="shared" si="2"/>
        <v>0.71305599095510941</v>
      </c>
      <c r="V51" s="77">
        <f>Constant_1992!D6</f>
        <v>39.473880000000001</v>
      </c>
      <c r="W51" s="74" t="s">
        <v>164</v>
      </c>
      <c r="X51" s="106">
        <f>C51/V51</f>
        <v>0.53959732359727497</v>
      </c>
      <c r="Z51" s="74">
        <f>Schumacher_1999!C14</f>
        <v>48.604000000000006</v>
      </c>
      <c r="AA51" s="74" t="s">
        <v>130</v>
      </c>
      <c r="AB51" s="106">
        <f t="shared" si="3"/>
        <v>0.43823553616986249</v>
      </c>
      <c r="AC51" s="74" t="s">
        <v>130</v>
      </c>
      <c r="AE51" s="74"/>
      <c r="AF51" s="74"/>
    </row>
    <row r="52" spans="1:32" ht="14.25" customHeight="1">
      <c r="A52" s="74">
        <v>1989</v>
      </c>
      <c r="B52" s="74">
        <f>Smith_2020!$R$24</f>
        <v>22.2</v>
      </c>
      <c r="C52" s="74">
        <f>Smith_2020!$R$25</f>
        <v>21.3</v>
      </c>
      <c r="D52" s="77">
        <f t="shared" si="1"/>
        <v>38.552609450715664</v>
      </c>
      <c r="E52" s="77">
        <v>49.666538325238804</v>
      </c>
      <c r="F52" s="78" t="s">
        <v>77</v>
      </c>
      <c r="G52" s="78"/>
      <c r="H52" s="77">
        <f>Dahmus_2014!E69</f>
        <v>28.219199545964692</v>
      </c>
      <c r="I52" s="74" t="s">
        <v>103</v>
      </c>
      <c r="J52" s="74"/>
      <c r="K52" s="77">
        <f>Kermeli_2017!S44</f>
        <v>45.479899931659141</v>
      </c>
      <c r="L52" s="105" t="s">
        <v>208</v>
      </c>
      <c r="M52" s="74"/>
      <c r="N52" s="74"/>
      <c r="O52" s="74"/>
      <c r="P52" s="74"/>
      <c r="Q52" s="77">
        <f>Smith_2020!B88</f>
        <v>30.844800000000006</v>
      </c>
      <c r="R52" s="74" t="s">
        <v>126</v>
      </c>
      <c r="S52" s="74"/>
      <c r="T52" s="106">
        <f t="shared" si="2"/>
        <v>0.71973233737939601</v>
      </c>
      <c r="Z52" s="74">
        <f>Schumacher_1999!C15</f>
        <v>47.766000000000005</v>
      </c>
      <c r="AA52" s="74" t="s">
        <v>130</v>
      </c>
      <c r="AB52" s="106">
        <f t="shared" si="3"/>
        <v>0.44592387890968466</v>
      </c>
      <c r="AC52" s="74" t="s">
        <v>130</v>
      </c>
      <c r="AE52" s="74"/>
      <c r="AF52" s="74"/>
    </row>
    <row r="53" spans="1:32" ht="14.25" customHeight="1">
      <c r="A53" s="74">
        <v>1990</v>
      </c>
      <c r="B53" s="74">
        <f>Smith_2020!$R$24</f>
        <v>22.2</v>
      </c>
      <c r="C53" s="74">
        <f>Smith_2020!$R$25</f>
        <v>21.3</v>
      </c>
      <c r="D53" s="77">
        <f t="shared" si="1"/>
        <v>38.239157528427008</v>
      </c>
      <c r="E53" s="77">
        <v>49.273320140775255</v>
      </c>
      <c r="F53" s="78" t="s">
        <v>77</v>
      </c>
      <c r="G53" s="78"/>
      <c r="H53" s="77">
        <f>Dahmus_2014!E70</f>
        <v>28.109386106548307</v>
      </c>
      <c r="I53" s="74" t="s">
        <v>103</v>
      </c>
      <c r="J53" s="74"/>
      <c r="K53" s="77">
        <f>Kermeli_2017!S45</f>
        <v>45.017923866384471</v>
      </c>
      <c r="L53" s="105" t="s">
        <v>208</v>
      </c>
      <c r="M53" s="74"/>
      <c r="N53" s="74"/>
      <c r="O53" s="74"/>
      <c r="P53" s="74"/>
      <c r="Q53" s="77">
        <f>Smith_2020!B89</f>
        <v>30.556000000000001</v>
      </c>
      <c r="R53" s="74" t="s">
        <v>126</v>
      </c>
      <c r="S53" s="74"/>
      <c r="T53" s="106">
        <f t="shared" si="2"/>
        <v>0.72653488676528333</v>
      </c>
      <c r="Z53" s="74">
        <f>Schumacher_1999!C16</f>
        <v>47.766000000000005</v>
      </c>
      <c r="AA53" s="74" t="s">
        <v>130</v>
      </c>
      <c r="AB53" s="106">
        <f t="shared" si="3"/>
        <v>0.44592387890968466</v>
      </c>
      <c r="AC53" s="74" t="s">
        <v>130</v>
      </c>
      <c r="AE53" s="74"/>
      <c r="AF53" s="74"/>
    </row>
    <row r="54" spans="1:32" ht="14.25" customHeight="1">
      <c r="A54" s="74">
        <v>1991</v>
      </c>
      <c r="B54" s="74">
        <f>Smith_2020!$R$24</f>
        <v>22.2</v>
      </c>
      <c r="C54" s="74">
        <f>Smith_2020!$R$25</f>
        <v>21.3</v>
      </c>
      <c r="D54" s="77">
        <f t="shared" si="1"/>
        <v>38.029743315340973</v>
      </c>
      <c r="E54" s="77">
        <v>49.224732796347439</v>
      </c>
      <c r="F54" s="78" t="s">
        <v>77</v>
      </c>
      <c r="G54" s="78"/>
      <c r="H54" s="77">
        <f>Dahmus_2014!E71</f>
        <v>28</v>
      </c>
      <c r="I54" s="74" t="s">
        <v>103</v>
      </c>
      <c r="J54" s="74"/>
      <c r="K54" s="77">
        <f>Kermeli_2017!S46</f>
        <v>44.560640465016441</v>
      </c>
      <c r="L54" s="105" t="s">
        <v>208</v>
      </c>
      <c r="M54" s="74"/>
      <c r="N54" s="74"/>
      <c r="O54" s="74"/>
      <c r="P54" s="74"/>
      <c r="Q54" s="77">
        <f>Smith_2020!B90</f>
        <v>30.333600000000001</v>
      </c>
      <c r="R54" s="74" t="s">
        <v>126</v>
      </c>
      <c r="S54" s="74"/>
      <c r="T54" s="106">
        <f t="shared" si="2"/>
        <v>0.73186169791913913</v>
      </c>
      <c r="Z54" s="74">
        <f>Schumacher_1999!C17</f>
        <v>48.185000000000002</v>
      </c>
      <c r="AA54" s="74" t="s">
        <v>130</v>
      </c>
      <c r="AB54" s="106">
        <f t="shared" si="3"/>
        <v>0.44204627996264395</v>
      </c>
      <c r="AC54" s="74" t="s">
        <v>130</v>
      </c>
      <c r="AE54" s="74"/>
      <c r="AF54" s="74"/>
    </row>
    <row r="55" spans="1:32" ht="14.25" customHeight="1">
      <c r="A55" s="74">
        <v>1992</v>
      </c>
      <c r="B55" s="74">
        <f>Smith_2020!$R$24</f>
        <v>22.2</v>
      </c>
      <c r="C55" s="74">
        <f>Smith_2020!$R$25</f>
        <v>21.3</v>
      </c>
      <c r="D55" s="77">
        <f t="shared" si="1"/>
        <v>37.798106892892733</v>
      </c>
      <c r="E55" s="77">
        <v>49.176145451919623</v>
      </c>
      <c r="F55" s="78" t="s">
        <v>77</v>
      </c>
      <c r="G55" s="78"/>
      <c r="H55" s="77">
        <f>Dahmus_2014!E72</f>
        <v>27.797080059272396</v>
      </c>
      <c r="I55" s="74" t="s">
        <v>103</v>
      </c>
      <c r="J55" s="74"/>
      <c r="K55" s="77">
        <f>Kermeli_2017!S47</f>
        <v>44.108002060378908</v>
      </c>
      <c r="L55" s="105" t="s">
        <v>208</v>
      </c>
      <c r="M55" s="74"/>
      <c r="N55" s="74"/>
      <c r="O55" s="74"/>
      <c r="P55" s="74"/>
      <c r="Q55" s="77">
        <f>Smith_2020!B91</f>
        <v>30.1112</v>
      </c>
      <c r="R55" s="74" t="s">
        <v>126</v>
      </c>
      <c r="S55" s="74"/>
      <c r="T55" s="106">
        <f t="shared" si="2"/>
        <v>0.73726719625919923</v>
      </c>
      <c r="Z55" s="74">
        <f>Schumacher_1999!C18</f>
        <v>48.185000000000002</v>
      </c>
      <c r="AA55" s="74" t="s">
        <v>130</v>
      </c>
      <c r="AB55" s="106">
        <f t="shared" si="3"/>
        <v>0.44204627996264395</v>
      </c>
      <c r="AC55" s="74" t="s">
        <v>130</v>
      </c>
      <c r="AE55" s="74"/>
      <c r="AF55" s="74"/>
    </row>
    <row r="56" spans="1:32" ht="14.25" customHeight="1">
      <c r="A56" s="74">
        <v>1993</v>
      </c>
      <c r="B56" s="74">
        <f>Smith_2020!$R$24</f>
        <v>22.2</v>
      </c>
      <c r="C56" s="74">
        <f>Smith_2020!$R$25</f>
        <v>21.3</v>
      </c>
      <c r="D56" s="77">
        <f t="shared" si="1"/>
        <v>37.567987571223838</v>
      </c>
      <c r="E56" s="77">
        <v>49.127558107491808</v>
      </c>
      <c r="F56" s="78" t="s">
        <v>77</v>
      </c>
      <c r="G56" s="78"/>
      <c r="H56" s="77">
        <f>Dahmus_2014!E73</f>
        <v>27.595630707914253</v>
      </c>
      <c r="I56" s="74" t="s">
        <v>103</v>
      </c>
      <c r="J56" s="74"/>
      <c r="K56" s="77">
        <f>Kermeli_2017!S48</f>
        <v>43.659961469489303</v>
      </c>
      <c r="L56" s="105" t="s">
        <v>208</v>
      </c>
      <c r="M56" s="74"/>
      <c r="N56" s="74"/>
      <c r="O56" s="74"/>
      <c r="P56" s="74"/>
      <c r="Q56" s="77">
        <f>Smith_2020!B92</f>
        <v>29.8888</v>
      </c>
      <c r="R56" s="74" t="s">
        <v>126</v>
      </c>
      <c r="S56" s="74"/>
      <c r="T56" s="106">
        <f t="shared" si="2"/>
        <v>0.74275313829929601</v>
      </c>
      <c r="Z56" s="74">
        <f>Schumacher_1999!C19</f>
        <v>46.09</v>
      </c>
      <c r="AA56" s="74" t="s">
        <v>130</v>
      </c>
      <c r="AB56" s="106">
        <f t="shared" si="3"/>
        <v>0.46213929268821868</v>
      </c>
      <c r="AC56" s="74" t="s">
        <v>130</v>
      </c>
      <c r="AE56" s="74"/>
      <c r="AF56" s="74"/>
    </row>
    <row r="57" spans="1:32" ht="14.25" customHeight="1">
      <c r="A57" s="74">
        <v>1994</v>
      </c>
      <c r="B57" s="74">
        <f>Smith_2020!$R$24</f>
        <v>22.2</v>
      </c>
      <c r="C57" s="74">
        <f>Smith_2020!$R$25</f>
        <v>21.3</v>
      </c>
      <c r="D57" s="77">
        <f t="shared" si="1"/>
        <v>37.33937101001564</v>
      </c>
      <c r="E57" s="77">
        <v>49.078970763063992</v>
      </c>
      <c r="F57" s="78" t="s">
        <v>77</v>
      </c>
      <c r="G57" s="78"/>
      <c r="H57" s="77">
        <f>Dahmus_2014!E74</f>
        <v>27.395641288357439</v>
      </c>
      <c r="I57" s="74" t="s">
        <v>103</v>
      </c>
      <c r="J57" s="74"/>
      <c r="K57" s="77">
        <f>Kermeli_2017!S49</f>
        <v>43.216471988641125</v>
      </c>
      <c r="L57" s="105" t="s">
        <v>208</v>
      </c>
      <c r="M57" s="74"/>
      <c r="N57" s="74"/>
      <c r="O57" s="74"/>
      <c r="P57" s="74"/>
      <c r="Q57" s="77">
        <f>Smith_2020!B93</f>
        <v>29.666399999999999</v>
      </c>
      <c r="R57" s="74" t="s">
        <v>126</v>
      </c>
      <c r="S57" s="74"/>
      <c r="T57" s="106">
        <f t="shared" si="2"/>
        <v>0.74832133322546723</v>
      </c>
      <c r="V57" s="74">
        <f>Worrel_2000!C5</f>
        <v>39.4</v>
      </c>
      <c r="W57" s="74" t="s">
        <v>131</v>
      </c>
      <c r="X57" s="106">
        <f>C57/V57</f>
        <v>0.54060913705583757</v>
      </c>
      <c r="Z57" s="74">
        <f>Schumacher_1999!C20</f>
        <v>46.09</v>
      </c>
      <c r="AA57" s="74" t="s">
        <v>130</v>
      </c>
      <c r="AB57" s="106">
        <f t="shared" si="3"/>
        <v>0.46213929268821868</v>
      </c>
      <c r="AC57" s="74" t="s">
        <v>130</v>
      </c>
      <c r="AE57" s="74"/>
      <c r="AF57" s="74"/>
    </row>
    <row r="58" spans="1:32" ht="14.25" customHeight="1">
      <c r="A58" s="74">
        <v>1995</v>
      </c>
      <c r="B58" s="74">
        <f>Smith_2020!$R$24</f>
        <v>22.2</v>
      </c>
      <c r="C58" s="74">
        <f>Smith_2020!$R$25</f>
        <v>21.3</v>
      </c>
      <c r="D58" s="77">
        <f t="shared" si="1"/>
        <v>37.112243006860517</v>
      </c>
      <c r="E58" s="77">
        <v>49.030383418636177</v>
      </c>
      <c r="F58" s="78" t="s">
        <v>77</v>
      </c>
      <c r="G58" s="78"/>
      <c r="H58" s="77">
        <f>Dahmus_2014!E75</f>
        <v>27.197101220270717</v>
      </c>
      <c r="I58" s="74" t="s">
        <v>103</v>
      </c>
      <c r="J58" s="74"/>
      <c r="K58" s="77">
        <f>Kermeli_2017!S50</f>
        <v>42.777487388535164</v>
      </c>
      <c r="L58" s="105" t="s">
        <v>208</v>
      </c>
      <c r="M58" s="74"/>
      <c r="N58" s="74"/>
      <c r="O58" s="74"/>
      <c r="P58" s="74"/>
      <c r="Q58" s="77">
        <f>Smith_2020!B94</f>
        <v>29.443999999999999</v>
      </c>
      <c r="R58" s="74" t="s">
        <v>126</v>
      </c>
      <c r="S58" s="74"/>
      <c r="T58" s="106">
        <f t="shared" si="2"/>
        <v>0.7539736448852058</v>
      </c>
      <c r="V58" s="74">
        <f>Rafiqul_2005!C10</f>
        <v>40.299999999999997</v>
      </c>
      <c r="W58" s="74" t="s">
        <v>180</v>
      </c>
      <c r="X58" s="106">
        <f>C58/V58</f>
        <v>0.52853598014888348</v>
      </c>
      <c r="Z58" s="74">
        <f>Schumacher_1999!C21</f>
        <v>45.671000000000006</v>
      </c>
      <c r="AA58" s="74" t="s">
        <v>130</v>
      </c>
      <c r="AB58" s="106">
        <f t="shared" si="3"/>
        <v>0.46637910271288119</v>
      </c>
      <c r="AC58" s="74" t="s">
        <v>130</v>
      </c>
      <c r="AE58" s="74"/>
      <c r="AF58" s="74"/>
    </row>
    <row r="59" spans="1:32" ht="14.25" customHeight="1">
      <c r="A59" s="74">
        <v>1996</v>
      </c>
      <c r="B59" s="74">
        <f>Smith_2020!$R$24</f>
        <v>22.2</v>
      </c>
      <c r="C59" s="74">
        <f>Smith_2020!$R$25</f>
        <v>21.3</v>
      </c>
      <c r="D59" s="77">
        <f t="shared" si="1"/>
        <v>36.9255394959171</v>
      </c>
      <c r="E59" s="77">
        <v>48.981796074208361</v>
      </c>
      <c r="F59" s="78" t="s">
        <v>77</v>
      </c>
      <c r="G59" s="78"/>
      <c r="H59" s="77">
        <f>Dahmus_2014!E76</f>
        <v>27</v>
      </c>
      <c r="I59" s="74" t="s">
        <v>103</v>
      </c>
      <c r="J59" s="74"/>
      <c r="K59" s="77">
        <f>Kermeli_2017!S51</f>
        <v>42.342961909460051</v>
      </c>
      <c r="L59" s="105" t="s">
        <v>208</v>
      </c>
      <c r="M59" s="74"/>
      <c r="N59" s="74"/>
      <c r="O59" s="74"/>
      <c r="P59" s="74"/>
      <c r="Q59" s="77">
        <f>Smith_2020!B95</f>
        <v>29.377399999999998</v>
      </c>
      <c r="R59" s="74" t="s">
        <v>126</v>
      </c>
      <c r="S59" s="74"/>
      <c r="T59" s="106">
        <f t="shared" si="2"/>
        <v>0.75568293994703417</v>
      </c>
      <c r="Z59" s="74">
        <f>Schumacher_1999!C22</f>
        <v>45.671000000000006</v>
      </c>
      <c r="AA59" s="74" t="s">
        <v>130</v>
      </c>
      <c r="AB59" s="106">
        <f t="shared" si="3"/>
        <v>0.46637910271288119</v>
      </c>
      <c r="AC59" s="74" t="s">
        <v>130</v>
      </c>
      <c r="AE59" s="74"/>
      <c r="AF59" s="74"/>
    </row>
    <row r="60" spans="1:32" ht="14.25" customHeight="1">
      <c r="A60" s="74">
        <v>1997</v>
      </c>
      <c r="B60" s="74">
        <f>Smith_2020!$R$24</f>
        <v>22.2</v>
      </c>
      <c r="C60" s="74">
        <f>Smith_2020!$R$25</f>
        <v>21.3</v>
      </c>
      <c r="D60" s="77">
        <f t="shared" si="1"/>
        <v>36.725827445527869</v>
      </c>
      <c r="E60" s="77">
        <v>48.933208729780546</v>
      </c>
      <c r="F60" s="78" t="s">
        <v>77</v>
      </c>
      <c r="G60" s="78"/>
      <c r="H60" s="77">
        <f>Dahmus_2014!E77</f>
        <v>26.746450795807576</v>
      </c>
      <c r="I60" s="74" t="s">
        <v>103</v>
      </c>
      <c r="J60" s="74"/>
      <c r="K60" s="77">
        <f>Kermeli_2017!S52</f>
        <v>41.91285025652337</v>
      </c>
      <c r="L60" s="105" t="s">
        <v>208</v>
      </c>
      <c r="M60" s="74"/>
      <c r="N60" s="74"/>
      <c r="O60" s="74"/>
      <c r="P60" s="74"/>
      <c r="Q60" s="77">
        <f>Smith_2020!B96</f>
        <v>29.310799999999997</v>
      </c>
      <c r="R60" s="74" t="s">
        <v>126</v>
      </c>
      <c r="S60" s="74"/>
      <c r="T60" s="106">
        <f t="shared" si="2"/>
        <v>0.75740000272936947</v>
      </c>
      <c r="Z60" s="74"/>
      <c r="AB60" s="117">
        <f>AB59+((AB$68-AB$59)/(A$68-A$59))</f>
        <v>0.46921663120282792</v>
      </c>
      <c r="AC60" s="89" t="s">
        <v>222</v>
      </c>
      <c r="AE60" s="74"/>
    </row>
    <row r="61" spans="1:32" ht="14.25" customHeight="1">
      <c r="A61" s="74">
        <v>1998</v>
      </c>
      <c r="B61" s="74">
        <f>Smith_2020!$R$24</f>
        <v>22.2</v>
      </c>
      <c r="C61" s="74">
        <f>Smith_2020!$R$25</f>
        <v>21.3</v>
      </c>
      <c r="D61" s="77">
        <f t="shared" si="1"/>
        <v>36.52780289481629</v>
      </c>
      <c r="E61" s="77">
        <v>48.88462138535273</v>
      </c>
      <c r="F61" s="78" t="s">
        <v>77</v>
      </c>
      <c r="G61" s="78"/>
      <c r="H61" s="77">
        <f>Dahmus_2014!E78</f>
        <v>26.495282598983543</v>
      </c>
      <c r="I61" s="74" t="s">
        <v>103</v>
      </c>
      <c r="J61" s="74"/>
      <c r="K61" s="77">
        <f>Kermeli_2017!S53</f>
        <v>41.487107594928887</v>
      </c>
      <c r="L61" s="105" t="s">
        <v>208</v>
      </c>
      <c r="M61" s="74"/>
      <c r="N61" s="74"/>
      <c r="O61" s="74"/>
      <c r="P61" s="74"/>
      <c r="Q61" s="77">
        <f>Smith_2020!B97</f>
        <v>29.244199999999996</v>
      </c>
      <c r="R61" s="74" t="s">
        <v>126</v>
      </c>
      <c r="S61" s="74"/>
      <c r="T61" s="106">
        <f t="shared" si="2"/>
        <v>0.75912488630224118</v>
      </c>
      <c r="Z61" s="74"/>
      <c r="AB61" s="117">
        <f t="shared" ref="AB61:AB67" si="4">AB60+((AB$68-AB$59)/(A$68-A$59))</f>
        <v>0.47205415969277464</v>
      </c>
      <c r="AC61" s="89" t="s">
        <v>222</v>
      </c>
      <c r="AE61" s="74"/>
    </row>
    <row r="62" spans="1:32" ht="14.25" customHeight="1">
      <c r="A62" s="74">
        <v>1999</v>
      </c>
      <c r="B62" s="74">
        <f>Smith_2020!$R$24</f>
        <v>22.2</v>
      </c>
      <c r="C62" s="74">
        <f>Smith_2020!$R$25</f>
        <v>21.3</v>
      </c>
      <c r="D62" s="77">
        <f t="shared" si="1"/>
        <v>36.331449159101041</v>
      </c>
      <c r="E62" s="77">
        <v>48.836034040924915</v>
      </c>
      <c r="F62" s="78" t="s">
        <v>77</v>
      </c>
      <c r="G62" s="78"/>
      <c r="H62" s="77">
        <f>Dahmus_2014!E79</f>
        <v>26.246473050175183</v>
      </c>
      <c r="I62" s="74" t="s">
        <v>103</v>
      </c>
      <c r="J62" s="74"/>
      <c r="K62" s="77">
        <f>Kermeli_2017!S54</f>
        <v>41.065689545304053</v>
      </c>
      <c r="L62" s="105" t="s">
        <v>208</v>
      </c>
      <c r="M62" s="74"/>
      <c r="N62" s="74"/>
      <c r="O62" s="74"/>
      <c r="P62" s="74"/>
      <c r="Q62" s="77">
        <f>Smith_2020!B98</f>
        <v>29.177599999999995</v>
      </c>
      <c r="R62" s="74" t="s">
        <v>126</v>
      </c>
      <c r="S62" s="74"/>
      <c r="T62" s="106">
        <f t="shared" si="2"/>
        <v>0.76085764422022384</v>
      </c>
      <c r="Z62" s="74"/>
      <c r="AB62" s="117">
        <f t="shared" si="4"/>
        <v>0.47489168818272137</v>
      </c>
      <c r="AC62" s="89" t="s">
        <v>222</v>
      </c>
      <c r="AE62" s="74"/>
    </row>
    <row r="63" spans="1:32" ht="14.25" customHeight="1">
      <c r="A63" s="74">
        <v>2000</v>
      </c>
      <c r="B63" s="74">
        <f>Smith_2020!$R$24</f>
        <v>22.2</v>
      </c>
      <c r="C63" s="74">
        <f>Smith_2020!$R$25</f>
        <v>21.3</v>
      </c>
      <c r="D63" s="77">
        <f t="shared" si="1"/>
        <v>36.136749718892631</v>
      </c>
      <c r="E63" s="77">
        <v>48.787446696497078</v>
      </c>
      <c r="F63" s="78" t="s">
        <v>77</v>
      </c>
      <c r="G63" s="78"/>
      <c r="H63" s="77">
        <f>Dahmus_2014!E80</f>
        <v>26</v>
      </c>
      <c r="I63" s="74" t="s">
        <v>103</v>
      </c>
      <c r="J63" s="74"/>
      <c r="K63" s="77">
        <f>Kermeli_2017!S55</f>
        <v>40.648552179073441</v>
      </c>
      <c r="L63" s="105" t="s">
        <v>208</v>
      </c>
      <c r="M63" s="74"/>
      <c r="N63" s="74"/>
      <c r="O63" s="74"/>
      <c r="P63" s="74"/>
      <c r="Q63" s="77">
        <f>Smith_2020!B99</f>
        <v>29.111000000000001</v>
      </c>
      <c r="R63" s="74" t="s">
        <v>126</v>
      </c>
      <c r="S63" s="74"/>
      <c r="T63" s="106">
        <f t="shared" si="2"/>
        <v>0.7625983305279791</v>
      </c>
      <c r="Z63" s="74"/>
      <c r="AB63" s="117">
        <f t="shared" si="4"/>
        <v>0.4777292166726681</v>
      </c>
      <c r="AC63" s="89" t="s">
        <v>222</v>
      </c>
      <c r="AE63" s="74"/>
    </row>
    <row r="64" spans="1:32" ht="14.25" customHeight="1">
      <c r="A64" s="74">
        <v>2001</v>
      </c>
      <c r="B64" s="74">
        <f>Smith_2020!$R$24</f>
        <v>22.2</v>
      </c>
      <c r="C64" s="74">
        <f>Smith_2020!$R$25</f>
        <v>21.3</v>
      </c>
      <c r="D64" s="77">
        <f>(E64+H64+Q64+K64)/4</f>
        <v>29.471451783823412</v>
      </c>
      <c r="E64" s="77">
        <v>48.561355121414451</v>
      </c>
      <c r="F64" s="78" t="s">
        <v>77</v>
      </c>
      <c r="G64" s="78"/>
      <c r="H64" s="77"/>
      <c r="K64" s="77">
        <f>Kermeli_2017!S56</f>
        <v>40.235652013879182</v>
      </c>
      <c r="L64" s="105" t="s">
        <v>208</v>
      </c>
      <c r="Q64" s="77">
        <f>Smith_2020!B100</f>
        <v>29.088799999999999</v>
      </c>
      <c r="R64" s="74" t="s">
        <v>126</v>
      </c>
      <c r="T64" s="106">
        <f t="shared" si="2"/>
        <v>0.76318033057396661</v>
      </c>
      <c r="Z64" s="74"/>
      <c r="AB64" s="117">
        <f t="shared" si="4"/>
        <v>0.48056674516261483</v>
      </c>
      <c r="AC64" s="89" t="s">
        <v>222</v>
      </c>
      <c r="AE64" s="74"/>
    </row>
    <row r="65" spans="1:32" ht="14.25" customHeight="1">
      <c r="A65" s="74">
        <v>2002</v>
      </c>
      <c r="B65" s="74">
        <f>Smith_2020!$R$24</f>
        <v>22.2</v>
      </c>
      <c r="C65" s="74">
        <f>Smith_2020!$R$25</f>
        <v>21.3</v>
      </c>
      <c r="D65" s="77">
        <f t="shared" si="1"/>
        <v>29.307202388845305</v>
      </c>
      <c r="E65" s="77">
        <v>48.335263546331824</v>
      </c>
      <c r="F65" s="78" t="s">
        <v>77</v>
      </c>
      <c r="G65" s="78"/>
      <c r="H65" s="77"/>
      <c r="K65" s="77">
        <f>Kermeli_2017!S57</f>
        <v>39.826946009049401</v>
      </c>
      <c r="L65" s="105" t="s">
        <v>208</v>
      </c>
      <c r="Q65" s="77">
        <f>Smith_2020!B101</f>
        <v>29.066599999999998</v>
      </c>
      <c r="R65" s="74" t="s">
        <v>126</v>
      </c>
      <c r="T65" s="106">
        <f t="shared" si="2"/>
        <v>0.76376321964041205</v>
      </c>
      <c r="V65" s="96">
        <f>DOE_2007!E6</f>
        <v>28.260901269128492</v>
      </c>
      <c r="W65" s="89" t="s">
        <v>190</v>
      </c>
      <c r="Z65" s="74"/>
      <c r="AB65" s="117">
        <f t="shared" si="4"/>
        <v>0.48340427365256156</v>
      </c>
      <c r="AC65" s="89" t="s">
        <v>222</v>
      </c>
      <c r="AE65" s="74"/>
    </row>
    <row r="66" spans="1:32" ht="14.25" customHeight="1">
      <c r="A66" s="74">
        <v>2003</v>
      </c>
      <c r="B66" s="74">
        <f>Smith_2020!$R$24</f>
        <v>22.2</v>
      </c>
      <c r="C66" s="74">
        <f>Smith_2020!$R$25</f>
        <v>21.3</v>
      </c>
      <c r="D66" s="77">
        <f t="shared" si="1"/>
        <v>29.143990883089931</v>
      </c>
      <c r="E66" s="77">
        <v>48.109171971249197</v>
      </c>
      <c r="F66" s="78" t="s">
        <v>77</v>
      </c>
      <c r="G66" s="78"/>
      <c r="H66" s="77"/>
      <c r="K66" s="77">
        <f>Kermeli_2017!S58</f>
        <v>39.42239156111053</v>
      </c>
      <c r="L66" s="105" t="s">
        <v>208</v>
      </c>
      <c r="Q66" s="77">
        <f>Smith_2020!B102</f>
        <v>29.044399999999996</v>
      </c>
      <c r="R66" s="74" t="s">
        <v>126</v>
      </c>
      <c r="T66" s="106">
        <f t="shared" si="2"/>
        <v>0.76434699976587572</v>
      </c>
      <c r="Z66" s="74"/>
      <c r="AB66" s="117">
        <f t="shared" si="4"/>
        <v>0.48624180214250828</v>
      </c>
      <c r="AC66" s="89" t="s">
        <v>222</v>
      </c>
      <c r="AE66" s="74"/>
    </row>
    <row r="67" spans="1:32" ht="14.25" customHeight="1">
      <c r="A67" s="74">
        <v>2004</v>
      </c>
      <c r="B67" s="74">
        <f>Smith_2020!$R$24</f>
        <v>22.2</v>
      </c>
      <c r="C67" s="74">
        <f>Smith_2020!$R$25</f>
        <v>21.3</v>
      </c>
      <c r="D67" s="77">
        <f t="shared" si="1"/>
        <v>28.981806723878464</v>
      </c>
      <c r="E67" s="77">
        <v>47.883080396166569</v>
      </c>
      <c r="F67" s="78" t="s">
        <v>77</v>
      </c>
      <c r="G67" s="78"/>
      <c r="H67" s="77"/>
      <c r="K67" s="77">
        <f>Kermeli_2017!S59</f>
        <v>39.021946499347294</v>
      </c>
      <c r="L67" s="105" t="s">
        <v>208</v>
      </c>
      <c r="Q67" s="77">
        <f>Smith_2020!B103</f>
        <v>29.022199999999994</v>
      </c>
      <c r="R67" s="74" t="s">
        <v>126</v>
      </c>
      <c r="T67" s="106">
        <f t="shared" si="2"/>
        <v>0.76493167299515552</v>
      </c>
      <c r="AB67" s="117">
        <f t="shared" si="4"/>
        <v>0.48907933063245501</v>
      </c>
      <c r="AC67" s="89" t="s">
        <v>222</v>
      </c>
    </row>
    <row r="68" spans="1:32" ht="14.25" customHeight="1">
      <c r="A68" s="74">
        <v>2005</v>
      </c>
      <c r="B68" s="74">
        <f>Smith_2020!$R$24</f>
        <v>22.2</v>
      </c>
      <c r="C68" s="74">
        <f>Smith_2020!$R$25</f>
        <v>21.3</v>
      </c>
      <c r="D68" s="77">
        <f t="shared" si="1"/>
        <v>28.820639475622585</v>
      </c>
      <c r="E68" s="77">
        <v>47.656988821083942</v>
      </c>
      <c r="F68" s="78" t="s">
        <v>77</v>
      </c>
      <c r="G68" s="78"/>
      <c r="H68" s="77"/>
      <c r="K68" s="77">
        <f>Kermeli_2017!S60</f>
        <v>38.625569081406404</v>
      </c>
      <c r="L68" s="105" t="s">
        <v>208</v>
      </c>
      <c r="N68" s="74">
        <f>IEA_2007!C16</f>
        <v>41.6</v>
      </c>
      <c r="O68" s="74" t="s">
        <v>176</v>
      </c>
      <c r="P68" s="74"/>
      <c r="Q68" s="77">
        <f>Smith_2020!B104</f>
        <v>29</v>
      </c>
      <c r="R68" s="74" t="s">
        <v>126</v>
      </c>
      <c r="S68" s="74"/>
      <c r="T68" s="106">
        <f t="shared" si="2"/>
        <v>0.76551724137931032</v>
      </c>
      <c r="Z68" s="74">
        <f>IEA_2007!C10</f>
        <v>43.3</v>
      </c>
      <c r="AA68" s="74" t="s">
        <v>176</v>
      </c>
      <c r="AB68" s="106">
        <f>C68/Z68</f>
        <v>0.49191685912240191</v>
      </c>
      <c r="AC68" s="74" t="s">
        <v>176</v>
      </c>
      <c r="AE68" s="74">
        <f>IEA_2007!C9</f>
        <v>48.8</v>
      </c>
      <c r="AF68" s="74" t="s">
        <v>176</v>
      </c>
    </row>
    <row r="69" spans="1:32" ht="14.25" customHeight="1">
      <c r="A69" s="74">
        <v>2006</v>
      </c>
      <c r="B69" s="74">
        <f>Smith_2020!$R$24</f>
        <v>22.2</v>
      </c>
      <c r="C69" s="74">
        <f>Smith_2020!$R$25</f>
        <v>21.3</v>
      </c>
      <c r="D69" s="77">
        <f t="shared" si="1"/>
        <v>28.654928808736571</v>
      </c>
      <c r="E69" s="77">
        <v>47.430897246001315</v>
      </c>
      <c r="F69" s="78" t="s">
        <v>77</v>
      </c>
      <c r="G69" s="78"/>
      <c r="H69" s="77"/>
      <c r="K69" s="77">
        <f>Kermeli_2017!S61</f>
        <v>38.233217988944972</v>
      </c>
      <c r="L69" s="105" t="s">
        <v>208</v>
      </c>
      <c r="Q69" s="77">
        <f>Smith_2020!B105</f>
        <v>28.9556</v>
      </c>
      <c r="R69" s="74" t="s">
        <v>126</v>
      </c>
      <c r="T69" s="106">
        <f t="shared" si="2"/>
        <v>0.76669107184793261</v>
      </c>
      <c r="AB69" s="117">
        <f>T69*(AB$68/T$68)</f>
        <v>0.49267115565036307</v>
      </c>
      <c r="AC69" s="89" t="s">
        <v>243</v>
      </c>
    </row>
    <row r="70" spans="1:32" ht="14.25" customHeight="1">
      <c r="A70" s="74">
        <v>2007</v>
      </c>
      <c r="B70" s="74">
        <f>Smith_2020!$R$24</f>
        <v>22.2</v>
      </c>
      <c r="C70" s="74">
        <f>Smith_2020!$R$25</f>
        <v>21.3</v>
      </c>
      <c r="D70" s="77">
        <f t="shared" si="1"/>
        <v>28.490214498560743</v>
      </c>
      <c r="E70" s="77">
        <v>47.204805670918688</v>
      </c>
      <c r="F70" s="78" t="s">
        <v>77</v>
      </c>
      <c r="G70" s="78"/>
      <c r="H70" s="77"/>
      <c r="K70" s="77">
        <f>Kermeli_2017!S62</f>
        <v>37.844852323324275</v>
      </c>
      <c r="L70" s="105" t="s">
        <v>208</v>
      </c>
      <c r="Q70" s="77">
        <f>Smith_2020!B106</f>
        <v>28.911200000000001</v>
      </c>
      <c r="R70" s="74" t="s">
        <v>126</v>
      </c>
      <c r="T70" s="106">
        <f t="shared" si="2"/>
        <v>0.76786850770635595</v>
      </c>
      <c r="AB70" s="117">
        <f t="shared" ref="AB70:AB83" si="5">T70*(AB$68/T$68)</f>
        <v>0.49342776898052154</v>
      </c>
      <c r="AC70" s="89" t="s">
        <v>243</v>
      </c>
    </row>
    <row r="71" spans="1:32" ht="14.25" customHeight="1">
      <c r="A71" s="74">
        <v>2008</v>
      </c>
      <c r="B71" s="74">
        <f>Smith_2020!$R$24</f>
        <v>22.2</v>
      </c>
      <c r="C71" s="74">
        <f>Smith_2020!$R$25</f>
        <v>21.3</v>
      </c>
      <c r="D71" s="77">
        <f t="shared" si="1"/>
        <v>28.326486424295538</v>
      </c>
      <c r="E71" s="77">
        <v>46.978714095836061</v>
      </c>
      <c r="F71" s="78" t="s">
        <v>77</v>
      </c>
      <c r="G71" s="78"/>
      <c r="H71" s="77"/>
      <c r="K71" s="77">
        <f>Kermeli_2017!S63</f>
        <v>37.46043160134608</v>
      </c>
      <c r="L71" s="105" t="s">
        <v>208</v>
      </c>
      <c r="Q71" s="77">
        <f>Smith_2020!B107</f>
        <v>28.866800000000001</v>
      </c>
      <c r="R71" s="74" t="s">
        <v>126</v>
      </c>
      <c r="T71" s="106">
        <f t="shared" si="2"/>
        <v>0.76904956559092097</v>
      </c>
      <c r="AB71" s="117">
        <f t="shared" si="5"/>
        <v>0.49418670980329144</v>
      </c>
      <c r="AC71" s="89" t="s">
        <v>243</v>
      </c>
    </row>
    <row r="72" spans="1:32" ht="14.25" customHeight="1">
      <c r="A72" s="74">
        <v>2009</v>
      </c>
      <c r="B72" s="74">
        <f>Smith_2020!$R$24</f>
        <v>22.2</v>
      </c>
      <c r="C72" s="74">
        <f>Smith_2020!$R$25</f>
        <v>21.3</v>
      </c>
      <c r="D72" s="77">
        <f t="shared" si="1"/>
        <v>28.163734567946435</v>
      </c>
      <c r="E72" s="77">
        <v>46.752622520753434</v>
      </c>
      <c r="F72" s="78" t="s">
        <v>77</v>
      </c>
      <c r="G72" s="78"/>
      <c r="H72" s="77"/>
      <c r="K72" s="77">
        <f>Kermeli_2017!S64</f>
        <v>37.079915751032303</v>
      </c>
      <c r="L72" s="105" t="s">
        <v>208</v>
      </c>
      <c r="Q72" s="77">
        <f>Smith_2020!B108</f>
        <v>28.822400000000002</v>
      </c>
      <c r="R72" s="74" t="s">
        <v>126</v>
      </c>
      <c r="T72" s="106">
        <f t="shared" si="2"/>
        <v>0.77023426224047953</v>
      </c>
      <c r="AB72" s="117">
        <f t="shared" si="5"/>
        <v>0.49494798887496022</v>
      </c>
      <c r="AC72" s="89" t="s">
        <v>243</v>
      </c>
    </row>
    <row r="73" spans="1:32" ht="14.25" customHeight="1">
      <c r="A73" s="74">
        <v>2010</v>
      </c>
      <c r="B73" s="74">
        <f>Smith_2020!$R$24</f>
        <v>22.2</v>
      </c>
      <c r="C73" s="74">
        <f>Smith_2020!$R$25</f>
        <v>21.3</v>
      </c>
      <c r="D73" s="77">
        <f t="shared" si="1"/>
        <v>28.001949013279898</v>
      </c>
      <c r="E73" s="77">
        <v>46.526530945670785</v>
      </c>
      <c r="F73" s="78" t="s">
        <v>77</v>
      </c>
      <c r="G73" s="78"/>
      <c r="H73" s="77"/>
      <c r="K73" s="77">
        <f>Kermeli_2017!S65</f>
        <v>36.703265107448807</v>
      </c>
      <c r="L73" s="105" t="s">
        <v>208</v>
      </c>
      <c r="Q73" s="77">
        <f>Smith_2020!B109</f>
        <v>28.777999999999999</v>
      </c>
      <c r="R73" s="74" t="s">
        <v>126</v>
      </c>
      <c r="T73" s="106">
        <f t="shared" si="2"/>
        <v>0.77142261449718541</v>
      </c>
      <c r="AB73" s="117">
        <f t="shared" si="5"/>
        <v>0.49571161701819638</v>
      </c>
      <c r="AC73" s="89" t="s">
        <v>243</v>
      </c>
    </row>
    <row r="74" spans="1:32" ht="14.25" customHeight="1">
      <c r="A74" s="74">
        <v>2011</v>
      </c>
      <c r="B74" s="74">
        <f>Smith_2020!$R$24</f>
        <v>22.2</v>
      </c>
      <c r="C74" s="74">
        <f>Smith_2020!$R$25</f>
        <v>21.3</v>
      </c>
      <c r="D74" s="77">
        <f t="shared" si="1"/>
        <v>16.271560102142427</v>
      </c>
      <c r="K74" s="77">
        <f>Kermeli_2017!S66</f>
        <v>36.330440408569707</v>
      </c>
      <c r="L74" s="105" t="s">
        <v>208</v>
      </c>
      <c r="Q74" s="77">
        <f>Smith_2020!B110</f>
        <v>28.755800000000001</v>
      </c>
      <c r="R74" s="74" t="s">
        <v>126</v>
      </c>
      <c r="T74" s="106">
        <f t="shared" si="2"/>
        <v>0.77201816676983426</v>
      </c>
      <c r="AB74" s="117">
        <f t="shared" si="5"/>
        <v>0.49609431539201326</v>
      </c>
      <c r="AC74" s="89" t="s">
        <v>243</v>
      </c>
    </row>
    <row r="75" spans="1:32" ht="14.25" customHeight="1">
      <c r="A75" s="74">
        <v>2012</v>
      </c>
      <c r="B75" s="74">
        <f>Smith_2020!$R$24</f>
        <v>22.2</v>
      </c>
      <c r="C75" s="74">
        <f>Smith_2020!$R$25</f>
        <v>21.3</v>
      </c>
      <c r="D75" s="77">
        <f t="shared" si="1"/>
        <v>16.1737506977964</v>
      </c>
      <c r="K75" s="77">
        <f>Kermeli_2017!S67</f>
        <v>35.961402791185606</v>
      </c>
      <c r="L75" s="105" t="s">
        <v>208</v>
      </c>
      <c r="Q75" s="77">
        <f>Smith_2020!B111</f>
        <v>28.733600000000003</v>
      </c>
      <c r="R75" s="74" t="s">
        <v>126</v>
      </c>
      <c r="T75" s="106">
        <f t="shared" si="2"/>
        <v>0.77261463930729168</v>
      </c>
      <c r="AB75" s="117">
        <f t="shared" si="5"/>
        <v>0.49647760512256217</v>
      </c>
      <c r="AC75" s="89" t="s">
        <v>243</v>
      </c>
    </row>
    <row r="76" spans="1:32" ht="14.25" customHeight="1">
      <c r="A76" s="74">
        <v>2013</v>
      </c>
      <c r="B76" s="74">
        <f>Smith_2020!$R$24</f>
        <v>22.2</v>
      </c>
      <c r="C76" s="74">
        <f>Smith_2020!$R$25</f>
        <v>21.3</v>
      </c>
      <c r="D76" s="77">
        <f t="shared" si="1"/>
        <v>16.076878446713025</v>
      </c>
      <c r="K76" s="77">
        <f>Kermeli_2017!S68</f>
        <v>35.596113786852086</v>
      </c>
      <c r="L76" s="105" t="s">
        <v>208</v>
      </c>
      <c r="Q76" s="77">
        <f>Smith_2020!B112</f>
        <v>28.711400000000005</v>
      </c>
      <c r="R76" s="74" t="s">
        <v>126</v>
      </c>
      <c r="T76" s="106">
        <f t="shared" si="2"/>
        <v>0.77321203424423735</v>
      </c>
      <c r="AB76" s="117">
        <f t="shared" si="5"/>
        <v>0.49686148758157567</v>
      </c>
      <c r="AC76" s="89" t="s">
        <v>243</v>
      </c>
    </row>
    <row r="77" spans="1:32" ht="14.25" customHeight="1">
      <c r="A77" s="74">
        <v>2014</v>
      </c>
      <c r="B77" s="74">
        <f>Smith_2020!$R$24</f>
        <v>22.2</v>
      </c>
      <c r="C77" s="74">
        <f>Smith_2020!$R$25</f>
        <v>21.3</v>
      </c>
      <c r="D77" s="77">
        <f t="shared" si="1"/>
        <v>15.980933829469857</v>
      </c>
      <c r="K77" s="77">
        <f>Kermeli_2017!S69</f>
        <v>35.23453531787942</v>
      </c>
      <c r="L77" s="105" t="s">
        <v>208</v>
      </c>
      <c r="Q77" s="77">
        <f>Smith_2020!B113</f>
        <v>28.689200000000007</v>
      </c>
      <c r="R77" s="74" t="s">
        <v>126</v>
      </c>
      <c r="T77" s="106">
        <f t="shared" si="2"/>
        <v>0.77381035372195783</v>
      </c>
      <c r="AB77" s="117">
        <f t="shared" si="5"/>
        <v>0.49724596414503192</v>
      </c>
      <c r="AC77" s="89" t="s">
        <v>243</v>
      </c>
    </row>
    <row r="78" spans="1:32" ht="14.25" customHeight="1">
      <c r="A78" s="74">
        <v>2015</v>
      </c>
      <c r="B78" s="74">
        <f>Smith_2020!$R$24</f>
        <v>22.2</v>
      </c>
      <c r="C78" s="74">
        <f>Smith_2020!$R$25</f>
        <v>21.3</v>
      </c>
      <c r="D78" s="77">
        <f t="shared" ref="D78:D83" si="6">(E78+H78+Q78+K78)/4</f>
        <v>15.885907423341022</v>
      </c>
      <c r="K78" s="77">
        <f>Kermeli_2017!S70</f>
        <v>34.876629693364087</v>
      </c>
      <c r="L78" s="105" t="s">
        <v>208</v>
      </c>
      <c r="Q78" s="77">
        <f>Smith_2020!B114</f>
        <v>28.667000000000002</v>
      </c>
      <c r="R78" s="74" t="s">
        <v>126</v>
      </c>
      <c r="T78" s="106">
        <f t="shared" ref="T78:T82" si="7">B78/Q78</f>
        <v>0.77440959988837332</v>
      </c>
      <c r="AB78" s="117">
        <f t="shared" si="5"/>
        <v>0.49763103619317173</v>
      </c>
      <c r="AC78" s="89" t="s">
        <v>243</v>
      </c>
    </row>
    <row r="79" spans="1:32" ht="14.25" customHeight="1">
      <c r="A79" s="74">
        <v>2016</v>
      </c>
      <c r="B79" s="74">
        <f>Smith_2020!$R$24</f>
        <v>22.2</v>
      </c>
      <c r="C79" s="74">
        <f>Smith_2020!$R$25</f>
        <v>21.3</v>
      </c>
      <c r="D79" s="77">
        <f t="shared" si="6"/>
        <v>15.797339901314876</v>
      </c>
      <c r="K79" s="77">
        <f>Kermeli_2017!S71</f>
        <v>34.522359605259503</v>
      </c>
      <c r="L79" s="105" t="s">
        <v>208</v>
      </c>
      <c r="Q79" s="77">
        <f>Smith_2020!B115</f>
        <v>28.667000000000002</v>
      </c>
      <c r="R79" s="74" t="s">
        <v>126</v>
      </c>
      <c r="T79" s="106">
        <f t="shared" si="7"/>
        <v>0.77440959988837332</v>
      </c>
      <c r="AB79" s="117">
        <f t="shared" si="5"/>
        <v>0.49763103619317173</v>
      </c>
      <c r="AC79" s="89" t="s">
        <v>243</v>
      </c>
    </row>
    <row r="80" spans="1:32" ht="14.25" customHeight="1">
      <c r="A80" s="74">
        <v>2017</v>
      </c>
      <c r="B80" s="74">
        <f>Smith_2020!$R$24</f>
        <v>22.2</v>
      </c>
      <c r="C80" s="74">
        <f>Smith_2020!$R$25</f>
        <v>21.3</v>
      </c>
      <c r="D80" s="77">
        <f t="shared" si="6"/>
        <v>15.709672031121668</v>
      </c>
      <c r="K80" s="77">
        <f>Kermeli_2017!S72</f>
        <v>34.171688124486671</v>
      </c>
      <c r="L80" s="105" t="s">
        <v>208</v>
      </c>
      <c r="Q80" s="77">
        <f>Smith_2020!B116</f>
        <v>28.667000000000002</v>
      </c>
      <c r="R80" s="74" t="s">
        <v>126</v>
      </c>
      <c r="T80" s="106">
        <f t="shared" si="7"/>
        <v>0.77440959988837332</v>
      </c>
      <c r="AB80" s="117">
        <f t="shared" si="5"/>
        <v>0.49763103619317173</v>
      </c>
      <c r="AC80" s="89" t="s">
        <v>243</v>
      </c>
    </row>
    <row r="81" spans="1:29" ht="14.25" customHeight="1">
      <c r="A81" s="74">
        <v>2018</v>
      </c>
      <c r="B81" s="74">
        <f>Smith_2020!$R$24</f>
        <v>22.2</v>
      </c>
      <c r="C81" s="74">
        <f>Smith_2020!$R$25</f>
        <v>21.3</v>
      </c>
      <c r="D81" s="77">
        <f t="shared" si="6"/>
        <v>15.622894674271389</v>
      </c>
      <c r="K81" s="77">
        <f>Kermeli_2017!S73</f>
        <v>33.824578697085556</v>
      </c>
      <c r="L81" s="105" t="s">
        <v>208</v>
      </c>
      <c r="Q81" s="77">
        <f>Smith_2020!B117</f>
        <v>28.667000000000002</v>
      </c>
      <c r="R81" s="74" t="s">
        <v>126</v>
      </c>
      <c r="T81" s="106">
        <f t="shared" si="7"/>
        <v>0.77440959988837332</v>
      </c>
      <c r="AB81" s="117">
        <f t="shared" si="5"/>
        <v>0.49763103619317173</v>
      </c>
      <c r="AC81" s="89" t="s">
        <v>243</v>
      </c>
    </row>
    <row r="82" spans="1:29" ht="14.25" customHeight="1">
      <c r="A82" s="74">
        <v>2019</v>
      </c>
      <c r="B82" s="74">
        <f>Smith_2020!$R$24</f>
        <v>22.2</v>
      </c>
      <c r="C82" s="74">
        <f>Smith_2020!$R$25</f>
        <v>21.3</v>
      </c>
      <c r="D82" s="77">
        <f t="shared" si="6"/>
        <v>15.536998785100934</v>
      </c>
      <c r="K82" s="77">
        <f>Kermeli_2017!S74</f>
        <v>33.480995140403735</v>
      </c>
      <c r="L82" s="105" t="s">
        <v>208</v>
      </c>
      <c r="Q82" s="77">
        <f>Smith_2020!B118</f>
        <v>28.667000000000002</v>
      </c>
      <c r="R82" s="74" t="s">
        <v>126</v>
      </c>
      <c r="T82" s="106">
        <f t="shared" si="7"/>
        <v>0.77440959988837332</v>
      </c>
      <c r="AB82" s="117">
        <f t="shared" si="5"/>
        <v>0.49763103619317173</v>
      </c>
      <c r="AC82" s="89" t="s">
        <v>243</v>
      </c>
    </row>
    <row r="83" spans="1:29" ht="14.25" customHeight="1">
      <c r="A83" s="74">
        <v>2020</v>
      </c>
      <c r="B83" s="74">
        <f>Smith_2020!$R$24</f>
        <v>22.2</v>
      </c>
      <c r="C83" s="74">
        <f>Smith_2020!$R$25</f>
        <v>21.3</v>
      </c>
      <c r="D83" s="77">
        <f t="shared" si="6"/>
        <v>15.451975409831384</v>
      </c>
      <c r="K83" s="77">
        <f>Kermeli_2017!S75</f>
        <v>33.140901639325534</v>
      </c>
      <c r="L83" s="105" t="s">
        <v>208</v>
      </c>
      <c r="N83" s="74">
        <f>Smith_2020!R26</f>
        <v>29.6</v>
      </c>
      <c r="O83" s="74" t="s">
        <v>126</v>
      </c>
      <c r="P83" s="74"/>
      <c r="Q83" s="77">
        <f>Smith_2020!B119</f>
        <v>28.667000000000002</v>
      </c>
      <c r="R83" s="74" t="s">
        <v>126</v>
      </c>
      <c r="S83" s="74"/>
      <c r="T83" s="106">
        <f>B83/Q83</f>
        <v>0.77440959988837332</v>
      </c>
      <c r="X83" s="106"/>
      <c r="AB83" s="117">
        <f t="shared" si="5"/>
        <v>0.49763103619317173</v>
      </c>
      <c r="AC83" s="89" t="s">
        <v>243</v>
      </c>
    </row>
    <row r="84" spans="1:29" ht="14.25" customHeight="1"/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R119"/>
  <sheetViews>
    <sheetView zoomScale="80" zoomScaleNormal="80" workbookViewId="0">
      <selection activeCell="W22" sqref="W22"/>
    </sheetView>
  </sheetViews>
  <sheetFormatPr defaultColWidth="8.6640625" defaultRowHeight="14.4"/>
  <cols>
    <col min="3" max="3" width="21.33203125" bestFit="1" customWidth="1"/>
    <col min="15" max="15" width="10.33203125" customWidth="1"/>
    <col min="16" max="16" width="27" bestFit="1" customWidth="1"/>
  </cols>
  <sheetData>
    <row r="1" spans="1:1">
      <c r="A1" t="s">
        <v>1</v>
      </c>
    </row>
    <row r="2" spans="1:1">
      <c r="A2" s="1" t="s">
        <v>0</v>
      </c>
    </row>
    <row r="22" spans="1:18">
      <c r="O22" s="75" t="s">
        <v>4</v>
      </c>
      <c r="P22" s="75" t="s">
        <v>93</v>
      </c>
      <c r="Q22" s="75" t="s">
        <v>94</v>
      </c>
      <c r="R22" s="75" t="s">
        <v>95</v>
      </c>
    </row>
    <row r="23" spans="1:18">
      <c r="P23" s="74" t="s">
        <v>90</v>
      </c>
      <c r="Q23" s="74" t="s">
        <v>81</v>
      </c>
      <c r="R23" s="74">
        <v>18.600000000000001</v>
      </c>
    </row>
    <row r="24" spans="1:18">
      <c r="P24" s="74" t="s">
        <v>91</v>
      </c>
      <c r="Q24" s="74" t="s">
        <v>81</v>
      </c>
      <c r="R24" s="74">
        <v>22.2</v>
      </c>
    </row>
    <row r="25" spans="1:18">
      <c r="P25" s="74" t="s">
        <v>92</v>
      </c>
      <c r="Q25" s="74" t="s">
        <v>81</v>
      </c>
      <c r="R25" s="74">
        <v>21.3</v>
      </c>
    </row>
    <row r="26" spans="1:18">
      <c r="O26" s="74">
        <v>2020</v>
      </c>
      <c r="P26" s="74" t="s">
        <v>125</v>
      </c>
      <c r="Q26" s="74" t="s">
        <v>81</v>
      </c>
      <c r="R26" s="74">
        <f>(27.4+31.8)/2</f>
        <v>29.6</v>
      </c>
    </row>
    <row r="29" spans="1:18">
      <c r="A29" s="88" t="s">
        <v>220</v>
      </c>
      <c r="B29" s="88"/>
      <c r="C29" s="88"/>
      <c r="D29" s="88"/>
      <c r="E29" s="88"/>
    </row>
    <row r="30" spans="1:18">
      <c r="A30" s="75" t="s">
        <v>4</v>
      </c>
      <c r="B30" s="75" t="s">
        <v>95</v>
      </c>
    </row>
    <row r="31" spans="1:18">
      <c r="A31" s="107">
        <v>1950</v>
      </c>
      <c r="B31" s="77">
        <v>62.332999999999998</v>
      </c>
    </row>
    <row r="32" spans="1:18">
      <c r="A32" s="107">
        <v>1955</v>
      </c>
      <c r="B32" s="77">
        <v>60.667000000000002</v>
      </c>
    </row>
    <row r="33" spans="1:5">
      <c r="A33" s="107">
        <v>1960</v>
      </c>
      <c r="B33" s="77">
        <v>57.777999999999999</v>
      </c>
    </row>
    <row r="34" spans="1:5">
      <c r="A34" s="107">
        <v>1965</v>
      </c>
      <c r="B34" s="77">
        <v>52.889000000000003</v>
      </c>
    </row>
    <row r="35" spans="1:5">
      <c r="A35" s="107">
        <v>1970</v>
      </c>
      <c r="B35" s="77">
        <v>46.222000000000001</v>
      </c>
    </row>
    <row r="36" spans="1:5">
      <c r="A36" s="107">
        <v>1975</v>
      </c>
      <c r="B36" s="77">
        <v>40.444000000000003</v>
      </c>
    </row>
    <row r="37" spans="1:5">
      <c r="A37" s="107">
        <v>1980</v>
      </c>
      <c r="B37" s="77">
        <v>35</v>
      </c>
    </row>
    <row r="38" spans="1:5">
      <c r="A38" s="107">
        <v>1985</v>
      </c>
      <c r="B38" s="77">
        <v>32</v>
      </c>
    </row>
    <row r="39" spans="1:5">
      <c r="A39" s="107">
        <v>1990</v>
      </c>
      <c r="B39" s="77">
        <v>30.556000000000001</v>
      </c>
    </row>
    <row r="40" spans="1:5">
      <c r="A40" s="107">
        <v>1995</v>
      </c>
      <c r="B40" s="77">
        <v>29.443999999999999</v>
      </c>
    </row>
    <row r="41" spans="1:5">
      <c r="A41" s="107">
        <v>2000</v>
      </c>
      <c r="B41" s="77">
        <v>29.111000000000001</v>
      </c>
    </row>
    <row r="42" spans="1:5">
      <c r="A42" s="107">
        <v>2005</v>
      </c>
      <c r="B42" s="77">
        <v>29</v>
      </c>
    </row>
    <row r="43" spans="1:5">
      <c r="A43" s="107">
        <v>2010</v>
      </c>
      <c r="B43" s="77">
        <v>28.777999999999999</v>
      </c>
    </row>
    <row r="44" spans="1:5">
      <c r="A44" s="107">
        <v>2015</v>
      </c>
      <c r="B44" s="77">
        <v>28.667000000000002</v>
      </c>
    </row>
    <row r="45" spans="1:5">
      <c r="A45" s="107">
        <v>2020</v>
      </c>
      <c r="B45" s="77">
        <v>28.667000000000002</v>
      </c>
    </row>
    <row r="47" spans="1:5">
      <c r="A47" s="88" t="s">
        <v>221</v>
      </c>
      <c r="B47" s="88"/>
      <c r="C47" s="88"/>
      <c r="D47" s="88"/>
      <c r="E47" s="88"/>
    </row>
    <row r="48" spans="1:5">
      <c r="A48" s="75" t="s">
        <v>4</v>
      </c>
      <c r="B48" s="75" t="s">
        <v>95</v>
      </c>
      <c r="C48" s="75" t="s">
        <v>104</v>
      </c>
    </row>
    <row r="49" spans="1:3">
      <c r="A49" s="74">
        <v>1950</v>
      </c>
      <c r="B49" s="77">
        <f>B31</f>
        <v>62.332999999999998</v>
      </c>
      <c r="C49" s="74" t="s">
        <v>126</v>
      </c>
    </row>
    <row r="50" spans="1:3">
      <c r="A50" s="74">
        <v>1951</v>
      </c>
      <c r="B50" s="96">
        <f>B49+((B$54-B$49)/(A$54-A$49))</f>
        <v>61.9998</v>
      </c>
      <c r="C50" s="89" t="s">
        <v>222</v>
      </c>
    </row>
    <row r="51" spans="1:3">
      <c r="A51" s="74">
        <v>1952</v>
      </c>
      <c r="B51" s="96">
        <f t="shared" ref="B51:B53" si="0">B50+((B$54-B$49)/(A$54-A$49))</f>
        <v>61.666600000000003</v>
      </c>
      <c r="C51" s="89" t="s">
        <v>222</v>
      </c>
    </row>
    <row r="52" spans="1:3">
      <c r="A52" s="74">
        <v>1953</v>
      </c>
      <c r="B52" s="96">
        <f t="shared" si="0"/>
        <v>61.333400000000005</v>
      </c>
      <c r="C52" s="89" t="s">
        <v>222</v>
      </c>
    </row>
    <row r="53" spans="1:3">
      <c r="A53" s="74">
        <v>1954</v>
      </c>
      <c r="B53" s="96">
        <f t="shared" si="0"/>
        <v>61.000200000000007</v>
      </c>
      <c r="C53" s="89" t="s">
        <v>222</v>
      </c>
    </row>
    <row r="54" spans="1:3">
      <c r="A54" s="74">
        <v>1955</v>
      </c>
      <c r="B54" s="77">
        <f>B32</f>
        <v>60.667000000000002</v>
      </c>
      <c r="C54" s="74" t="s">
        <v>126</v>
      </c>
    </row>
    <row r="55" spans="1:3">
      <c r="A55" s="74">
        <v>1956</v>
      </c>
      <c r="B55" s="96">
        <f>B54+((B$59-B$54)/(A$59-A$54))</f>
        <v>60.089199999999998</v>
      </c>
      <c r="C55" s="89" t="s">
        <v>222</v>
      </c>
    </row>
    <row r="56" spans="1:3">
      <c r="A56" s="74">
        <v>1957</v>
      </c>
      <c r="B56" s="96">
        <f t="shared" ref="B56:B58" si="1">B55+((B$59-B$54)/(A$59-A$54))</f>
        <v>59.511399999999995</v>
      </c>
      <c r="C56" s="89" t="s">
        <v>222</v>
      </c>
    </row>
    <row r="57" spans="1:3">
      <c r="A57" s="74">
        <v>1958</v>
      </c>
      <c r="B57" s="96">
        <f t="shared" si="1"/>
        <v>58.933599999999991</v>
      </c>
      <c r="C57" s="89" t="s">
        <v>222</v>
      </c>
    </row>
    <row r="58" spans="1:3">
      <c r="A58" s="74">
        <v>1959</v>
      </c>
      <c r="B58" s="96">
        <f t="shared" si="1"/>
        <v>58.355799999999988</v>
      </c>
      <c r="C58" s="89" t="s">
        <v>222</v>
      </c>
    </row>
    <row r="59" spans="1:3">
      <c r="A59" s="74">
        <v>1960</v>
      </c>
      <c r="B59" s="77">
        <f>B33</f>
        <v>57.777999999999999</v>
      </c>
      <c r="C59" s="74" t="s">
        <v>126</v>
      </c>
    </row>
    <row r="60" spans="1:3">
      <c r="A60" s="74">
        <v>1961</v>
      </c>
      <c r="B60" s="96">
        <f>B59+((B$64-B$59)/(A$64-A$59))</f>
        <v>56.800199999999997</v>
      </c>
      <c r="C60" s="89" t="s">
        <v>222</v>
      </c>
    </row>
    <row r="61" spans="1:3">
      <c r="A61" s="74">
        <v>1962</v>
      </c>
      <c r="B61" s="96">
        <f t="shared" ref="B61:B63" si="2">B60+((B$64-B$59)/(A$64-A$59))</f>
        <v>55.822399999999995</v>
      </c>
      <c r="C61" s="89" t="s">
        <v>222</v>
      </c>
    </row>
    <row r="62" spans="1:3">
      <c r="A62" s="74">
        <v>1963</v>
      </c>
      <c r="B62" s="96">
        <f t="shared" si="2"/>
        <v>54.844599999999993</v>
      </c>
      <c r="C62" s="89" t="s">
        <v>222</v>
      </c>
    </row>
    <row r="63" spans="1:3">
      <c r="A63" s="74">
        <v>1964</v>
      </c>
      <c r="B63" s="96">
        <f t="shared" si="2"/>
        <v>53.866799999999991</v>
      </c>
      <c r="C63" s="89" t="s">
        <v>222</v>
      </c>
    </row>
    <row r="64" spans="1:3">
      <c r="A64" s="74">
        <v>1965</v>
      </c>
      <c r="B64" s="77">
        <f>B34</f>
        <v>52.889000000000003</v>
      </c>
      <c r="C64" s="74" t="s">
        <v>126</v>
      </c>
    </row>
    <row r="65" spans="1:3">
      <c r="A65" s="74">
        <v>1966</v>
      </c>
      <c r="B65" s="96">
        <f>B64+((B$69-B$64)/(A$69-A$64))</f>
        <v>51.555600000000005</v>
      </c>
      <c r="C65" s="89" t="s">
        <v>222</v>
      </c>
    </row>
    <row r="66" spans="1:3">
      <c r="A66" s="74">
        <v>1967</v>
      </c>
      <c r="B66" s="96">
        <f t="shared" ref="B66:B68" si="3">B65+((B$69-B$64)/(A$69-A$64))</f>
        <v>50.222200000000008</v>
      </c>
      <c r="C66" s="89" t="s">
        <v>222</v>
      </c>
    </row>
    <row r="67" spans="1:3">
      <c r="A67" s="74">
        <v>1968</v>
      </c>
      <c r="B67" s="96">
        <f t="shared" si="3"/>
        <v>48.88880000000001</v>
      </c>
      <c r="C67" s="89" t="s">
        <v>222</v>
      </c>
    </row>
    <row r="68" spans="1:3">
      <c r="A68" s="74">
        <v>1969</v>
      </c>
      <c r="B68" s="96">
        <f t="shared" si="3"/>
        <v>47.555400000000013</v>
      </c>
      <c r="C68" s="89" t="s">
        <v>222</v>
      </c>
    </row>
    <row r="69" spans="1:3">
      <c r="A69" s="74">
        <v>1970</v>
      </c>
      <c r="B69" s="77">
        <f>B35</f>
        <v>46.222000000000001</v>
      </c>
      <c r="C69" s="74" t="s">
        <v>126</v>
      </c>
    </row>
    <row r="70" spans="1:3">
      <c r="A70" s="74">
        <v>1971</v>
      </c>
      <c r="B70" s="96">
        <f>B69+((B$74-B$69)/(A$74-A$69))</f>
        <v>45.066400000000002</v>
      </c>
      <c r="C70" s="89" t="s">
        <v>222</v>
      </c>
    </row>
    <row r="71" spans="1:3">
      <c r="A71" s="74">
        <v>1972</v>
      </c>
      <c r="B71" s="96">
        <f t="shared" ref="B71:B73" si="4">B70+((B$74-B$69)/(A$74-A$69))</f>
        <v>43.910800000000002</v>
      </c>
      <c r="C71" s="89" t="s">
        <v>222</v>
      </c>
    </row>
    <row r="72" spans="1:3">
      <c r="A72" s="74">
        <v>1973</v>
      </c>
      <c r="B72" s="96">
        <f t="shared" si="4"/>
        <v>42.755200000000002</v>
      </c>
      <c r="C72" s="89" t="s">
        <v>222</v>
      </c>
    </row>
    <row r="73" spans="1:3">
      <c r="A73" s="74">
        <v>1974</v>
      </c>
      <c r="B73" s="96">
        <f t="shared" si="4"/>
        <v>41.599600000000002</v>
      </c>
      <c r="C73" s="89" t="s">
        <v>222</v>
      </c>
    </row>
    <row r="74" spans="1:3">
      <c r="A74" s="74">
        <v>1975</v>
      </c>
      <c r="B74" s="77">
        <f>B36</f>
        <v>40.444000000000003</v>
      </c>
      <c r="C74" s="74" t="s">
        <v>126</v>
      </c>
    </row>
    <row r="75" spans="1:3">
      <c r="A75" s="74">
        <v>1976</v>
      </c>
      <c r="B75" s="96">
        <f>B74+((B$79-B$74)/(A$79-A$74))</f>
        <v>39.355200000000004</v>
      </c>
      <c r="C75" s="89" t="s">
        <v>222</v>
      </c>
    </row>
    <row r="76" spans="1:3">
      <c r="A76" s="74">
        <v>1977</v>
      </c>
      <c r="B76" s="96">
        <f t="shared" ref="B76:B78" si="5">B75+((B$79-B$74)/(A$79-A$74))</f>
        <v>38.266400000000004</v>
      </c>
      <c r="C76" s="89" t="s">
        <v>222</v>
      </c>
    </row>
    <row r="77" spans="1:3">
      <c r="A77" s="74">
        <v>1978</v>
      </c>
      <c r="B77" s="96">
        <f t="shared" si="5"/>
        <v>37.177600000000005</v>
      </c>
      <c r="C77" s="89" t="s">
        <v>222</v>
      </c>
    </row>
    <row r="78" spans="1:3">
      <c r="A78" s="74">
        <v>1979</v>
      </c>
      <c r="B78" s="96">
        <f t="shared" si="5"/>
        <v>36.088800000000006</v>
      </c>
      <c r="C78" s="89" t="s">
        <v>222</v>
      </c>
    </row>
    <row r="79" spans="1:3">
      <c r="A79" s="74">
        <v>1980</v>
      </c>
      <c r="B79" s="77">
        <f>B37</f>
        <v>35</v>
      </c>
      <c r="C79" s="74" t="s">
        <v>126</v>
      </c>
    </row>
    <row r="80" spans="1:3">
      <c r="A80" s="74">
        <v>1981</v>
      </c>
      <c r="B80" s="96">
        <f>B79+((B$84-B$79)/(A$84-A$79))</f>
        <v>34.4</v>
      </c>
      <c r="C80" s="89" t="s">
        <v>222</v>
      </c>
    </row>
    <row r="81" spans="1:3">
      <c r="A81" s="74">
        <v>1982</v>
      </c>
      <c r="B81" s="96">
        <f t="shared" ref="B81:B83" si="6">B80+((B$84-B$79)/(A$84-A$79))</f>
        <v>33.799999999999997</v>
      </c>
      <c r="C81" s="89" t="s">
        <v>222</v>
      </c>
    </row>
    <row r="82" spans="1:3">
      <c r="A82" s="74">
        <v>1983</v>
      </c>
      <c r="B82" s="96">
        <f t="shared" si="6"/>
        <v>33.199999999999996</v>
      </c>
      <c r="C82" s="89" t="s">
        <v>222</v>
      </c>
    </row>
    <row r="83" spans="1:3">
      <c r="A83" s="74">
        <v>1984</v>
      </c>
      <c r="B83" s="96">
        <f t="shared" si="6"/>
        <v>32.599999999999994</v>
      </c>
      <c r="C83" s="89" t="s">
        <v>222</v>
      </c>
    </row>
    <row r="84" spans="1:3">
      <c r="A84" s="74">
        <v>1985</v>
      </c>
      <c r="B84" s="77">
        <f>B38</f>
        <v>32</v>
      </c>
      <c r="C84" s="74" t="s">
        <v>126</v>
      </c>
    </row>
    <row r="85" spans="1:3">
      <c r="A85" s="74">
        <v>1986</v>
      </c>
      <c r="B85" s="96">
        <f>B84+((B$89-B$84)/(A$89-A$84))</f>
        <v>31.711200000000002</v>
      </c>
      <c r="C85" s="89" t="s">
        <v>222</v>
      </c>
    </row>
    <row r="86" spans="1:3">
      <c r="A86" s="74">
        <v>1987</v>
      </c>
      <c r="B86" s="96">
        <f t="shared" ref="B86:B88" si="7">B85+((B$89-B$84)/(A$89-A$84))</f>
        <v>31.422400000000003</v>
      </c>
      <c r="C86" s="89" t="s">
        <v>222</v>
      </c>
    </row>
    <row r="87" spans="1:3">
      <c r="A87" s="74">
        <v>1988</v>
      </c>
      <c r="B87" s="96">
        <f t="shared" si="7"/>
        <v>31.133600000000005</v>
      </c>
      <c r="C87" s="89" t="s">
        <v>222</v>
      </c>
    </row>
    <row r="88" spans="1:3">
      <c r="A88" s="74">
        <v>1989</v>
      </c>
      <c r="B88" s="96">
        <f t="shared" si="7"/>
        <v>30.844800000000006</v>
      </c>
      <c r="C88" s="89" t="s">
        <v>222</v>
      </c>
    </row>
    <row r="89" spans="1:3">
      <c r="A89" s="74">
        <v>1990</v>
      </c>
      <c r="B89" s="77">
        <f>B39</f>
        <v>30.556000000000001</v>
      </c>
      <c r="C89" s="74" t="s">
        <v>126</v>
      </c>
    </row>
    <row r="90" spans="1:3">
      <c r="A90" s="74">
        <v>1991</v>
      </c>
      <c r="B90" s="96">
        <f>B89+((B$94-B$89)/(A$94-A$89))</f>
        <v>30.333600000000001</v>
      </c>
      <c r="C90" s="89" t="s">
        <v>222</v>
      </c>
    </row>
    <row r="91" spans="1:3">
      <c r="A91" s="74">
        <v>1992</v>
      </c>
      <c r="B91" s="96">
        <f t="shared" ref="B91:B93" si="8">B90+((B$94-B$89)/(A$94-A$89))</f>
        <v>30.1112</v>
      </c>
      <c r="C91" s="89" t="s">
        <v>222</v>
      </c>
    </row>
    <row r="92" spans="1:3">
      <c r="A92" s="74">
        <v>1993</v>
      </c>
      <c r="B92" s="96">
        <f t="shared" si="8"/>
        <v>29.8888</v>
      </c>
      <c r="C92" s="89" t="s">
        <v>222</v>
      </c>
    </row>
    <row r="93" spans="1:3">
      <c r="A93" s="74">
        <v>1994</v>
      </c>
      <c r="B93" s="96">
        <f t="shared" si="8"/>
        <v>29.666399999999999</v>
      </c>
      <c r="C93" s="89" t="s">
        <v>222</v>
      </c>
    </row>
    <row r="94" spans="1:3">
      <c r="A94" s="74">
        <v>1995</v>
      </c>
      <c r="B94" s="77">
        <f>B40</f>
        <v>29.443999999999999</v>
      </c>
      <c r="C94" s="74" t="s">
        <v>126</v>
      </c>
    </row>
    <row r="95" spans="1:3">
      <c r="A95" s="74">
        <v>1996</v>
      </c>
      <c r="B95" s="96">
        <f>B94+((B$99-B$94)/(A$99-A$94))</f>
        <v>29.377399999999998</v>
      </c>
      <c r="C95" s="89" t="s">
        <v>222</v>
      </c>
    </row>
    <row r="96" spans="1:3">
      <c r="A96" s="74">
        <v>1997</v>
      </c>
      <c r="B96" s="96">
        <f t="shared" ref="B96:B98" si="9">B95+((B$99-B$94)/(A$99-A$94))</f>
        <v>29.310799999999997</v>
      </c>
      <c r="C96" s="89" t="s">
        <v>222</v>
      </c>
    </row>
    <row r="97" spans="1:3">
      <c r="A97" s="74">
        <v>1998</v>
      </c>
      <c r="B97" s="96">
        <f t="shared" si="9"/>
        <v>29.244199999999996</v>
      </c>
      <c r="C97" s="89" t="s">
        <v>222</v>
      </c>
    </row>
    <row r="98" spans="1:3">
      <c r="A98" s="74">
        <v>1999</v>
      </c>
      <c r="B98" s="96">
        <f t="shared" si="9"/>
        <v>29.177599999999995</v>
      </c>
      <c r="C98" s="89" t="s">
        <v>222</v>
      </c>
    </row>
    <row r="99" spans="1:3">
      <c r="A99" s="74">
        <v>2000</v>
      </c>
      <c r="B99" s="77">
        <f>B41</f>
        <v>29.111000000000001</v>
      </c>
      <c r="C99" s="74" t="s">
        <v>126</v>
      </c>
    </row>
    <row r="100" spans="1:3">
      <c r="A100" s="74">
        <v>2001</v>
      </c>
      <c r="B100" s="96">
        <f>B99+((B$104-B$99)/(A$104-A$99))</f>
        <v>29.088799999999999</v>
      </c>
      <c r="C100" s="89" t="s">
        <v>222</v>
      </c>
    </row>
    <row r="101" spans="1:3">
      <c r="A101" s="74">
        <v>2002</v>
      </c>
      <c r="B101" s="96">
        <f t="shared" ref="B101:B103" si="10">B100+((B$104-B$99)/(A$104-A$99))</f>
        <v>29.066599999999998</v>
      </c>
      <c r="C101" s="89" t="s">
        <v>222</v>
      </c>
    </row>
    <row r="102" spans="1:3">
      <c r="A102" s="74">
        <v>2003</v>
      </c>
      <c r="B102" s="96">
        <f t="shared" si="10"/>
        <v>29.044399999999996</v>
      </c>
      <c r="C102" s="89" t="s">
        <v>222</v>
      </c>
    </row>
    <row r="103" spans="1:3">
      <c r="A103" s="74">
        <v>2004</v>
      </c>
      <c r="B103" s="96">
        <f t="shared" si="10"/>
        <v>29.022199999999994</v>
      </c>
      <c r="C103" s="89" t="s">
        <v>222</v>
      </c>
    </row>
    <row r="104" spans="1:3">
      <c r="A104" s="74">
        <v>2005</v>
      </c>
      <c r="B104" s="77">
        <f>B42</f>
        <v>29</v>
      </c>
      <c r="C104" s="74" t="s">
        <v>126</v>
      </c>
    </row>
    <row r="105" spans="1:3">
      <c r="A105" s="74">
        <v>2006</v>
      </c>
      <c r="B105" s="96">
        <f>B104+((B$109-B$104)/(A$109-A$104))</f>
        <v>28.9556</v>
      </c>
      <c r="C105" s="89" t="s">
        <v>222</v>
      </c>
    </row>
    <row r="106" spans="1:3">
      <c r="A106" s="74">
        <v>2007</v>
      </c>
      <c r="B106" s="96">
        <f>B105+((B$109-B$104)/(A$109-A$104))</f>
        <v>28.911200000000001</v>
      </c>
      <c r="C106" s="89" t="s">
        <v>222</v>
      </c>
    </row>
    <row r="107" spans="1:3">
      <c r="A107" s="74">
        <v>2008</v>
      </c>
      <c r="B107" s="96">
        <f>B106+((B$109-B$104)/(A$109-A$104))</f>
        <v>28.866800000000001</v>
      </c>
      <c r="C107" s="89" t="s">
        <v>222</v>
      </c>
    </row>
    <row r="108" spans="1:3">
      <c r="A108" s="74">
        <v>2009</v>
      </c>
      <c r="B108" s="96">
        <f>B107+((B$109-B$104)/(A$109-A$104))</f>
        <v>28.822400000000002</v>
      </c>
      <c r="C108" s="89" t="s">
        <v>222</v>
      </c>
    </row>
    <row r="109" spans="1:3">
      <c r="A109" s="74">
        <v>2010</v>
      </c>
      <c r="B109" s="77">
        <f>B43</f>
        <v>28.777999999999999</v>
      </c>
      <c r="C109" s="74" t="s">
        <v>126</v>
      </c>
    </row>
    <row r="110" spans="1:3">
      <c r="A110" s="74">
        <v>2011</v>
      </c>
      <c r="B110" s="96">
        <f>B109+((B$114-B$109)/(A$114-A$109))</f>
        <v>28.755800000000001</v>
      </c>
      <c r="C110" s="89" t="s">
        <v>222</v>
      </c>
    </row>
    <row r="111" spans="1:3">
      <c r="A111" s="74">
        <v>2012</v>
      </c>
      <c r="B111" s="96">
        <f t="shared" ref="B111:B113" si="11">B110+((B$114-B$109)/(A$114-A$109))</f>
        <v>28.733600000000003</v>
      </c>
      <c r="C111" s="89" t="s">
        <v>222</v>
      </c>
    </row>
    <row r="112" spans="1:3">
      <c r="A112" s="74">
        <v>2013</v>
      </c>
      <c r="B112" s="96">
        <f t="shared" si="11"/>
        <v>28.711400000000005</v>
      </c>
      <c r="C112" s="89" t="s">
        <v>222</v>
      </c>
    </row>
    <row r="113" spans="1:3">
      <c r="A113" s="74">
        <v>2014</v>
      </c>
      <c r="B113" s="96">
        <f t="shared" si="11"/>
        <v>28.689200000000007</v>
      </c>
      <c r="C113" s="89" t="s">
        <v>222</v>
      </c>
    </row>
    <row r="114" spans="1:3">
      <c r="A114" s="74">
        <v>2015</v>
      </c>
      <c r="B114" s="77">
        <f>B44</f>
        <v>28.667000000000002</v>
      </c>
      <c r="C114" s="74" t="s">
        <v>126</v>
      </c>
    </row>
    <row r="115" spans="1:3">
      <c r="A115" s="74">
        <v>2016</v>
      </c>
      <c r="B115" s="96">
        <f>B114+((B$119-B$114)/(A$119-A$114))</f>
        <v>28.667000000000002</v>
      </c>
      <c r="C115" s="89" t="s">
        <v>222</v>
      </c>
    </row>
    <row r="116" spans="1:3">
      <c r="A116" s="74">
        <v>2017</v>
      </c>
      <c r="B116" s="96">
        <f t="shared" ref="B116:B118" si="12">B115+((B$119-B$114)/(A$119-A$114))</f>
        <v>28.667000000000002</v>
      </c>
      <c r="C116" s="89" t="s">
        <v>222</v>
      </c>
    </row>
    <row r="117" spans="1:3">
      <c r="A117" s="74">
        <v>2018</v>
      </c>
      <c r="B117" s="96">
        <f t="shared" si="12"/>
        <v>28.667000000000002</v>
      </c>
      <c r="C117" s="89" t="s">
        <v>222</v>
      </c>
    </row>
    <row r="118" spans="1:3">
      <c r="A118" s="74">
        <v>2019</v>
      </c>
      <c r="B118" s="96">
        <f t="shared" si="12"/>
        <v>28.667000000000002</v>
      </c>
      <c r="C118" s="89" t="s">
        <v>222</v>
      </c>
    </row>
    <row r="119" spans="1:3">
      <c r="A119" s="74">
        <v>2020</v>
      </c>
      <c r="B119" s="77">
        <f>B45</f>
        <v>28.667000000000002</v>
      </c>
      <c r="C119" s="74" t="s">
        <v>126</v>
      </c>
    </row>
  </sheetData>
  <hyperlinks>
    <hyperlink ref="A2" r:id="rId1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"/>
  <sheetViews>
    <sheetView workbookViewId="0">
      <selection activeCell="F13" sqref="F13"/>
    </sheetView>
  </sheetViews>
  <sheetFormatPr defaultColWidth="8.6640625" defaultRowHeight="14.4"/>
  <sheetData>
    <row r="1" spans="1:1">
      <c r="A1" t="s">
        <v>225</v>
      </c>
    </row>
    <row r="2" spans="1:1">
      <c r="A2" s="1" t="s">
        <v>226</v>
      </c>
    </row>
  </sheetData>
  <hyperlinks>
    <hyperlink ref="A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"/>
  <sheetViews>
    <sheetView zoomScaleNormal="100" workbookViewId="0">
      <selection activeCell="E31" sqref="E31"/>
    </sheetView>
  </sheetViews>
  <sheetFormatPr defaultColWidth="8.6640625" defaultRowHeight="14.4"/>
  <sheetData>
    <row r="1" spans="1:1">
      <c r="A1" t="s">
        <v>238</v>
      </c>
    </row>
    <row r="2" spans="1:1">
      <c r="A2" s="1" t="s">
        <v>237</v>
      </c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49"/>
  <sheetViews>
    <sheetView topLeftCell="K1" zoomScale="85" zoomScaleNormal="85" workbookViewId="0">
      <selection activeCell="AK13" sqref="AK13"/>
    </sheetView>
  </sheetViews>
  <sheetFormatPr defaultColWidth="8.6640625" defaultRowHeight="14.4"/>
  <cols>
    <col min="1" max="1" width="9.109375" style="98"/>
    <col min="2" max="2" width="12.44140625" style="98" bestFit="1" customWidth="1"/>
    <col min="3" max="3" width="30.44140625" style="98" bestFit="1" customWidth="1"/>
    <col min="4" max="4" width="25.6640625" style="98" bestFit="1" customWidth="1"/>
    <col min="5" max="5" width="12" style="98" bestFit="1" customWidth="1"/>
    <col min="6" max="6" width="23.44140625" style="98" bestFit="1" customWidth="1"/>
    <col min="7" max="7" width="20.44140625" style="98" bestFit="1" customWidth="1"/>
    <col min="8" max="8" width="15.6640625" style="98" bestFit="1" customWidth="1"/>
    <col min="9" max="9" width="8.44140625" style="98" customWidth="1"/>
    <col min="10" max="10" width="24" style="98" bestFit="1" customWidth="1"/>
    <col min="11" max="11" width="15.33203125" style="98" bestFit="1" customWidth="1"/>
    <col min="14" max="14" width="10" style="98" customWidth="1"/>
    <col min="15" max="15" width="18.109375" style="98" bestFit="1" customWidth="1"/>
    <col min="16" max="16" width="18.109375" style="98" customWidth="1"/>
    <col min="17" max="18" width="9.109375" style="98"/>
    <col min="19" max="19" width="18.109375" style="98" bestFit="1" customWidth="1"/>
    <col min="20" max="20" width="12.33203125" style="98" bestFit="1" customWidth="1"/>
    <col min="21" max="261" width="9.109375" style="98"/>
    <col min="262" max="262" width="17.33203125" style="98" bestFit="1" customWidth="1"/>
    <col min="263" max="263" width="25.6640625" style="98" customWidth="1"/>
    <col min="264" max="265" width="28.33203125" style="98" customWidth="1"/>
    <col min="266" max="266" width="21.109375" style="98" bestFit="1" customWidth="1"/>
    <col min="267" max="267" width="31.44140625" style="98" bestFit="1" customWidth="1"/>
    <col min="268" max="268" width="14.33203125" style="98" bestFit="1" customWidth="1"/>
    <col min="269" max="517" width="9.109375" style="98"/>
    <col min="518" max="518" width="17.33203125" style="98" bestFit="1" customWidth="1"/>
    <col min="519" max="519" width="25.6640625" style="98" customWidth="1"/>
    <col min="520" max="521" width="28.33203125" style="98" customWidth="1"/>
    <col min="522" max="522" width="21.109375" style="98" bestFit="1" customWidth="1"/>
    <col min="523" max="523" width="31.44140625" style="98" bestFit="1" customWidth="1"/>
    <col min="524" max="524" width="14.33203125" style="98" bestFit="1" customWidth="1"/>
    <col min="525" max="773" width="9.109375" style="98"/>
    <col min="774" max="774" width="17.33203125" style="98" bestFit="1" customWidth="1"/>
    <col min="775" max="775" width="25.6640625" style="98" customWidth="1"/>
    <col min="776" max="777" width="28.33203125" style="98" customWidth="1"/>
    <col min="778" max="778" width="21.109375" style="98" bestFit="1" customWidth="1"/>
    <col min="779" max="779" width="31.44140625" style="98" bestFit="1" customWidth="1"/>
    <col min="780" max="780" width="14.33203125" style="98" bestFit="1" customWidth="1"/>
    <col min="781" max="1029" width="9.109375" style="98"/>
    <col min="1030" max="1030" width="17.33203125" style="98" bestFit="1" customWidth="1"/>
    <col min="1031" max="1031" width="25.6640625" style="98" customWidth="1"/>
    <col min="1032" max="1033" width="28.33203125" style="98" customWidth="1"/>
    <col min="1034" max="1034" width="21.109375" style="98" bestFit="1" customWidth="1"/>
    <col min="1035" max="1035" width="31.44140625" style="98" bestFit="1" customWidth="1"/>
    <col min="1036" max="1036" width="14.33203125" style="98" bestFit="1" customWidth="1"/>
    <col min="1037" max="1285" width="9.109375" style="98"/>
    <col min="1286" max="1286" width="17.33203125" style="98" bestFit="1" customWidth="1"/>
    <col min="1287" max="1287" width="25.6640625" style="98" customWidth="1"/>
    <col min="1288" max="1289" width="28.33203125" style="98" customWidth="1"/>
    <col min="1290" max="1290" width="21.109375" style="98" bestFit="1" customWidth="1"/>
    <col min="1291" max="1291" width="31.44140625" style="98" bestFit="1" customWidth="1"/>
    <col min="1292" max="1292" width="14.33203125" style="98" bestFit="1" customWidth="1"/>
    <col min="1293" max="1541" width="9.109375" style="98"/>
    <col min="1542" max="1542" width="17.33203125" style="98" bestFit="1" customWidth="1"/>
    <col min="1543" max="1543" width="25.6640625" style="98" customWidth="1"/>
    <col min="1544" max="1545" width="28.33203125" style="98" customWidth="1"/>
    <col min="1546" max="1546" width="21.109375" style="98" bestFit="1" customWidth="1"/>
    <col min="1547" max="1547" width="31.44140625" style="98" bestFit="1" customWidth="1"/>
    <col min="1548" max="1548" width="14.33203125" style="98" bestFit="1" customWidth="1"/>
    <col min="1549" max="1797" width="9.109375" style="98"/>
    <col min="1798" max="1798" width="17.33203125" style="98" bestFit="1" customWidth="1"/>
    <col min="1799" max="1799" width="25.6640625" style="98" customWidth="1"/>
    <col min="1800" max="1801" width="28.33203125" style="98" customWidth="1"/>
    <col min="1802" max="1802" width="21.109375" style="98" bestFit="1" customWidth="1"/>
    <col min="1803" max="1803" width="31.44140625" style="98" bestFit="1" customWidth="1"/>
    <col min="1804" max="1804" width="14.33203125" style="98" bestFit="1" customWidth="1"/>
    <col min="1805" max="2053" width="9.109375" style="98"/>
    <col min="2054" max="2054" width="17.33203125" style="98" bestFit="1" customWidth="1"/>
    <col min="2055" max="2055" width="25.6640625" style="98" customWidth="1"/>
    <col min="2056" max="2057" width="28.33203125" style="98" customWidth="1"/>
    <col min="2058" max="2058" width="21.109375" style="98" bestFit="1" customWidth="1"/>
    <col min="2059" max="2059" width="31.44140625" style="98" bestFit="1" customWidth="1"/>
    <col min="2060" max="2060" width="14.33203125" style="98" bestFit="1" customWidth="1"/>
    <col min="2061" max="2309" width="9.109375" style="98"/>
    <col min="2310" max="2310" width="17.33203125" style="98" bestFit="1" customWidth="1"/>
    <col min="2311" max="2311" width="25.6640625" style="98" customWidth="1"/>
    <col min="2312" max="2313" width="28.33203125" style="98" customWidth="1"/>
    <col min="2314" max="2314" width="21.109375" style="98" bestFit="1" customWidth="1"/>
    <col min="2315" max="2315" width="31.44140625" style="98" bestFit="1" customWidth="1"/>
    <col min="2316" max="2316" width="14.33203125" style="98" bestFit="1" customWidth="1"/>
    <col min="2317" max="2565" width="9.109375" style="98"/>
    <col min="2566" max="2566" width="17.33203125" style="98" bestFit="1" customWidth="1"/>
    <col min="2567" max="2567" width="25.6640625" style="98" customWidth="1"/>
    <col min="2568" max="2569" width="28.33203125" style="98" customWidth="1"/>
    <col min="2570" max="2570" width="21.109375" style="98" bestFit="1" customWidth="1"/>
    <col min="2571" max="2571" width="31.44140625" style="98" bestFit="1" customWidth="1"/>
    <col min="2572" max="2572" width="14.33203125" style="98" bestFit="1" customWidth="1"/>
    <col min="2573" max="2821" width="9.109375" style="98"/>
    <col min="2822" max="2822" width="17.33203125" style="98" bestFit="1" customWidth="1"/>
    <col min="2823" max="2823" width="25.6640625" style="98" customWidth="1"/>
    <col min="2824" max="2825" width="28.33203125" style="98" customWidth="1"/>
    <col min="2826" max="2826" width="21.109375" style="98" bestFit="1" customWidth="1"/>
    <col min="2827" max="2827" width="31.44140625" style="98" bestFit="1" customWidth="1"/>
    <col min="2828" max="2828" width="14.33203125" style="98" bestFit="1" customWidth="1"/>
    <col min="2829" max="3077" width="9.109375" style="98"/>
    <col min="3078" max="3078" width="17.33203125" style="98" bestFit="1" customWidth="1"/>
    <col min="3079" max="3079" width="25.6640625" style="98" customWidth="1"/>
    <col min="3080" max="3081" width="28.33203125" style="98" customWidth="1"/>
    <col min="3082" max="3082" width="21.109375" style="98" bestFit="1" customWidth="1"/>
    <col min="3083" max="3083" width="31.44140625" style="98" bestFit="1" customWidth="1"/>
    <col min="3084" max="3084" width="14.33203125" style="98" bestFit="1" customWidth="1"/>
    <col min="3085" max="3333" width="9.109375" style="98"/>
    <col min="3334" max="3334" width="17.33203125" style="98" bestFit="1" customWidth="1"/>
    <col min="3335" max="3335" width="25.6640625" style="98" customWidth="1"/>
    <col min="3336" max="3337" width="28.33203125" style="98" customWidth="1"/>
    <col min="3338" max="3338" width="21.109375" style="98" bestFit="1" customWidth="1"/>
    <col min="3339" max="3339" width="31.44140625" style="98" bestFit="1" customWidth="1"/>
    <col min="3340" max="3340" width="14.33203125" style="98" bestFit="1" customWidth="1"/>
    <col min="3341" max="3589" width="9.109375" style="98"/>
    <col min="3590" max="3590" width="17.33203125" style="98" bestFit="1" customWidth="1"/>
    <col min="3591" max="3591" width="25.6640625" style="98" customWidth="1"/>
    <col min="3592" max="3593" width="28.33203125" style="98" customWidth="1"/>
    <col min="3594" max="3594" width="21.109375" style="98" bestFit="1" customWidth="1"/>
    <col min="3595" max="3595" width="31.44140625" style="98" bestFit="1" customWidth="1"/>
    <col min="3596" max="3596" width="14.33203125" style="98" bestFit="1" customWidth="1"/>
    <col min="3597" max="3845" width="9.109375" style="98"/>
    <col min="3846" max="3846" width="17.33203125" style="98" bestFit="1" customWidth="1"/>
    <col min="3847" max="3847" width="25.6640625" style="98" customWidth="1"/>
    <col min="3848" max="3849" width="28.33203125" style="98" customWidth="1"/>
    <col min="3850" max="3850" width="21.109375" style="98" bestFit="1" customWidth="1"/>
    <col min="3851" max="3851" width="31.44140625" style="98" bestFit="1" customWidth="1"/>
    <col min="3852" max="3852" width="14.33203125" style="98" bestFit="1" customWidth="1"/>
    <col min="3853" max="4101" width="9.109375" style="98"/>
    <col min="4102" max="4102" width="17.33203125" style="98" bestFit="1" customWidth="1"/>
    <col min="4103" max="4103" width="25.6640625" style="98" customWidth="1"/>
    <col min="4104" max="4105" width="28.33203125" style="98" customWidth="1"/>
    <col min="4106" max="4106" width="21.109375" style="98" bestFit="1" customWidth="1"/>
    <col min="4107" max="4107" width="31.44140625" style="98" bestFit="1" customWidth="1"/>
    <col min="4108" max="4108" width="14.33203125" style="98" bestFit="1" customWidth="1"/>
    <col min="4109" max="4357" width="9.109375" style="98"/>
    <col min="4358" max="4358" width="17.33203125" style="98" bestFit="1" customWidth="1"/>
    <col min="4359" max="4359" width="25.6640625" style="98" customWidth="1"/>
    <col min="4360" max="4361" width="28.33203125" style="98" customWidth="1"/>
    <col min="4362" max="4362" width="21.109375" style="98" bestFit="1" customWidth="1"/>
    <col min="4363" max="4363" width="31.44140625" style="98" bestFit="1" customWidth="1"/>
    <col min="4364" max="4364" width="14.33203125" style="98" bestFit="1" customWidth="1"/>
    <col min="4365" max="4613" width="9.109375" style="98"/>
    <col min="4614" max="4614" width="17.33203125" style="98" bestFit="1" customWidth="1"/>
    <col min="4615" max="4615" width="25.6640625" style="98" customWidth="1"/>
    <col min="4616" max="4617" width="28.33203125" style="98" customWidth="1"/>
    <col min="4618" max="4618" width="21.109375" style="98" bestFit="1" customWidth="1"/>
    <col min="4619" max="4619" width="31.44140625" style="98" bestFit="1" customWidth="1"/>
    <col min="4620" max="4620" width="14.33203125" style="98" bestFit="1" customWidth="1"/>
    <col min="4621" max="4869" width="9.109375" style="98"/>
    <col min="4870" max="4870" width="17.33203125" style="98" bestFit="1" customWidth="1"/>
    <col min="4871" max="4871" width="25.6640625" style="98" customWidth="1"/>
    <col min="4872" max="4873" width="28.33203125" style="98" customWidth="1"/>
    <col min="4874" max="4874" width="21.109375" style="98" bestFit="1" customWidth="1"/>
    <col min="4875" max="4875" width="31.44140625" style="98" bestFit="1" customWidth="1"/>
    <col min="4876" max="4876" width="14.33203125" style="98" bestFit="1" customWidth="1"/>
    <col min="4877" max="5125" width="9.109375" style="98"/>
    <col min="5126" max="5126" width="17.33203125" style="98" bestFit="1" customWidth="1"/>
    <col min="5127" max="5127" width="25.6640625" style="98" customWidth="1"/>
    <col min="5128" max="5129" width="28.33203125" style="98" customWidth="1"/>
    <col min="5130" max="5130" width="21.109375" style="98" bestFit="1" customWidth="1"/>
    <col min="5131" max="5131" width="31.44140625" style="98" bestFit="1" customWidth="1"/>
    <col min="5132" max="5132" width="14.33203125" style="98" bestFit="1" customWidth="1"/>
    <col min="5133" max="5381" width="9.109375" style="98"/>
    <col min="5382" max="5382" width="17.33203125" style="98" bestFit="1" customWidth="1"/>
    <col min="5383" max="5383" width="25.6640625" style="98" customWidth="1"/>
    <col min="5384" max="5385" width="28.33203125" style="98" customWidth="1"/>
    <col min="5386" max="5386" width="21.109375" style="98" bestFit="1" customWidth="1"/>
    <col min="5387" max="5387" width="31.44140625" style="98" bestFit="1" customWidth="1"/>
    <col min="5388" max="5388" width="14.33203125" style="98" bestFit="1" customWidth="1"/>
    <col min="5389" max="5637" width="9.109375" style="98"/>
    <col min="5638" max="5638" width="17.33203125" style="98" bestFit="1" customWidth="1"/>
    <col min="5639" max="5639" width="25.6640625" style="98" customWidth="1"/>
    <col min="5640" max="5641" width="28.33203125" style="98" customWidth="1"/>
    <col min="5642" max="5642" width="21.109375" style="98" bestFit="1" customWidth="1"/>
    <col min="5643" max="5643" width="31.44140625" style="98" bestFit="1" customWidth="1"/>
    <col min="5644" max="5644" width="14.33203125" style="98" bestFit="1" customWidth="1"/>
    <col min="5645" max="5893" width="9.109375" style="98"/>
    <col min="5894" max="5894" width="17.33203125" style="98" bestFit="1" customWidth="1"/>
    <col min="5895" max="5895" width="25.6640625" style="98" customWidth="1"/>
    <col min="5896" max="5897" width="28.33203125" style="98" customWidth="1"/>
    <col min="5898" max="5898" width="21.109375" style="98" bestFit="1" customWidth="1"/>
    <col min="5899" max="5899" width="31.44140625" style="98" bestFit="1" customWidth="1"/>
    <col min="5900" max="5900" width="14.33203125" style="98" bestFit="1" customWidth="1"/>
    <col min="5901" max="6149" width="9.109375" style="98"/>
    <col min="6150" max="6150" width="17.33203125" style="98" bestFit="1" customWidth="1"/>
    <col min="6151" max="6151" width="25.6640625" style="98" customWidth="1"/>
    <col min="6152" max="6153" width="28.33203125" style="98" customWidth="1"/>
    <col min="6154" max="6154" width="21.109375" style="98" bestFit="1" customWidth="1"/>
    <col min="6155" max="6155" width="31.44140625" style="98" bestFit="1" customWidth="1"/>
    <col min="6156" max="6156" width="14.33203125" style="98" bestFit="1" customWidth="1"/>
    <col min="6157" max="6405" width="9.109375" style="98"/>
    <col min="6406" max="6406" width="17.33203125" style="98" bestFit="1" customWidth="1"/>
    <col min="6407" max="6407" width="25.6640625" style="98" customWidth="1"/>
    <col min="6408" max="6409" width="28.33203125" style="98" customWidth="1"/>
    <col min="6410" max="6410" width="21.109375" style="98" bestFit="1" customWidth="1"/>
    <col min="6411" max="6411" width="31.44140625" style="98" bestFit="1" customWidth="1"/>
    <col min="6412" max="6412" width="14.33203125" style="98" bestFit="1" customWidth="1"/>
    <col min="6413" max="6661" width="9.109375" style="98"/>
    <col min="6662" max="6662" width="17.33203125" style="98" bestFit="1" customWidth="1"/>
    <col min="6663" max="6663" width="25.6640625" style="98" customWidth="1"/>
    <col min="6664" max="6665" width="28.33203125" style="98" customWidth="1"/>
    <col min="6666" max="6666" width="21.109375" style="98" bestFit="1" customWidth="1"/>
    <col min="6667" max="6667" width="31.44140625" style="98" bestFit="1" customWidth="1"/>
    <col min="6668" max="6668" width="14.33203125" style="98" bestFit="1" customWidth="1"/>
    <col min="6669" max="6917" width="9.109375" style="98"/>
    <col min="6918" max="6918" width="17.33203125" style="98" bestFit="1" customWidth="1"/>
    <col min="6919" max="6919" width="25.6640625" style="98" customWidth="1"/>
    <col min="6920" max="6921" width="28.33203125" style="98" customWidth="1"/>
    <col min="6922" max="6922" width="21.109375" style="98" bestFit="1" customWidth="1"/>
    <col min="6923" max="6923" width="31.44140625" style="98" bestFit="1" customWidth="1"/>
    <col min="6924" max="6924" width="14.33203125" style="98" bestFit="1" customWidth="1"/>
    <col min="6925" max="7173" width="9.109375" style="98"/>
    <col min="7174" max="7174" width="17.33203125" style="98" bestFit="1" customWidth="1"/>
    <col min="7175" max="7175" width="25.6640625" style="98" customWidth="1"/>
    <col min="7176" max="7177" width="28.33203125" style="98" customWidth="1"/>
    <col min="7178" max="7178" width="21.109375" style="98" bestFit="1" customWidth="1"/>
    <col min="7179" max="7179" width="31.44140625" style="98" bestFit="1" customWidth="1"/>
    <col min="7180" max="7180" width="14.33203125" style="98" bestFit="1" customWidth="1"/>
    <col min="7181" max="7429" width="9.109375" style="98"/>
    <col min="7430" max="7430" width="17.33203125" style="98" bestFit="1" customWidth="1"/>
    <col min="7431" max="7431" width="25.6640625" style="98" customWidth="1"/>
    <col min="7432" max="7433" width="28.33203125" style="98" customWidth="1"/>
    <col min="7434" max="7434" width="21.109375" style="98" bestFit="1" customWidth="1"/>
    <col min="7435" max="7435" width="31.44140625" style="98" bestFit="1" customWidth="1"/>
    <col min="7436" max="7436" width="14.33203125" style="98" bestFit="1" customWidth="1"/>
    <col min="7437" max="7685" width="9.109375" style="98"/>
    <col min="7686" max="7686" width="17.33203125" style="98" bestFit="1" customWidth="1"/>
    <col min="7687" max="7687" width="25.6640625" style="98" customWidth="1"/>
    <col min="7688" max="7689" width="28.33203125" style="98" customWidth="1"/>
    <col min="7690" max="7690" width="21.109375" style="98" bestFit="1" customWidth="1"/>
    <col min="7691" max="7691" width="31.44140625" style="98" bestFit="1" customWidth="1"/>
    <col min="7692" max="7692" width="14.33203125" style="98" bestFit="1" customWidth="1"/>
    <col min="7693" max="7941" width="9.109375" style="98"/>
    <col min="7942" max="7942" width="17.33203125" style="98" bestFit="1" customWidth="1"/>
    <col min="7943" max="7943" width="25.6640625" style="98" customWidth="1"/>
    <col min="7944" max="7945" width="28.33203125" style="98" customWidth="1"/>
    <col min="7946" max="7946" width="21.109375" style="98" bestFit="1" customWidth="1"/>
    <col min="7947" max="7947" width="31.44140625" style="98" bestFit="1" customWidth="1"/>
    <col min="7948" max="7948" width="14.33203125" style="98" bestFit="1" customWidth="1"/>
    <col min="7949" max="8197" width="9.109375" style="98"/>
    <col min="8198" max="8198" width="17.33203125" style="98" bestFit="1" customWidth="1"/>
    <col min="8199" max="8199" width="25.6640625" style="98" customWidth="1"/>
    <col min="8200" max="8201" width="28.33203125" style="98" customWidth="1"/>
    <col min="8202" max="8202" width="21.109375" style="98" bestFit="1" customWidth="1"/>
    <col min="8203" max="8203" width="31.44140625" style="98" bestFit="1" customWidth="1"/>
    <col min="8204" max="8204" width="14.33203125" style="98" bestFit="1" customWidth="1"/>
    <col min="8205" max="8453" width="9.109375" style="98"/>
    <col min="8454" max="8454" width="17.33203125" style="98" bestFit="1" customWidth="1"/>
    <col min="8455" max="8455" width="25.6640625" style="98" customWidth="1"/>
    <col min="8456" max="8457" width="28.33203125" style="98" customWidth="1"/>
    <col min="8458" max="8458" width="21.109375" style="98" bestFit="1" customWidth="1"/>
    <col min="8459" max="8459" width="31.44140625" style="98" bestFit="1" customWidth="1"/>
    <col min="8460" max="8460" width="14.33203125" style="98" bestFit="1" customWidth="1"/>
    <col min="8461" max="8709" width="9.109375" style="98"/>
    <col min="8710" max="8710" width="17.33203125" style="98" bestFit="1" customWidth="1"/>
    <col min="8711" max="8711" width="25.6640625" style="98" customWidth="1"/>
    <col min="8712" max="8713" width="28.33203125" style="98" customWidth="1"/>
    <col min="8714" max="8714" width="21.109375" style="98" bestFit="1" customWidth="1"/>
    <col min="8715" max="8715" width="31.44140625" style="98" bestFit="1" customWidth="1"/>
    <col min="8716" max="8716" width="14.33203125" style="98" bestFit="1" customWidth="1"/>
    <col min="8717" max="8965" width="9.109375" style="98"/>
    <col min="8966" max="8966" width="17.33203125" style="98" bestFit="1" customWidth="1"/>
    <col min="8967" max="8967" width="25.6640625" style="98" customWidth="1"/>
    <col min="8968" max="8969" width="28.33203125" style="98" customWidth="1"/>
    <col min="8970" max="8970" width="21.109375" style="98" bestFit="1" customWidth="1"/>
    <col min="8971" max="8971" width="31.44140625" style="98" bestFit="1" customWidth="1"/>
    <col min="8972" max="8972" width="14.33203125" style="98" bestFit="1" customWidth="1"/>
    <col min="8973" max="9221" width="9.109375" style="98"/>
    <col min="9222" max="9222" width="17.33203125" style="98" bestFit="1" customWidth="1"/>
    <col min="9223" max="9223" width="25.6640625" style="98" customWidth="1"/>
    <col min="9224" max="9225" width="28.33203125" style="98" customWidth="1"/>
    <col min="9226" max="9226" width="21.109375" style="98" bestFit="1" customWidth="1"/>
    <col min="9227" max="9227" width="31.44140625" style="98" bestFit="1" customWidth="1"/>
    <col min="9228" max="9228" width="14.33203125" style="98" bestFit="1" customWidth="1"/>
    <col min="9229" max="9477" width="9.109375" style="98"/>
    <col min="9478" max="9478" width="17.33203125" style="98" bestFit="1" customWidth="1"/>
    <col min="9479" max="9479" width="25.6640625" style="98" customWidth="1"/>
    <col min="9480" max="9481" width="28.33203125" style="98" customWidth="1"/>
    <col min="9482" max="9482" width="21.109375" style="98" bestFit="1" customWidth="1"/>
    <col min="9483" max="9483" width="31.44140625" style="98" bestFit="1" customWidth="1"/>
    <col min="9484" max="9484" width="14.33203125" style="98" bestFit="1" customWidth="1"/>
    <col min="9485" max="9733" width="9.109375" style="98"/>
    <col min="9734" max="9734" width="17.33203125" style="98" bestFit="1" customWidth="1"/>
    <col min="9735" max="9735" width="25.6640625" style="98" customWidth="1"/>
    <col min="9736" max="9737" width="28.33203125" style="98" customWidth="1"/>
    <col min="9738" max="9738" width="21.109375" style="98" bestFit="1" customWidth="1"/>
    <col min="9739" max="9739" width="31.44140625" style="98" bestFit="1" customWidth="1"/>
    <col min="9740" max="9740" width="14.33203125" style="98" bestFit="1" customWidth="1"/>
    <col min="9741" max="9989" width="9.109375" style="98"/>
    <col min="9990" max="9990" width="17.33203125" style="98" bestFit="1" customWidth="1"/>
    <col min="9991" max="9991" width="25.6640625" style="98" customWidth="1"/>
    <col min="9992" max="9993" width="28.33203125" style="98" customWidth="1"/>
    <col min="9994" max="9994" width="21.109375" style="98" bestFit="1" customWidth="1"/>
    <col min="9995" max="9995" width="31.44140625" style="98" bestFit="1" customWidth="1"/>
    <col min="9996" max="9996" width="14.33203125" style="98" bestFit="1" customWidth="1"/>
    <col min="9997" max="10245" width="9.109375" style="98"/>
    <col min="10246" max="10246" width="17.33203125" style="98" bestFit="1" customWidth="1"/>
    <col min="10247" max="10247" width="25.6640625" style="98" customWidth="1"/>
    <col min="10248" max="10249" width="28.33203125" style="98" customWidth="1"/>
    <col min="10250" max="10250" width="21.109375" style="98" bestFit="1" customWidth="1"/>
    <col min="10251" max="10251" width="31.44140625" style="98" bestFit="1" customWidth="1"/>
    <col min="10252" max="10252" width="14.33203125" style="98" bestFit="1" customWidth="1"/>
    <col min="10253" max="10501" width="9.109375" style="98"/>
    <col min="10502" max="10502" width="17.33203125" style="98" bestFit="1" customWidth="1"/>
    <col min="10503" max="10503" width="25.6640625" style="98" customWidth="1"/>
    <col min="10504" max="10505" width="28.33203125" style="98" customWidth="1"/>
    <col min="10506" max="10506" width="21.109375" style="98" bestFit="1" customWidth="1"/>
    <col min="10507" max="10507" width="31.44140625" style="98" bestFit="1" customWidth="1"/>
    <col min="10508" max="10508" width="14.33203125" style="98" bestFit="1" customWidth="1"/>
    <col min="10509" max="10757" width="9.109375" style="98"/>
    <col min="10758" max="10758" width="17.33203125" style="98" bestFit="1" customWidth="1"/>
    <col min="10759" max="10759" width="25.6640625" style="98" customWidth="1"/>
    <col min="10760" max="10761" width="28.33203125" style="98" customWidth="1"/>
    <col min="10762" max="10762" width="21.109375" style="98" bestFit="1" customWidth="1"/>
    <col min="10763" max="10763" width="31.44140625" style="98" bestFit="1" customWidth="1"/>
    <col min="10764" max="10764" width="14.33203125" style="98" bestFit="1" customWidth="1"/>
    <col min="10765" max="11013" width="9.109375" style="98"/>
    <col min="11014" max="11014" width="17.33203125" style="98" bestFit="1" customWidth="1"/>
    <col min="11015" max="11015" width="25.6640625" style="98" customWidth="1"/>
    <col min="11016" max="11017" width="28.33203125" style="98" customWidth="1"/>
    <col min="11018" max="11018" width="21.109375" style="98" bestFit="1" customWidth="1"/>
    <col min="11019" max="11019" width="31.44140625" style="98" bestFit="1" customWidth="1"/>
    <col min="11020" max="11020" width="14.33203125" style="98" bestFit="1" customWidth="1"/>
    <col min="11021" max="11269" width="9.109375" style="98"/>
    <col min="11270" max="11270" width="17.33203125" style="98" bestFit="1" customWidth="1"/>
    <col min="11271" max="11271" width="25.6640625" style="98" customWidth="1"/>
    <col min="11272" max="11273" width="28.33203125" style="98" customWidth="1"/>
    <col min="11274" max="11274" width="21.109375" style="98" bestFit="1" customWidth="1"/>
    <col min="11275" max="11275" width="31.44140625" style="98" bestFit="1" customWidth="1"/>
    <col min="11276" max="11276" width="14.33203125" style="98" bestFit="1" customWidth="1"/>
    <col min="11277" max="11525" width="9.109375" style="98"/>
    <col min="11526" max="11526" width="17.33203125" style="98" bestFit="1" customWidth="1"/>
    <col min="11527" max="11527" width="25.6640625" style="98" customWidth="1"/>
    <col min="11528" max="11529" width="28.33203125" style="98" customWidth="1"/>
    <col min="11530" max="11530" width="21.109375" style="98" bestFit="1" customWidth="1"/>
    <col min="11531" max="11531" width="31.44140625" style="98" bestFit="1" customWidth="1"/>
    <col min="11532" max="11532" width="14.33203125" style="98" bestFit="1" customWidth="1"/>
    <col min="11533" max="11781" width="9.109375" style="98"/>
    <col min="11782" max="11782" width="17.33203125" style="98" bestFit="1" customWidth="1"/>
    <col min="11783" max="11783" width="25.6640625" style="98" customWidth="1"/>
    <col min="11784" max="11785" width="28.33203125" style="98" customWidth="1"/>
    <col min="11786" max="11786" width="21.109375" style="98" bestFit="1" customWidth="1"/>
    <col min="11787" max="11787" width="31.44140625" style="98" bestFit="1" customWidth="1"/>
    <col min="11788" max="11788" width="14.33203125" style="98" bestFit="1" customWidth="1"/>
    <col min="11789" max="12037" width="9.109375" style="98"/>
    <col min="12038" max="12038" width="17.33203125" style="98" bestFit="1" customWidth="1"/>
    <col min="12039" max="12039" width="25.6640625" style="98" customWidth="1"/>
    <col min="12040" max="12041" width="28.33203125" style="98" customWidth="1"/>
    <col min="12042" max="12042" width="21.109375" style="98" bestFit="1" customWidth="1"/>
    <col min="12043" max="12043" width="31.44140625" style="98" bestFit="1" customWidth="1"/>
    <col min="12044" max="12044" width="14.33203125" style="98" bestFit="1" customWidth="1"/>
    <col min="12045" max="12293" width="9.109375" style="98"/>
    <col min="12294" max="12294" width="17.33203125" style="98" bestFit="1" customWidth="1"/>
    <col min="12295" max="12295" width="25.6640625" style="98" customWidth="1"/>
    <col min="12296" max="12297" width="28.33203125" style="98" customWidth="1"/>
    <col min="12298" max="12298" width="21.109375" style="98" bestFit="1" customWidth="1"/>
    <col min="12299" max="12299" width="31.44140625" style="98" bestFit="1" customWidth="1"/>
    <col min="12300" max="12300" width="14.33203125" style="98" bestFit="1" customWidth="1"/>
    <col min="12301" max="12549" width="9.109375" style="98"/>
    <col min="12550" max="12550" width="17.33203125" style="98" bestFit="1" customWidth="1"/>
    <col min="12551" max="12551" width="25.6640625" style="98" customWidth="1"/>
    <col min="12552" max="12553" width="28.33203125" style="98" customWidth="1"/>
    <col min="12554" max="12554" width="21.109375" style="98" bestFit="1" customWidth="1"/>
    <col min="12555" max="12555" width="31.44140625" style="98" bestFit="1" customWidth="1"/>
    <col min="12556" max="12556" width="14.33203125" style="98" bestFit="1" customWidth="1"/>
    <col min="12557" max="12805" width="9.109375" style="98"/>
    <col min="12806" max="12806" width="17.33203125" style="98" bestFit="1" customWidth="1"/>
    <col min="12807" max="12807" width="25.6640625" style="98" customWidth="1"/>
    <col min="12808" max="12809" width="28.33203125" style="98" customWidth="1"/>
    <col min="12810" max="12810" width="21.109375" style="98" bestFit="1" customWidth="1"/>
    <col min="12811" max="12811" width="31.44140625" style="98" bestFit="1" customWidth="1"/>
    <col min="12812" max="12812" width="14.33203125" style="98" bestFit="1" customWidth="1"/>
    <col min="12813" max="13061" width="9.109375" style="98"/>
    <col min="13062" max="13062" width="17.33203125" style="98" bestFit="1" customWidth="1"/>
    <col min="13063" max="13063" width="25.6640625" style="98" customWidth="1"/>
    <col min="13064" max="13065" width="28.33203125" style="98" customWidth="1"/>
    <col min="13066" max="13066" width="21.109375" style="98" bestFit="1" customWidth="1"/>
    <col min="13067" max="13067" width="31.44140625" style="98" bestFit="1" customWidth="1"/>
    <col min="13068" max="13068" width="14.33203125" style="98" bestFit="1" customWidth="1"/>
    <col min="13069" max="13317" width="9.109375" style="98"/>
    <col min="13318" max="13318" width="17.33203125" style="98" bestFit="1" customWidth="1"/>
    <col min="13319" max="13319" width="25.6640625" style="98" customWidth="1"/>
    <col min="13320" max="13321" width="28.33203125" style="98" customWidth="1"/>
    <col min="13322" max="13322" width="21.109375" style="98" bestFit="1" customWidth="1"/>
    <col min="13323" max="13323" width="31.44140625" style="98" bestFit="1" customWidth="1"/>
    <col min="13324" max="13324" width="14.33203125" style="98" bestFit="1" customWidth="1"/>
    <col min="13325" max="13573" width="9.109375" style="98"/>
    <col min="13574" max="13574" width="17.33203125" style="98" bestFit="1" customWidth="1"/>
    <col min="13575" max="13575" width="25.6640625" style="98" customWidth="1"/>
    <col min="13576" max="13577" width="28.33203125" style="98" customWidth="1"/>
    <col min="13578" max="13578" width="21.109375" style="98" bestFit="1" customWidth="1"/>
    <col min="13579" max="13579" width="31.44140625" style="98" bestFit="1" customWidth="1"/>
    <col min="13580" max="13580" width="14.33203125" style="98" bestFit="1" customWidth="1"/>
    <col min="13581" max="13829" width="9.109375" style="98"/>
    <col min="13830" max="13830" width="17.33203125" style="98" bestFit="1" customWidth="1"/>
    <col min="13831" max="13831" width="25.6640625" style="98" customWidth="1"/>
    <col min="13832" max="13833" width="28.33203125" style="98" customWidth="1"/>
    <col min="13834" max="13834" width="21.109375" style="98" bestFit="1" customWidth="1"/>
    <col min="13835" max="13835" width="31.44140625" style="98" bestFit="1" customWidth="1"/>
    <col min="13836" max="13836" width="14.33203125" style="98" bestFit="1" customWidth="1"/>
    <col min="13837" max="14085" width="9.109375" style="98"/>
    <col min="14086" max="14086" width="17.33203125" style="98" bestFit="1" customWidth="1"/>
    <col min="14087" max="14087" width="25.6640625" style="98" customWidth="1"/>
    <col min="14088" max="14089" width="28.33203125" style="98" customWidth="1"/>
    <col min="14090" max="14090" width="21.109375" style="98" bestFit="1" customWidth="1"/>
    <col min="14091" max="14091" width="31.44140625" style="98" bestFit="1" customWidth="1"/>
    <col min="14092" max="14092" width="14.33203125" style="98" bestFit="1" customWidth="1"/>
    <col min="14093" max="14341" width="9.109375" style="98"/>
    <col min="14342" max="14342" width="17.33203125" style="98" bestFit="1" customWidth="1"/>
    <col min="14343" max="14343" width="25.6640625" style="98" customWidth="1"/>
    <col min="14344" max="14345" width="28.33203125" style="98" customWidth="1"/>
    <col min="14346" max="14346" width="21.109375" style="98" bestFit="1" customWidth="1"/>
    <col min="14347" max="14347" width="31.44140625" style="98" bestFit="1" customWidth="1"/>
    <col min="14348" max="14348" width="14.33203125" style="98" bestFit="1" customWidth="1"/>
    <col min="14349" max="14597" width="9.109375" style="98"/>
    <col min="14598" max="14598" width="17.33203125" style="98" bestFit="1" customWidth="1"/>
    <col min="14599" max="14599" width="25.6640625" style="98" customWidth="1"/>
    <col min="14600" max="14601" width="28.33203125" style="98" customWidth="1"/>
    <col min="14602" max="14602" width="21.109375" style="98" bestFit="1" customWidth="1"/>
    <col min="14603" max="14603" width="31.44140625" style="98" bestFit="1" customWidth="1"/>
    <col min="14604" max="14604" width="14.33203125" style="98" bestFit="1" customWidth="1"/>
    <col min="14605" max="14853" width="9.109375" style="98"/>
    <col min="14854" max="14854" width="17.33203125" style="98" bestFit="1" customWidth="1"/>
    <col min="14855" max="14855" width="25.6640625" style="98" customWidth="1"/>
    <col min="14856" max="14857" width="28.33203125" style="98" customWidth="1"/>
    <col min="14858" max="14858" width="21.109375" style="98" bestFit="1" customWidth="1"/>
    <col min="14859" max="14859" width="31.44140625" style="98" bestFit="1" customWidth="1"/>
    <col min="14860" max="14860" width="14.33203125" style="98" bestFit="1" customWidth="1"/>
    <col min="14861" max="15109" width="9.109375" style="98"/>
    <col min="15110" max="15110" width="17.33203125" style="98" bestFit="1" customWidth="1"/>
    <col min="15111" max="15111" width="25.6640625" style="98" customWidth="1"/>
    <col min="15112" max="15113" width="28.33203125" style="98" customWidth="1"/>
    <col min="15114" max="15114" width="21.109375" style="98" bestFit="1" customWidth="1"/>
    <col min="15115" max="15115" width="31.44140625" style="98" bestFit="1" customWidth="1"/>
    <col min="15116" max="15116" width="14.33203125" style="98" bestFit="1" customWidth="1"/>
    <col min="15117" max="15365" width="9.109375" style="98"/>
    <col min="15366" max="15366" width="17.33203125" style="98" bestFit="1" customWidth="1"/>
    <col min="15367" max="15367" width="25.6640625" style="98" customWidth="1"/>
    <col min="15368" max="15369" width="28.33203125" style="98" customWidth="1"/>
    <col min="15370" max="15370" width="21.109375" style="98" bestFit="1" customWidth="1"/>
    <col min="15371" max="15371" width="31.44140625" style="98" bestFit="1" customWidth="1"/>
    <col min="15372" max="15372" width="14.33203125" style="98" bestFit="1" customWidth="1"/>
    <col min="15373" max="15621" width="9.109375" style="98"/>
    <col min="15622" max="15622" width="17.33203125" style="98" bestFit="1" customWidth="1"/>
    <col min="15623" max="15623" width="25.6640625" style="98" customWidth="1"/>
    <col min="15624" max="15625" width="28.33203125" style="98" customWidth="1"/>
    <col min="15626" max="15626" width="21.109375" style="98" bestFit="1" customWidth="1"/>
    <col min="15627" max="15627" width="31.44140625" style="98" bestFit="1" customWidth="1"/>
    <col min="15628" max="15628" width="14.33203125" style="98" bestFit="1" customWidth="1"/>
    <col min="15629" max="15877" width="9.109375" style="98"/>
    <col min="15878" max="15878" width="17.33203125" style="98" bestFit="1" customWidth="1"/>
    <col min="15879" max="15879" width="25.6640625" style="98" customWidth="1"/>
    <col min="15880" max="15881" width="28.33203125" style="98" customWidth="1"/>
    <col min="15882" max="15882" width="21.109375" style="98" bestFit="1" customWidth="1"/>
    <col min="15883" max="15883" width="31.44140625" style="98" bestFit="1" customWidth="1"/>
    <col min="15884" max="15884" width="14.33203125" style="98" bestFit="1" customWidth="1"/>
    <col min="15885" max="16133" width="9.109375" style="98"/>
    <col min="16134" max="16134" width="17.33203125" style="98" bestFit="1" customWidth="1"/>
    <col min="16135" max="16135" width="25.6640625" style="98" customWidth="1"/>
    <col min="16136" max="16137" width="28.33203125" style="98" customWidth="1"/>
    <col min="16138" max="16138" width="21.109375" style="98" bestFit="1" customWidth="1"/>
    <col min="16139" max="16139" width="31.44140625" style="98" bestFit="1" customWidth="1"/>
    <col min="16140" max="16140" width="14.33203125" style="98" bestFit="1" customWidth="1"/>
    <col min="16141" max="16384" width="9.109375" style="98"/>
  </cols>
  <sheetData>
    <row r="1" spans="1:20">
      <c r="A1" t="s">
        <v>71</v>
      </c>
    </row>
    <row r="2" spans="1:20">
      <c r="A2" s="1" t="s">
        <v>2</v>
      </c>
      <c r="T2" s="101"/>
    </row>
    <row r="3" spans="1:20">
      <c r="A3" s="97" t="s">
        <v>191</v>
      </c>
    </row>
    <row r="4" spans="1:20" s="101" customFormat="1" ht="13.2">
      <c r="A4" s="100" t="s">
        <v>4</v>
      </c>
      <c r="B4" s="100" t="s">
        <v>192</v>
      </c>
      <c r="C4" s="100" t="s">
        <v>193</v>
      </c>
      <c r="D4" s="100" t="s">
        <v>194</v>
      </c>
      <c r="E4" s="100" t="s">
        <v>195</v>
      </c>
      <c r="F4" s="100" t="s">
        <v>196</v>
      </c>
      <c r="G4" s="100" t="s">
        <v>197</v>
      </c>
      <c r="H4" s="100" t="s">
        <v>198</v>
      </c>
      <c r="I4" s="100"/>
      <c r="J4" s="100" t="s">
        <v>205</v>
      </c>
      <c r="K4" s="100" t="s">
        <v>206</v>
      </c>
      <c r="N4" s="100" t="s">
        <v>4</v>
      </c>
      <c r="O4" s="100" t="s">
        <v>207</v>
      </c>
      <c r="P4" s="100"/>
      <c r="R4" s="100" t="s">
        <v>4</v>
      </c>
      <c r="S4" s="100" t="s">
        <v>211</v>
      </c>
    </row>
    <row r="5" spans="1:20" s="101" customFormat="1" ht="13.2">
      <c r="A5" s="101">
        <v>1910</v>
      </c>
      <c r="B5" s="101">
        <v>190</v>
      </c>
      <c r="C5" s="102"/>
      <c r="D5" s="102"/>
      <c r="E5" s="102">
        <v>28</v>
      </c>
      <c r="F5" s="102">
        <v>19</v>
      </c>
      <c r="G5" s="102"/>
      <c r="H5" s="102">
        <v>30.5</v>
      </c>
      <c r="I5" s="102"/>
      <c r="J5" s="101">
        <f t="shared" ref="J5:J23" si="0">B5</f>
        <v>190</v>
      </c>
      <c r="K5" s="101">
        <f>125000000000000*EXP(-0.01423*A5)</f>
        <v>196.37671959566759</v>
      </c>
      <c r="N5" s="101">
        <v>1910</v>
      </c>
      <c r="O5" s="104">
        <f>90000000000000*EXP(-0.01423*N5)</f>
        <v>141.39123810888066</v>
      </c>
      <c r="R5" s="101">
        <v>1950</v>
      </c>
      <c r="S5" s="101">
        <f>30000000000*(EXP(-0.01020975*R5))</f>
        <v>67.724683768156794</v>
      </c>
    </row>
    <row r="6" spans="1:20" s="101" customFormat="1" ht="13.2">
      <c r="A6" s="101">
        <v>1912</v>
      </c>
      <c r="B6" s="101">
        <v>147.5</v>
      </c>
      <c r="C6" s="102"/>
      <c r="D6" s="102"/>
      <c r="E6" s="102">
        <v>28</v>
      </c>
      <c r="F6" s="102">
        <v>19</v>
      </c>
      <c r="G6" s="102"/>
      <c r="H6" s="102">
        <v>30.5</v>
      </c>
      <c r="I6" s="102"/>
      <c r="J6" s="101">
        <f t="shared" si="0"/>
        <v>147.5</v>
      </c>
      <c r="K6" s="101">
        <f>125000000000000*EXP(-0.01423*A6)</f>
        <v>190.86661880398231</v>
      </c>
      <c r="N6" s="101">
        <v>1911</v>
      </c>
      <c r="O6" s="104">
        <f t="shared" ref="O6:O68" si="1">90000000000000*EXP(-0.01423*N6)</f>
        <v>139.39348848985949</v>
      </c>
      <c r="R6" s="101">
        <v>1951</v>
      </c>
      <c r="S6" s="101">
        <f t="shared" ref="S6:S69" si="2">30000000000*(EXP(-0.01020975*R6))</f>
        <v>67.036749472430571</v>
      </c>
    </row>
    <row r="7" spans="1:20" s="101" customFormat="1" ht="13.2">
      <c r="A7" s="101">
        <v>1915</v>
      </c>
      <c r="B7" s="101">
        <v>117</v>
      </c>
      <c r="C7" s="102"/>
      <c r="D7" s="102"/>
      <c r="E7" s="102">
        <v>28</v>
      </c>
      <c r="F7" s="102">
        <v>19</v>
      </c>
      <c r="G7" s="102"/>
      <c r="H7" s="102">
        <v>30.5</v>
      </c>
      <c r="I7" s="102"/>
      <c r="J7" s="101">
        <f t="shared" si="0"/>
        <v>117</v>
      </c>
      <c r="K7" s="101">
        <f t="shared" ref="K7:K69" si="3">125000000000000*EXP(-0.01423*A7)</f>
        <v>182.88999524748715</v>
      </c>
      <c r="N7" s="101">
        <v>1912</v>
      </c>
      <c r="O7" s="104">
        <f t="shared" si="1"/>
        <v>137.42396553886726</v>
      </c>
      <c r="R7" s="101">
        <v>1952</v>
      </c>
      <c r="S7" s="101">
        <f t="shared" si="2"/>
        <v>66.355803080802559</v>
      </c>
    </row>
    <row r="8" spans="1:20" s="101" customFormat="1" ht="13.2">
      <c r="A8" s="101">
        <v>1915</v>
      </c>
      <c r="B8" s="101">
        <v>163.9</v>
      </c>
      <c r="C8" s="102"/>
      <c r="D8" s="102"/>
      <c r="E8" s="102">
        <v>28</v>
      </c>
      <c r="F8" s="102">
        <v>19</v>
      </c>
      <c r="G8" s="102"/>
      <c r="H8" s="102">
        <v>30.5</v>
      </c>
      <c r="I8" s="102"/>
      <c r="J8" s="101">
        <f t="shared" si="0"/>
        <v>163.9</v>
      </c>
      <c r="K8" s="101">
        <f t="shared" si="3"/>
        <v>182.88999524748715</v>
      </c>
      <c r="N8" s="101">
        <v>1913</v>
      </c>
      <c r="O8" s="104">
        <f t="shared" si="1"/>
        <v>135.48227043476066</v>
      </c>
      <c r="R8" s="101">
        <v>1953</v>
      </c>
      <c r="S8" s="101">
        <f t="shared" si="2"/>
        <v>65.681773611488111</v>
      </c>
    </row>
    <row r="9" spans="1:20" s="101" customFormat="1" ht="13.2">
      <c r="A9" s="101">
        <v>1917</v>
      </c>
      <c r="B9" s="101">
        <v>136.80000000000001</v>
      </c>
      <c r="C9" s="102"/>
      <c r="D9" s="102"/>
      <c r="E9" s="102">
        <v>28</v>
      </c>
      <c r="F9" s="102">
        <v>19</v>
      </c>
      <c r="G9" s="102"/>
      <c r="H9" s="102">
        <v>30.5</v>
      </c>
      <c r="I9" s="102"/>
      <c r="J9" s="101">
        <f t="shared" si="0"/>
        <v>136.80000000000001</v>
      </c>
      <c r="K9" s="101">
        <f t="shared" si="3"/>
        <v>177.75831614785008</v>
      </c>
      <c r="N9" s="101">
        <v>1914</v>
      </c>
      <c r="O9" s="104">
        <f t="shared" si="1"/>
        <v>133.5680099914315</v>
      </c>
      <c r="R9" s="101">
        <v>1954</v>
      </c>
      <c r="S9" s="101">
        <f t="shared" si="2"/>
        <v>65.014590803722641</v>
      </c>
    </row>
    <row r="10" spans="1:20" s="101" customFormat="1" ht="13.2">
      <c r="A10" s="101">
        <v>1920</v>
      </c>
      <c r="B10" s="101">
        <v>94.5</v>
      </c>
      <c r="C10" s="102"/>
      <c r="D10" s="102"/>
      <c r="E10" s="102">
        <v>28</v>
      </c>
      <c r="F10" s="102">
        <v>19</v>
      </c>
      <c r="G10" s="102"/>
      <c r="H10" s="102">
        <v>30.5</v>
      </c>
      <c r="I10" s="102"/>
      <c r="J10" s="101">
        <f t="shared" si="0"/>
        <v>94.5</v>
      </c>
      <c r="K10" s="101">
        <f t="shared" si="3"/>
        <v>170.32950968167577</v>
      </c>
      <c r="N10" s="101">
        <v>1915</v>
      </c>
      <c r="O10" s="104">
        <f t="shared" si="1"/>
        <v>131.68079657819075</v>
      </c>
      <c r="R10" s="101">
        <v>1955</v>
      </c>
      <c r="S10" s="101">
        <f t="shared" si="2"/>
        <v>64.354185110436845</v>
      </c>
    </row>
    <row r="11" spans="1:20" s="101" customFormat="1" ht="13.2">
      <c r="A11" s="101">
        <v>1930</v>
      </c>
      <c r="B11" s="101">
        <v>72</v>
      </c>
      <c r="C11" s="102"/>
      <c r="D11" s="102"/>
      <c r="E11" s="102">
        <v>28</v>
      </c>
      <c r="F11" s="102">
        <v>19</v>
      </c>
      <c r="G11" s="102"/>
      <c r="H11" s="102">
        <v>30.5</v>
      </c>
      <c r="I11" s="102"/>
      <c r="J11" s="101">
        <f t="shared" si="0"/>
        <v>72</v>
      </c>
      <c r="K11" s="101">
        <f t="shared" si="3"/>
        <v>147.73717540518604</v>
      </c>
      <c r="N11" s="101">
        <v>1916</v>
      </c>
      <c r="O11" s="104">
        <f t="shared" si="1"/>
        <v>129.82024804127332</v>
      </c>
      <c r="R11" s="101">
        <v>1956</v>
      </c>
      <c r="S11" s="101">
        <f t="shared" si="2"/>
        <v>63.700487691006465</v>
      </c>
    </row>
    <row r="12" spans="1:20" s="101" customFormat="1" ht="13.2">
      <c r="A12" s="101">
        <v>1930</v>
      </c>
      <c r="B12" s="101">
        <v>81.900000000000006</v>
      </c>
      <c r="C12" s="102"/>
      <c r="D12" s="102"/>
      <c r="E12" s="102">
        <v>28</v>
      </c>
      <c r="F12" s="102">
        <v>19</v>
      </c>
      <c r="G12" s="102"/>
      <c r="H12" s="102">
        <v>30.5</v>
      </c>
      <c r="I12" s="102"/>
      <c r="J12" s="101">
        <f t="shared" si="0"/>
        <v>81.900000000000006</v>
      </c>
      <c r="K12" s="101">
        <f t="shared" si="3"/>
        <v>147.73717540518604</v>
      </c>
      <c r="N12" s="101">
        <v>1917</v>
      </c>
      <c r="O12" s="104">
        <f t="shared" si="1"/>
        <v>127.98598762645207</v>
      </c>
      <c r="R12" s="101">
        <v>1957</v>
      </c>
      <c r="S12" s="101">
        <f t="shared" si="2"/>
        <v>63.053430404077744</v>
      </c>
    </row>
    <row r="13" spans="1:20" s="101" customFormat="1" ht="13.2">
      <c r="A13" s="101">
        <v>1939</v>
      </c>
      <c r="B13" s="101">
        <v>84.4</v>
      </c>
      <c r="C13" s="102"/>
      <c r="D13" s="102"/>
      <c r="E13" s="102">
        <v>28</v>
      </c>
      <c r="F13" s="102">
        <v>19</v>
      </c>
      <c r="G13" s="102"/>
      <c r="H13" s="102">
        <v>30.5</v>
      </c>
      <c r="I13" s="102"/>
      <c r="J13" s="101">
        <f t="shared" si="0"/>
        <v>84.4</v>
      </c>
      <c r="K13" s="101">
        <f t="shared" si="3"/>
        <v>129.97795423028825</v>
      </c>
      <c r="N13" s="101">
        <v>1918</v>
      </c>
      <c r="O13" s="104">
        <f t="shared" si="1"/>
        <v>126.17764390274951</v>
      </c>
      <c r="R13" s="101">
        <v>1958</v>
      </c>
      <c r="S13" s="101">
        <f t="shared" si="2"/>
        <v>62.412945800463682</v>
      </c>
    </row>
    <row r="14" spans="1:20" s="101" customFormat="1" ht="13.2">
      <c r="A14" s="101">
        <v>1940</v>
      </c>
      <c r="B14" s="101">
        <v>88</v>
      </c>
      <c r="C14" s="102"/>
      <c r="D14" s="102"/>
      <c r="E14" s="102">
        <v>28</v>
      </c>
      <c r="F14" s="102">
        <v>19</v>
      </c>
      <c r="G14" s="102"/>
      <c r="H14" s="102">
        <v>30.5</v>
      </c>
      <c r="I14" s="102"/>
      <c r="J14" s="101">
        <f t="shared" si="0"/>
        <v>88</v>
      </c>
      <c r="K14" s="101">
        <f t="shared" si="3"/>
        <v>128.14146554812046</v>
      </c>
      <c r="N14" s="101">
        <v>1919</v>
      </c>
      <c r="O14" s="104">
        <f t="shared" si="1"/>
        <v>124.39485068722087</v>
      </c>
      <c r="R14" s="101">
        <v>1959</v>
      </c>
      <c r="S14" s="101">
        <f t="shared" si="2"/>
        <v>61.778967116112426</v>
      </c>
    </row>
    <row r="15" spans="1:20" s="101" customFormat="1" ht="13.2">
      <c r="A15" s="101">
        <v>1940</v>
      </c>
      <c r="B15" s="101">
        <v>63</v>
      </c>
      <c r="C15" s="102"/>
      <c r="D15" s="102"/>
      <c r="E15" s="102">
        <v>28</v>
      </c>
      <c r="F15" s="102">
        <v>19</v>
      </c>
      <c r="G15" s="102"/>
      <c r="H15" s="102">
        <v>30.5</v>
      </c>
      <c r="I15" s="102"/>
      <c r="J15" s="101">
        <f t="shared" si="0"/>
        <v>63</v>
      </c>
      <c r="K15" s="101">
        <f t="shared" si="3"/>
        <v>128.14146554812046</v>
      </c>
      <c r="N15" s="101">
        <v>1920</v>
      </c>
      <c r="O15" s="104">
        <f t="shared" si="1"/>
        <v>122.63724697080654</v>
      </c>
      <c r="R15" s="101">
        <v>1960</v>
      </c>
      <c r="S15" s="101">
        <f t="shared" si="2"/>
        <v>61.151428265149441</v>
      </c>
    </row>
    <row r="16" spans="1:20" s="101" customFormat="1" ht="13.2">
      <c r="A16" s="101">
        <v>1943</v>
      </c>
      <c r="B16" s="101">
        <v>45.3</v>
      </c>
      <c r="C16" s="102"/>
      <c r="D16" s="102"/>
      <c r="E16" s="102">
        <v>28</v>
      </c>
      <c r="F16" s="102">
        <v>19</v>
      </c>
      <c r="G16" s="102"/>
      <c r="H16" s="102">
        <v>30.5</v>
      </c>
      <c r="I16" s="102"/>
      <c r="J16" s="101">
        <f t="shared" si="0"/>
        <v>45.3</v>
      </c>
      <c r="K16" s="101">
        <f t="shared" si="3"/>
        <v>122.78622721959603</v>
      </c>
      <c r="N16" s="101">
        <v>1921</v>
      </c>
      <c r="O16" s="104">
        <f t="shared" si="1"/>
        <v>120.90447684522771</v>
      </c>
      <c r="R16" s="101">
        <v>1961</v>
      </c>
      <c r="S16" s="101">
        <f t="shared" si="2"/>
        <v>60.530263832986861</v>
      </c>
    </row>
    <row r="17" spans="1:19" s="101" customFormat="1" ht="13.2">
      <c r="A17" s="101">
        <v>1945</v>
      </c>
      <c r="B17" s="101">
        <v>65.7</v>
      </c>
      <c r="C17" s="102"/>
      <c r="D17" s="102"/>
      <c r="E17" s="102">
        <v>28</v>
      </c>
      <c r="F17" s="102">
        <v>19</v>
      </c>
      <c r="G17" s="102"/>
      <c r="H17" s="102">
        <v>30.5</v>
      </c>
      <c r="I17" s="102"/>
      <c r="J17" s="101">
        <f t="shared" si="0"/>
        <v>65.7</v>
      </c>
      <c r="K17" s="101">
        <f t="shared" si="3"/>
        <v>119.3409894683811</v>
      </c>
      <c r="N17" s="101">
        <v>1922</v>
      </c>
      <c r="O17" s="104">
        <f t="shared" si="1"/>
        <v>119.19618943091488</v>
      </c>
      <c r="R17" s="101">
        <v>1962</v>
      </c>
      <c r="S17" s="101">
        <f t="shared" si="2"/>
        <v>59.915409069506275</v>
      </c>
    </row>
    <row r="18" spans="1:19" s="101" customFormat="1" ht="13.2">
      <c r="A18" s="101">
        <v>1948</v>
      </c>
      <c r="B18" s="101">
        <v>67.2</v>
      </c>
      <c r="C18" s="102"/>
      <c r="D18" s="102"/>
      <c r="E18" s="102">
        <v>28</v>
      </c>
      <c r="F18" s="102">
        <v>19</v>
      </c>
      <c r="G18" s="102"/>
      <c r="H18" s="102">
        <v>30.5</v>
      </c>
      <c r="I18" s="102"/>
      <c r="J18" s="101">
        <f t="shared" si="0"/>
        <v>67.2</v>
      </c>
      <c r="K18" s="101">
        <f t="shared" si="3"/>
        <v>114.35353721604901</v>
      </c>
      <c r="N18" s="101">
        <v>1923</v>
      </c>
      <c r="O18" s="104">
        <f t="shared" si="1"/>
        <v>117.51203880595881</v>
      </c>
      <c r="R18" s="101">
        <v>1963</v>
      </c>
      <c r="S18" s="101">
        <f t="shared" si="2"/>
        <v>59.306799882308489</v>
      </c>
    </row>
    <row r="19" spans="1:19" s="101" customFormat="1" ht="13.2">
      <c r="A19" s="101">
        <v>1950</v>
      </c>
      <c r="B19" s="101">
        <v>54.9</v>
      </c>
      <c r="C19" s="102"/>
      <c r="D19" s="102"/>
      <c r="E19" s="102">
        <v>28</v>
      </c>
      <c r="F19" s="102">
        <v>19</v>
      </c>
      <c r="G19" s="102"/>
      <c r="H19" s="102">
        <v>30.5</v>
      </c>
      <c r="I19" s="102"/>
      <c r="J19" s="101">
        <f t="shared" si="0"/>
        <v>54.9</v>
      </c>
      <c r="K19" s="101">
        <f t="shared" si="3"/>
        <v>111.14491087152386</v>
      </c>
      <c r="N19" s="101">
        <v>1924</v>
      </c>
      <c r="O19" s="104">
        <f t="shared" si="1"/>
        <v>115.85168393606111</v>
      </c>
      <c r="R19" s="101">
        <v>1964</v>
      </c>
      <c r="S19" s="101">
        <f t="shared" si="2"/>
        <v>58.704372830031957</v>
      </c>
    </row>
    <row r="20" spans="1:19" s="101" customFormat="1" ht="13.2">
      <c r="A20" s="101">
        <v>1950</v>
      </c>
      <c r="B20" s="101">
        <v>63</v>
      </c>
      <c r="C20" s="102"/>
      <c r="D20" s="102"/>
      <c r="E20" s="102">
        <v>28</v>
      </c>
      <c r="F20" s="102">
        <v>19</v>
      </c>
      <c r="G20" s="102"/>
      <c r="H20" s="102">
        <v>30.5</v>
      </c>
      <c r="I20" s="102"/>
      <c r="J20" s="101">
        <f t="shared" si="0"/>
        <v>63</v>
      </c>
      <c r="K20" s="101">
        <f t="shared" si="3"/>
        <v>111.14491087152386</v>
      </c>
      <c r="N20" s="101">
        <v>1925</v>
      </c>
      <c r="O20" s="104">
        <f t="shared" si="1"/>
        <v>114.21478860547492</v>
      </c>
      <c r="R20" s="101">
        <v>1965</v>
      </c>
      <c r="S20" s="101">
        <f t="shared" si="2"/>
        <v>58.108065115740857</v>
      </c>
    </row>
    <row r="21" spans="1:19" s="101" customFormat="1" ht="13.2">
      <c r="A21" s="101">
        <v>1952</v>
      </c>
      <c r="B21" s="101">
        <v>65.14</v>
      </c>
      <c r="C21" s="102"/>
      <c r="D21" s="102"/>
      <c r="E21" s="102">
        <v>28</v>
      </c>
      <c r="F21" s="102">
        <v>19</v>
      </c>
      <c r="G21" s="102"/>
      <c r="H21" s="102">
        <v>30.5</v>
      </c>
      <c r="I21" s="102"/>
      <c r="J21" s="101">
        <f t="shared" si="0"/>
        <v>65.14</v>
      </c>
      <c r="K21" s="101">
        <f t="shared" si="3"/>
        <v>108.02631482487512</v>
      </c>
      <c r="N21" s="101">
        <v>1926</v>
      </c>
      <c r="O21" s="104">
        <f t="shared" si="1"/>
        <v>112.60102134892493</v>
      </c>
      <c r="R21" s="101">
        <v>1966</v>
      </c>
      <c r="S21" s="101">
        <f t="shared" si="2"/>
        <v>57.517814580378577</v>
      </c>
    </row>
    <row r="22" spans="1:19" s="101" customFormat="1" ht="13.2">
      <c r="A22" s="101">
        <v>1953</v>
      </c>
      <c r="B22" s="101">
        <v>61.21</v>
      </c>
      <c r="C22" s="102"/>
      <c r="D22" s="102"/>
      <c r="E22" s="102">
        <v>28</v>
      </c>
      <c r="F22" s="102">
        <v>19</v>
      </c>
      <c r="G22" s="102"/>
      <c r="H22" s="102">
        <v>30.5</v>
      </c>
      <c r="I22" s="102"/>
      <c r="J22" s="101">
        <f t="shared" si="0"/>
        <v>61.21</v>
      </c>
      <c r="K22" s="101">
        <f t="shared" si="3"/>
        <v>106.49998595066675</v>
      </c>
      <c r="N22" s="101">
        <v>1927</v>
      </c>
      <c r="O22" s="104">
        <f t="shared" si="1"/>
        <v>111.0100553844857</v>
      </c>
      <c r="R22" s="101">
        <v>1967</v>
      </c>
      <c r="S22" s="101">
        <f t="shared" si="2"/>
        <v>56.933559696287588</v>
      </c>
    </row>
    <row r="23" spans="1:19" s="101" customFormat="1" ht="13.2">
      <c r="A23" s="101">
        <v>1955</v>
      </c>
      <c r="B23" s="101">
        <v>53.72</v>
      </c>
      <c r="C23" s="102"/>
      <c r="D23" s="102">
        <v>61.5</v>
      </c>
      <c r="E23" s="102">
        <v>28</v>
      </c>
      <c r="F23" s="102">
        <v>19</v>
      </c>
      <c r="G23" s="102"/>
      <c r="H23" s="102">
        <v>30.5</v>
      </c>
      <c r="I23" s="102"/>
      <c r="J23" s="101">
        <f t="shared" si="0"/>
        <v>53.72</v>
      </c>
      <c r="K23" s="101">
        <f t="shared" si="3"/>
        <v>103.51172105801848</v>
      </c>
      <c r="N23" s="101">
        <v>1928</v>
      </c>
      <c r="O23" s="104">
        <f t="shared" si="1"/>
        <v>109.44156854740818</v>
      </c>
      <c r="R23" s="101">
        <v>1968</v>
      </c>
      <c r="S23" s="101">
        <f t="shared" si="2"/>
        <v>56.355239560797273</v>
      </c>
    </row>
    <row r="24" spans="1:19" s="101" customFormat="1" ht="13.2">
      <c r="A24" s="101">
        <v>1955</v>
      </c>
      <c r="C24" s="102"/>
      <c r="D24" s="102"/>
      <c r="E24" s="102">
        <v>28</v>
      </c>
      <c r="F24" s="102">
        <v>19</v>
      </c>
      <c r="G24" s="102"/>
      <c r="H24" s="102">
        <v>30.5</v>
      </c>
      <c r="I24" s="102"/>
      <c r="K24" s="101">
        <f t="shared" si="3"/>
        <v>103.51172105801848</v>
      </c>
      <c r="N24" s="101">
        <v>1929</v>
      </c>
      <c r="O24" s="104">
        <f t="shared" si="1"/>
        <v>107.89524322488539</v>
      </c>
      <c r="R24" s="101">
        <v>1969</v>
      </c>
      <c r="S24" s="101">
        <f t="shared" si="2"/>
        <v>55.782793889873858</v>
      </c>
    </row>
    <row r="25" spans="1:19" s="101" customFormat="1" ht="13.2">
      <c r="A25" s="101">
        <v>1960</v>
      </c>
      <c r="B25" s="101">
        <v>45.9</v>
      </c>
      <c r="C25" s="102"/>
      <c r="D25" s="102"/>
      <c r="E25" s="102">
        <v>28</v>
      </c>
      <c r="F25" s="102">
        <v>19</v>
      </c>
      <c r="G25" s="102"/>
      <c r="H25" s="102">
        <v>30.5</v>
      </c>
      <c r="I25" s="102"/>
      <c r="J25" s="101">
        <f t="shared" ref="J25:J33" si="4">B25</f>
        <v>45.9</v>
      </c>
      <c r="K25" s="101">
        <f t="shared" si="3"/>
        <v>96.402762055191886</v>
      </c>
      <c r="N25" s="101">
        <v>1930</v>
      </c>
      <c r="O25" s="104">
        <f t="shared" si="1"/>
        <v>106.37076629173394</v>
      </c>
      <c r="R25" s="101">
        <v>1970</v>
      </c>
      <c r="S25" s="101">
        <f t="shared" si="2"/>
        <v>55.216163011837722</v>
      </c>
    </row>
    <row r="26" spans="1:19" s="101" customFormat="1" ht="13.2">
      <c r="A26" s="101">
        <v>1960</v>
      </c>
      <c r="B26" s="101">
        <v>63</v>
      </c>
      <c r="C26" s="102"/>
      <c r="D26" s="102"/>
      <c r="E26" s="102">
        <v>28</v>
      </c>
      <c r="F26" s="102">
        <v>19</v>
      </c>
      <c r="G26" s="102"/>
      <c r="H26" s="102">
        <v>30.5</v>
      </c>
      <c r="I26" s="102"/>
      <c r="J26" s="101">
        <f t="shared" si="4"/>
        <v>63</v>
      </c>
      <c r="K26" s="101">
        <f t="shared" si="3"/>
        <v>96.402762055191886</v>
      </c>
      <c r="N26" s="101">
        <v>1931</v>
      </c>
      <c r="O26" s="104">
        <f t="shared" si="1"/>
        <v>104.86782904698997</v>
      </c>
      <c r="R26" s="101">
        <v>1971</v>
      </c>
      <c r="S26" s="101">
        <f t="shared" si="2"/>
        <v>54.655287861142675</v>
      </c>
    </row>
    <row r="27" spans="1:19" s="101" customFormat="1" ht="13.2">
      <c r="A27" s="101">
        <v>1960</v>
      </c>
      <c r="B27" s="101">
        <v>51.3</v>
      </c>
      <c r="C27" s="102"/>
      <c r="D27" s="102"/>
      <c r="E27" s="102">
        <v>28</v>
      </c>
      <c r="F27" s="102">
        <v>19</v>
      </c>
      <c r="G27" s="102"/>
      <c r="H27" s="102">
        <v>30.5</v>
      </c>
      <c r="I27" s="102"/>
      <c r="J27" s="101">
        <f t="shared" si="4"/>
        <v>51.3</v>
      </c>
      <c r="K27" s="101">
        <f t="shared" si="3"/>
        <v>96.402762055191886</v>
      </c>
      <c r="N27" s="101">
        <v>1932</v>
      </c>
      <c r="O27" s="104">
        <f t="shared" si="1"/>
        <v>103.38612715139712</v>
      </c>
      <c r="R27" s="101">
        <v>1972</v>
      </c>
      <c r="S27" s="101">
        <f t="shared" si="2"/>
        <v>54.100109972218412</v>
      </c>
    </row>
    <row r="28" spans="1:19" s="101" customFormat="1" ht="13.2">
      <c r="A28" s="101">
        <v>1961</v>
      </c>
      <c r="B28" s="101">
        <v>60.6</v>
      </c>
      <c r="C28" s="102"/>
      <c r="D28" s="102"/>
      <c r="E28" s="102">
        <v>28</v>
      </c>
      <c r="F28" s="102">
        <v>19</v>
      </c>
      <c r="G28" s="102"/>
      <c r="H28" s="102">
        <v>30.5</v>
      </c>
      <c r="I28" s="102"/>
      <c r="J28" s="101">
        <f t="shared" si="4"/>
        <v>60.6</v>
      </c>
      <c r="K28" s="101">
        <f t="shared" si="3"/>
        <v>95.040665055800446</v>
      </c>
      <c r="N28" s="101">
        <v>1933</v>
      </c>
      <c r="O28" s="104">
        <f t="shared" si="1"/>
        <v>101.92536056577794</v>
      </c>
      <c r="R28" s="101">
        <v>1973</v>
      </c>
      <c r="S28" s="101">
        <f t="shared" si="2"/>
        <v>53.550571473377389</v>
      </c>
    </row>
    <row r="29" spans="1:19" s="101" customFormat="1" ht="13.2">
      <c r="A29" s="101">
        <v>1961</v>
      </c>
      <c r="B29" s="101">
        <v>46.18</v>
      </c>
      <c r="C29" s="102"/>
      <c r="D29" s="102"/>
      <c r="E29" s="102">
        <v>28</v>
      </c>
      <c r="F29" s="102">
        <v>19</v>
      </c>
      <c r="G29" s="102"/>
      <c r="H29" s="102">
        <v>30.5</v>
      </c>
      <c r="I29" s="102"/>
      <c r="J29" s="101">
        <f t="shared" si="4"/>
        <v>46.18</v>
      </c>
      <c r="K29" s="101">
        <f t="shared" si="3"/>
        <v>95.040665055800446</v>
      </c>
      <c r="N29" s="101">
        <v>1934</v>
      </c>
      <c r="O29" s="104">
        <f t="shared" si="1"/>
        <v>100.48523349027927</v>
      </c>
      <c r="R29" s="101">
        <v>1974</v>
      </c>
      <c r="S29" s="101">
        <f t="shared" si="2"/>
        <v>53.006615080780762</v>
      </c>
    </row>
    <row r="30" spans="1:19" s="101" customFormat="1" ht="13.2">
      <c r="A30" s="101">
        <v>1963</v>
      </c>
      <c r="B30" s="101">
        <v>52.9</v>
      </c>
      <c r="C30" s="102"/>
      <c r="D30" s="102"/>
      <c r="E30" s="102">
        <v>28</v>
      </c>
      <c r="F30" s="102">
        <v>19</v>
      </c>
      <c r="G30" s="102"/>
      <c r="H30" s="102">
        <v>30.5</v>
      </c>
      <c r="I30" s="102"/>
      <c r="J30" s="101">
        <f t="shared" si="4"/>
        <v>52.9</v>
      </c>
      <c r="K30" s="101">
        <f t="shared" si="3"/>
        <v>92.373935288420469</v>
      </c>
      <c r="N30" s="101">
        <v>1935</v>
      </c>
      <c r="O30" s="104">
        <f t="shared" si="1"/>
        <v>99.065454304472709</v>
      </c>
      <c r="R30" s="101">
        <v>1975</v>
      </c>
      <c r="S30" s="101">
        <f t="shared" si="2"/>
        <v>52.468184092468448</v>
      </c>
    </row>
    <row r="31" spans="1:19" s="101" customFormat="1" ht="13.2">
      <c r="A31" s="101">
        <v>1963</v>
      </c>
      <c r="B31" s="101">
        <v>44.76</v>
      </c>
      <c r="C31" s="102"/>
      <c r="D31" s="102"/>
      <c r="E31" s="102">
        <v>28</v>
      </c>
      <c r="F31" s="102">
        <v>19</v>
      </c>
      <c r="G31" s="102"/>
      <c r="H31" s="102">
        <v>30.5</v>
      </c>
      <c r="I31" s="102"/>
      <c r="J31" s="101">
        <f t="shared" si="4"/>
        <v>44.76</v>
      </c>
      <c r="K31" s="101">
        <f t="shared" si="3"/>
        <v>92.373935288420469</v>
      </c>
      <c r="N31" s="101">
        <v>1936</v>
      </c>
      <c r="O31" s="104">
        <f t="shared" si="1"/>
        <v>97.665735508301495</v>
      </c>
      <c r="R31" s="101">
        <v>1976</v>
      </c>
      <c r="S31" s="101">
        <f t="shared" si="2"/>
        <v>51.935222382447968</v>
      </c>
    </row>
    <row r="32" spans="1:19" s="101" customFormat="1" ht="13.2">
      <c r="A32" s="101">
        <v>1964</v>
      </c>
      <c r="B32" s="101">
        <v>45.84</v>
      </c>
      <c r="C32" s="102"/>
      <c r="D32" s="102"/>
      <c r="E32" s="102">
        <v>28</v>
      </c>
      <c r="F32" s="102">
        <v>19</v>
      </c>
      <c r="G32" s="102"/>
      <c r="H32" s="102">
        <v>30.5</v>
      </c>
      <c r="I32" s="102"/>
      <c r="J32" s="101">
        <f t="shared" si="4"/>
        <v>45.84</v>
      </c>
      <c r="K32" s="101">
        <f t="shared" si="3"/>
        <v>91.068762517475349</v>
      </c>
      <c r="N32" s="101">
        <v>1937</v>
      </c>
      <c r="O32" s="104">
        <f t="shared" si="1"/>
        <v>96.285793663864979</v>
      </c>
      <c r="R32" s="101">
        <v>1977</v>
      </c>
      <c r="S32" s="101">
        <f t="shared" si="2"/>
        <v>51.407674394843305</v>
      </c>
    </row>
    <row r="33" spans="1:19" s="101" customFormat="1" ht="13.2">
      <c r="A33" s="101">
        <v>1965</v>
      </c>
      <c r="B33" s="101">
        <v>54</v>
      </c>
      <c r="C33" s="102"/>
      <c r="D33" s="102">
        <v>54.5</v>
      </c>
      <c r="E33" s="102">
        <v>28</v>
      </c>
      <c r="F33" s="102">
        <v>19</v>
      </c>
      <c r="G33" s="102"/>
      <c r="H33" s="102">
        <v>30.5</v>
      </c>
      <c r="I33" s="102"/>
      <c r="J33" s="101">
        <f t="shared" si="4"/>
        <v>54</v>
      </c>
      <c r="K33" s="101">
        <f t="shared" si="3"/>
        <v>89.782030835531458</v>
      </c>
      <c r="N33" s="101">
        <v>1938</v>
      </c>
      <c r="O33" s="104">
        <f t="shared" si="1"/>
        <v>94.925349338022357</v>
      </c>
      <c r="R33" s="101">
        <v>1978</v>
      </c>
      <c r="S33" s="101">
        <f t="shared" si="2"/>
        <v>50.885485138104876</v>
      </c>
    </row>
    <row r="34" spans="1:19" s="101" customFormat="1" ht="13.2">
      <c r="A34" s="101">
        <v>1965</v>
      </c>
      <c r="C34" s="102"/>
      <c r="D34" s="102"/>
      <c r="E34" s="102">
        <v>28</v>
      </c>
      <c r="F34" s="102">
        <v>19</v>
      </c>
      <c r="G34" s="102"/>
      <c r="H34" s="102">
        <v>30.5</v>
      </c>
      <c r="I34" s="102"/>
      <c r="K34" s="101">
        <f t="shared" si="3"/>
        <v>89.782030835531458</v>
      </c>
      <c r="N34" s="101">
        <v>1939</v>
      </c>
      <c r="O34" s="104">
        <f t="shared" si="1"/>
        <v>93.584127045807534</v>
      </c>
      <c r="R34" s="101">
        <v>1979</v>
      </c>
      <c r="S34" s="101">
        <f t="shared" si="2"/>
        <v>50.368600179276676</v>
      </c>
    </row>
    <row r="35" spans="1:19" s="101" customFormat="1" ht="13.2">
      <c r="A35" s="101">
        <v>1966</v>
      </c>
      <c r="B35" s="101">
        <v>39.5</v>
      </c>
      <c r="C35" s="102"/>
      <c r="D35" s="102"/>
      <c r="E35" s="102">
        <v>28</v>
      </c>
      <c r="F35" s="102">
        <v>19</v>
      </c>
      <c r="G35" s="102"/>
      <c r="H35" s="102">
        <v>30.5</v>
      </c>
      <c r="I35" s="102"/>
      <c r="J35" s="101">
        <f t="shared" ref="J35:J69" si="5">B35</f>
        <v>39.5</v>
      </c>
      <c r="K35" s="101">
        <f t="shared" si="3"/>
        <v>88.513479684161595</v>
      </c>
      <c r="N35" s="101">
        <v>1940</v>
      </c>
      <c r="O35" s="104">
        <f t="shared" si="1"/>
        <v>92.261855194646742</v>
      </c>
      <c r="R35" s="101">
        <v>1980</v>
      </c>
      <c r="S35" s="101">
        <f t="shared" si="2"/>
        <v>49.85696563832164</v>
      </c>
    </row>
    <row r="36" spans="1:19" s="101" customFormat="1" ht="13.2">
      <c r="A36" s="101">
        <v>1966</v>
      </c>
      <c r="B36" s="101">
        <v>38.4</v>
      </c>
      <c r="C36" s="102"/>
      <c r="D36" s="102"/>
      <c r="E36" s="102">
        <v>28</v>
      </c>
      <c r="F36" s="102">
        <v>19</v>
      </c>
      <c r="G36" s="102"/>
      <c r="H36" s="102">
        <v>30.5</v>
      </c>
      <c r="I36" s="102"/>
      <c r="J36" s="101">
        <f t="shared" si="5"/>
        <v>38.4</v>
      </c>
      <c r="K36" s="101">
        <f t="shared" si="3"/>
        <v>88.513479684161595</v>
      </c>
      <c r="N36" s="101">
        <v>1941</v>
      </c>
      <c r="O36" s="104">
        <f t="shared" si="1"/>
        <v>90.95826602935945</v>
      </c>
      <c r="R36" s="101">
        <v>1981</v>
      </c>
      <c r="S36" s="101">
        <f t="shared" si="2"/>
        <v>49.350528182506459</v>
      </c>
    </row>
    <row r="37" spans="1:19" s="101" customFormat="1" ht="13.2">
      <c r="A37" s="101">
        <v>1966</v>
      </c>
      <c r="B37" s="101">
        <v>39.299999999999997</v>
      </c>
      <c r="C37" s="102"/>
      <c r="D37" s="102"/>
      <c r="E37" s="102">
        <v>28</v>
      </c>
      <c r="F37" s="102">
        <v>19</v>
      </c>
      <c r="G37" s="102"/>
      <c r="H37" s="102">
        <v>30.5</v>
      </c>
      <c r="I37" s="102"/>
      <c r="J37" s="101">
        <f t="shared" si="5"/>
        <v>39.299999999999997</v>
      </c>
      <c r="K37" s="101">
        <f t="shared" si="3"/>
        <v>88.513479684161595</v>
      </c>
      <c r="N37" s="101">
        <v>1942</v>
      </c>
      <c r="O37" s="104">
        <f t="shared" si="1"/>
        <v>89.673095577941197</v>
      </c>
      <c r="R37" s="101">
        <v>1982</v>
      </c>
      <c r="S37" s="101">
        <f t="shared" si="2"/>
        <v>48.849235020840759</v>
      </c>
    </row>
    <row r="38" spans="1:19" s="101" customFormat="1" ht="13.2">
      <c r="A38" s="101">
        <v>1970</v>
      </c>
      <c r="B38" s="101">
        <v>47</v>
      </c>
      <c r="C38" s="102"/>
      <c r="D38" s="102"/>
      <c r="E38" s="102">
        <v>28</v>
      </c>
      <c r="F38" s="102">
        <v>19</v>
      </c>
      <c r="G38" s="102"/>
      <c r="H38" s="102">
        <v>30.5</v>
      </c>
      <c r="I38" s="102"/>
      <c r="J38" s="101">
        <f t="shared" si="5"/>
        <v>47</v>
      </c>
      <c r="K38" s="101">
        <f t="shared" si="3"/>
        <v>83.615996980847868</v>
      </c>
      <c r="N38" s="101">
        <v>1943</v>
      </c>
      <c r="O38" s="104">
        <f t="shared" si="1"/>
        <v>88.406083598109149</v>
      </c>
      <c r="R38" s="101">
        <v>1983</v>
      </c>
      <c r="S38" s="101">
        <f t="shared" si="2"/>
        <v>48.353033898575397</v>
      </c>
    </row>
    <row r="39" spans="1:19" s="101" customFormat="1" ht="13.2">
      <c r="A39" s="101">
        <v>1970</v>
      </c>
      <c r="B39" s="101">
        <v>50.5</v>
      </c>
      <c r="C39" s="102"/>
      <c r="D39" s="102"/>
      <c r="E39" s="102">
        <v>28</v>
      </c>
      <c r="F39" s="102">
        <v>19</v>
      </c>
      <c r="G39" s="102"/>
      <c r="H39" s="102">
        <v>30.5</v>
      </c>
      <c r="I39" s="102"/>
      <c r="J39" s="101">
        <f t="shared" si="5"/>
        <v>50.5</v>
      </c>
      <c r="K39" s="101">
        <f t="shared" si="3"/>
        <v>83.615996980847868</v>
      </c>
      <c r="N39" s="101">
        <v>1944</v>
      </c>
      <c r="O39" s="104">
        <f t="shared" si="1"/>
        <v>87.156973524603231</v>
      </c>
      <c r="R39" s="101">
        <v>1984</v>
      </c>
      <c r="S39" s="101">
        <f t="shared" si="2"/>
        <v>47.861873091754909</v>
      </c>
    </row>
    <row r="40" spans="1:19" s="101" customFormat="1" ht="13.2">
      <c r="A40" s="101">
        <v>1970</v>
      </c>
      <c r="B40" s="101">
        <v>36</v>
      </c>
      <c r="C40" s="102"/>
      <c r="D40" s="102"/>
      <c r="E40" s="102">
        <v>28</v>
      </c>
      <c r="F40" s="102">
        <v>19</v>
      </c>
      <c r="G40" s="102"/>
      <c r="H40" s="102">
        <v>30.5</v>
      </c>
      <c r="I40" s="102"/>
      <c r="J40" s="101">
        <f t="shared" si="5"/>
        <v>36</v>
      </c>
      <c r="K40" s="101">
        <f t="shared" si="3"/>
        <v>83.615996980847868</v>
      </c>
      <c r="N40" s="101">
        <v>1945</v>
      </c>
      <c r="O40" s="104">
        <f t="shared" si="1"/>
        <v>85.925512417234387</v>
      </c>
      <c r="R40" s="101">
        <v>1985</v>
      </c>
      <c r="S40" s="101">
        <f t="shared" si="2"/>
        <v>47.375701401825289</v>
      </c>
    </row>
    <row r="41" spans="1:19" s="101" customFormat="1" ht="13.2">
      <c r="A41" s="101">
        <v>1970</v>
      </c>
      <c r="B41" s="101">
        <v>34.9</v>
      </c>
      <c r="C41" s="102"/>
      <c r="D41" s="102"/>
      <c r="E41" s="102">
        <v>28</v>
      </c>
      <c r="F41" s="102">
        <v>19</v>
      </c>
      <c r="G41" s="102"/>
      <c r="H41" s="102">
        <v>30.5</v>
      </c>
      <c r="I41" s="102"/>
      <c r="J41" s="101">
        <f t="shared" si="5"/>
        <v>34.9</v>
      </c>
      <c r="K41" s="101">
        <f t="shared" si="3"/>
        <v>83.615996980847868</v>
      </c>
      <c r="N41" s="101">
        <v>1946</v>
      </c>
      <c r="O41" s="104">
        <f t="shared" si="1"/>
        <v>84.711450909664165</v>
      </c>
      <c r="R41" s="101">
        <v>1986</v>
      </c>
      <c r="S41" s="101">
        <f t="shared" si="2"/>
        <v>46.89446815029811</v>
      </c>
    </row>
    <row r="42" spans="1:19" s="101" customFormat="1" ht="13.2">
      <c r="A42" s="101">
        <v>1970</v>
      </c>
      <c r="B42" s="101">
        <v>46.5</v>
      </c>
      <c r="C42" s="102"/>
      <c r="D42" s="102"/>
      <c r="E42" s="102">
        <v>28</v>
      </c>
      <c r="F42" s="102">
        <v>19</v>
      </c>
      <c r="G42" s="102"/>
      <c r="H42" s="102">
        <v>30.5</v>
      </c>
      <c r="I42" s="102"/>
      <c r="J42" s="101">
        <f t="shared" si="5"/>
        <v>46.5</v>
      </c>
      <c r="K42" s="101">
        <f t="shared" si="3"/>
        <v>83.615996980847868</v>
      </c>
      <c r="N42" s="101">
        <v>1947</v>
      </c>
      <c r="O42" s="104">
        <f t="shared" si="1"/>
        <v>83.514543158908126</v>
      </c>
      <c r="R42" s="101">
        <v>1987</v>
      </c>
      <c r="S42" s="101">
        <f t="shared" si="2"/>
        <v>46.418123173467258</v>
      </c>
    </row>
    <row r="43" spans="1:19" s="101" customFormat="1" ht="13.2">
      <c r="A43" s="101">
        <v>1973</v>
      </c>
      <c r="B43" s="101">
        <v>37.6</v>
      </c>
      <c r="C43" s="102"/>
      <c r="D43" s="102"/>
      <c r="E43" s="102">
        <v>28</v>
      </c>
      <c r="F43" s="102">
        <v>19</v>
      </c>
      <c r="G43" s="102"/>
      <c r="H43" s="102">
        <v>30.5</v>
      </c>
      <c r="I43" s="102"/>
      <c r="J43" s="101">
        <f t="shared" si="5"/>
        <v>37.6</v>
      </c>
      <c r="K43" s="101">
        <f t="shared" si="3"/>
        <v>80.121549730738437</v>
      </c>
      <c r="N43" s="101">
        <v>1948</v>
      </c>
      <c r="O43" s="104">
        <f t="shared" si="1"/>
        <v>82.334546795555283</v>
      </c>
      <c r="R43" s="101">
        <v>1988</v>
      </c>
      <c r="S43" s="101">
        <f t="shared" si="2"/>
        <v>45.94661681717939</v>
      </c>
    </row>
    <row r="44" spans="1:19" s="101" customFormat="1" ht="13.2">
      <c r="A44" s="101">
        <v>1973</v>
      </c>
      <c r="B44" s="101">
        <v>37.200000000000003</v>
      </c>
      <c r="C44" s="102"/>
      <c r="D44" s="102"/>
      <c r="E44" s="102">
        <v>28</v>
      </c>
      <c r="F44" s="102">
        <v>19</v>
      </c>
      <c r="G44" s="102"/>
      <c r="H44" s="102">
        <v>30.5</v>
      </c>
      <c r="I44" s="102"/>
      <c r="J44" s="101">
        <f t="shared" si="5"/>
        <v>37.200000000000003</v>
      </c>
      <c r="K44" s="101">
        <f t="shared" si="3"/>
        <v>80.121549730738437</v>
      </c>
      <c r="N44" s="101">
        <v>1949</v>
      </c>
      <c r="O44" s="104">
        <f t="shared" si="1"/>
        <v>81.171222874688297</v>
      </c>
      <c r="R44" s="101">
        <v>1989</v>
      </c>
      <c r="S44" s="101">
        <f t="shared" si="2"/>
        <v>45.479899931659141</v>
      </c>
    </row>
    <row r="45" spans="1:19" s="101" customFormat="1" ht="13.2">
      <c r="A45" s="101">
        <v>1973</v>
      </c>
      <c r="B45" s="101">
        <v>37.700000000000003</v>
      </c>
      <c r="C45" s="102"/>
      <c r="D45" s="102"/>
      <c r="E45" s="102">
        <v>28</v>
      </c>
      <c r="F45" s="102">
        <v>19</v>
      </c>
      <c r="G45" s="102"/>
      <c r="H45" s="102">
        <v>30.5</v>
      </c>
      <c r="I45" s="102"/>
      <c r="J45" s="101">
        <f t="shared" si="5"/>
        <v>37.700000000000003</v>
      </c>
      <c r="K45" s="101">
        <f t="shared" si="3"/>
        <v>80.121549730738437</v>
      </c>
      <c r="N45" s="101">
        <v>1950</v>
      </c>
      <c r="O45" s="104">
        <f t="shared" si="1"/>
        <v>80.024335827497183</v>
      </c>
      <c r="R45" s="101">
        <v>1990</v>
      </c>
      <c r="S45" s="101">
        <f t="shared" si="2"/>
        <v>45.017923866384471</v>
      </c>
    </row>
    <row r="46" spans="1:19" s="101" customFormat="1" ht="13.2">
      <c r="A46" s="101">
        <v>1973</v>
      </c>
      <c r="B46" s="101">
        <v>57.9</v>
      </c>
      <c r="C46" s="102"/>
      <c r="D46" s="102"/>
      <c r="E46" s="102">
        <v>28</v>
      </c>
      <c r="F46" s="102">
        <v>19</v>
      </c>
      <c r="G46" s="102"/>
      <c r="H46" s="102">
        <v>30.5</v>
      </c>
      <c r="I46" s="102"/>
      <c r="J46" s="101">
        <f t="shared" si="5"/>
        <v>57.9</v>
      </c>
      <c r="K46" s="101">
        <f t="shared" si="3"/>
        <v>80.121549730738437</v>
      </c>
      <c r="N46" s="101">
        <v>1951</v>
      </c>
      <c r="O46" s="104">
        <f t="shared" si="1"/>
        <v>78.893653413579457</v>
      </c>
      <c r="R46" s="101">
        <v>1991</v>
      </c>
      <c r="S46" s="101">
        <f t="shared" si="2"/>
        <v>44.560640465016441</v>
      </c>
    </row>
    <row r="47" spans="1:19" s="101" customFormat="1" ht="13.2">
      <c r="A47" s="101">
        <v>1975</v>
      </c>
      <c r="B47" s="101">
        <v>39.799999999999997</v>
      </c>
      <c r="C47" s="102"/>
      <c r="D47" s="102">
        <v>36.9</v>
      </c>
      <c r="E47" s="102">
        <v>28</v>
      </c>
      <c r="F47" s="102">
        <v>19</v>
      </c>
      <c r="G47" s="102"/>
      <c r="H47" s="102">
        <v>30.5</v>
      </c>
      <c r="I47" s="102"/>
      <c r="J47" s="101">
        <f t="shared" si="5"/>
        <v>39.799999999999997</v>
      </c>
      <c r="K47" s="101">
        <f t="shared" si="3"/>
        <v>77.873432868865095</v>
      </c>
      <c r="N47" s="101">
        <v>1952</v>
      </c>
      <c r="O47" s="104">
        <f t="shared" si="1"/>
        <v>77.778946673910085</v>
      </c>
      <c r="R47" s="101">
        <v>1992</v>
      </c>
      <c r="S47" s="101">
        <f t="shared" si="2"/>
        <v>44.108002060378908</v>
      </c>
    </row>
    <row r="48" spans="1:19" s="101" customFormat="1" ht="13.2">
      <c r="A48" s="101">
        <v>1975</v>
      </c>
      <c r="B48" s="101">
        <v>36.700000000000003</v>
      </c>
      <c r="C48" s="102"/>
      <c r="D48" s="102"/>
      <c r="E48" s="102">
        <v>28</v>
      </c>
      <c r="F48" s="102">
        <v>19</v>
      </c>
      <c r="G48" s="102"/>
      <c r="H48" s="102">
        <v>30.5</v>
      </c>
      <c r="I48" s="102"/>
      <c r="J48" s="101">
        <f t="shared" si="5"/>
        <v>36.700000000000003</v>
      </c>
      <c r="K48" s="101">
        <f t="shared" si="3"/>
        <v>77.873432868865095</v>
      </c>
      <c r="N48" s="101">
        <v>1953</v>
      </c>
      <c r="O48" s="104">
        <f t="shared" si="1"/>
        <v>76.679989884480065</v>
      </c>
      <c r="R48" s="101">
        <v>1993</v>
      </c>
      <c r="S48" s="101">
        <f t="shared" si="2"/>
        <v>43.659961469489303</v>
      </c>
    </row>
    <row r="49" spans="1:19" s="101" customFormat="1" ht="13.2">
      <c r="A49" s="101">
        <v>1975</v>
      </c>
      <c r="B49" s="101">
        <v>27.1</v>
      </c>
      <c r="C49" s="102"/>
      <c r="D49" s="102"/>
      <c r="E49" s="102">
        <v>28</v>
      </c>
      <c r="F49" s="102">
        <v>19</v>
      </c>
      <c r="G49" s="102"/>
      <c r="H49" s="102">
        <v>30.5</v>
      </c>
      <c r="I49" s="102"/>
      <c r="J49" s="101">
        <f t="shared" si="5"/>
        <v>27.1</v>
      </c>
      <c r="K49" s="101">
        <f t="shared" si="3"/>
        <v>77.873432868865095</v>
      </c>
      <c r="N49" s="101">
        <v>1954</v>
      </c>
      <c r="O49" s="104">
        <f t="shared" si="1"/>
        <v>75.596560510587281</v>
      </c>
      <c r="R49" s="101">
        <v>1994</v>
      </c>
      <c r="S49" s="101">
        <f t="shared" si="2"/>
        <v>43.216471988641125</v>
      </c>
    </row>
    <row r="50" spans="1:19" s="101" customFormat="1" ht="13.2">
      <c r="A50" s="101">
        <v>1975</v>
      </c>
      <c r="B50" s="101">
        <v>36.200000000000003</v>
      </c>
      <c r="C50" s="102"/>
      <c r="D50" s="102"/>
      <c r="E50" s="102">
        <v>28</v>
      </c>
      <c r="F50" s="102">
        <v>19</v>
      </c>
      <c r="G50" s="102"/>
      <c r="H50" s="102">
        <v>30.5</v>
      </c>
      <c r="I50" s="102"/>
      <c r="J50" s="101">
        <f t="shared" si="5"/>
        <v>36.200000000000003</v>
      </c>
      <c r="K50" s="101">
        <f t="shared" si="3"/>
        <v>77.873432868865095</v>
      </c>
      <c r="N50" s="101">
        <v>1955</v>
      </c>
      <c r="O50" s="104">
        <f t="shared" si="1"/>
        <v>74.528439161773306</v>
      </c>
      <c r="R50" s="101">
        <v>1995</v>
      </c>
      <c r="S50" s="101">
        <f t="shared" si="2"/>
        <v>42.777487388535164</v>
      </c>
    </row>
    <row r="51" spans="1:19" s="101" customFormat="1" ht="13.2">
      <c r="A51" s="101">
        <v>1975</v>
      </c>
      <c r="B51" s="101">
        <v>40.9</v>
      </c>
      <c r="C51" s="102"/>
      <c r="D51" s="102"/>
      <c r="E51" s="102">
        <v>28</v>
      </c>
      <c r="F51" s="102">
        <v>19</v>
      </c>
      <c r="G51" s="102"/>
      <c r="H51" s="102">
        <v>30.5</v>
      </c>
      <c r="I51" s="102"/>
      <c r="J51" s="101">
        <f t="shared" si="5"/>
        <v>40.9</v>
      </c>
      <c r="K51" s="101">
        <f t="shared" si="3"/>
        <v>77.873432868865095</v>
      </c>
      <c r="N51" s="101">
        <v>1956</v>
      </c>
      <c r="O51" s="104">
        <f t="shared" si="1"/>
        <v>73.475409547399181</v>
      </c>
      <c r="R51" s="101">
        <v>1996</v>
      </c>
      <c r="S51" s="101">
        <f t="shared" si="2"/>
        <v>42.342961909460051</v>
      </c>
    </row>
    <row r="52" spans="1:19" s="101" customFormat="1" ht="13.2">
      <c r="A52" s="101">
        <v>1975</v>
      </c>
      <c r="B52" s="101">
        <v>53.1</v>
      </c>
      <c r="C52" s="102"/>
      <c r="D52" s="102"/>
      <c r="E52" s="102">
        <v>28</v>
      </c>
      <c r="F52" s="102">
        <v>19</v>
      </c>
      <c r="G52" s="102"/>
      <c r="H52" s="102">
        <v>30.5</v>
      </c>
      <c r="I52" s="102"/>
      <c r="J52" s="101">
        <f t="shared" si="5"/>
        <v>53.1</v>
      </c>
      <c r="K52" s="101">
        <f t="shared" si="3"/>
        <v>77.873432868865095</v>
      </c>
      <c r="N52" s="101">
        <v>1957</v>
      </c>
      <c r="O52" s="104">
        <f t="shared" si="1"/>
        <v>72.43725843284659</v>
      </c>
      <c r="R52" s="101">
        <v>1997</v>
      </c>
      <c r="S52" s="101">
        <f t="shared" si="2"/>
        <v>41.91285025652337</v>
      </c>
    </row>
    <row r="53" spans="1:19" s="101" customFormat="1" ht="13.2">
      <c r="A53" s="101">
        <v>1976</v>
      </c>
      <c r="B53" s="101">
        <v>35.200000000000003</v>
      </c>
      <c r="C53" s="102"/>
      <c r="D53" s="102"/>
      <c r="E53" s="102">
        <v>28</v>
      </c>
      <c r="F53" s="102">
        <v>19</v>
      </c>
      <c r="G53" s="102"/>
      <c r="H53" s="102">
        <v>30.5</v>
      </c>
      <c r="I53" s="102"/>
      <c r="J53" s="101">
        <f t="shared" si="5"/>
        <v>35.200000000000003</v>
      </c>
      <c r="K53" s="101">
        <f t="shared" si="3"/>
        <v>76.773141062057334</v>
      </c>
      <c r="N53" s="101">
        <v>1958</v>
      </c>
      <c r="O53" s="104">
        <f t="shared" si="1"/>
        <v>71.413775596337871</v>
      </c>
      <c r="R53" s="101">
        <v>1998</v>
      </c>
      <c r="S53" s="101">
        <f t="shared" si="2"/>
        <v>41.487107594928887</v>
      </c>
    </row>
    <row r="54" spans="1:19" s="101" customFormat="1" ht="13.2">
      <c r="A54" s="101">
        <v>1977</v>
      </c>
      <c r="B54" s="101">
        <v>33.89</v>
      </c>
      <c r="C54" s="102"/>
      <c r="D54" s="102"/>
      <c r="E54" s="102">
        <v>28</v>
      </c>
      <c r="F54" s="102">
        <v>19</v>
      </c>
      <c r="G54" s="102"/>
      <c r="H54" s="102">
        <v>30.5</v>
      </c>
      <c r="I54" s="102"/>
      <c r="J54" s="101">
        <f t="shared" si="5"/>
        <v>33.89</v>
      </c>
      <c r="K54" s="101">
        <f t="shared" si="3"/>
        <v>75.688395533556658</v>
      </c>
      <c r="N54" s="101">
        <v>1959</v>
      </c>
      <c r="O54" s="104">
        <f t="shared" si="1"/>
        <v>70.404753786368403</v>
      </c>
      <c r="R54" s="101">
        <v>1999</v>
      </c>
      <c r="S54" s="101">
        <f t="shared" si="2"/>
        <v>41.065689545304053</v>
      </c>
    </row>
    <row r="55" spans="1:19" s="101" customFormat="1" ht="13.2">
      <c r="A55" s="101">
        <v>1977</v>
      </c>
      <c r="B55" s="101">
        <v>34</v>
      </c>
      <c r="C55" s="102"/>
      <c r="D55" s="102"/>
      <c r="E55" s="102">
        <v>28</v>
      </c>
      <c r="F55" s="102">
        <v>19</v>
      </c>
      <c r="G55" s="102"/>
      <c r="H55" s="102">
        <v>30.5</v>
      </c>
      <c r="I55" s="102"/>
      <c r="J55" s="101">
        <f t="shared" si="5"/>
        <v>34</v>
      </c>
      <c r="K55" s="101">
        <f t="shared" si="3"/>
        <v>75.688395533556658</v>
      </c>
      <c r="N55" s="101">
        <v>1960</v>
      </c>
      <c r="O55" s="104">
        <f t="shared" si="1"/>
        <v>69.409988679738149</v>
      </c>
      <c r="R55" s="101">
        <v>2000</v>
      </c>
      <c r="S55" s="101">
        <f t="shared" si="2"/>
        <v>40.648552179073441</v>
      </c>
    </row>
    <row r="56" spans="1:19" s="101" customFormat="1" ht="13.2">
      <c r="A56" s="101">
        <v>1977</v>
      </c>
      <c r="B56" s="101">
        <v>55</v>
      </c>
      <c r="C56" s="102"/>
      <c r="D56" s="102"/>
      <c r="E56" s="102">
        <v>28</v>
      </c>
      <c r="F56" s="102">
        <v>19</v>
      </c>
      <c r="G56" s="102"/>
      <c r="H56" s="102">
        <v>30.5</v>
      </c>
      <c r="I56" s="102"/>
      <c r="J56" s="101">
        <f t="shared" si="5"/>
        <v>55</v>
      </c>
      <c r="K56" s="101">
        <f t="shared" si="3"/>
        <v>75.688395533556658</v>
      </c>
      <c r="N56" s="101">
        <v>1961</v>
      </c>
      <c r="O56" s="104">
        <f t="shared" si="1"/>
        <v>68.429278840176323</v>
      </c>
      <c r="R56" s="101">
        <v>2001</v>
      </c>
      <c r="S56" s="101">
        <f t="shared" si="2"/>
        <v>40.235652013879182</v>
      </c>
    </row>
    <row r="57" spans="1:19" s="101" customFormat="1" ht="13.2">
      <c r="A57" s="101">
        <v>1978</v>
      </c>
      <c r="B57" s="101">
        <v>50</v>
      </c>
      <c r="C57" s="102"/>
      <c r="D57" s="102"/>
      <c r="E57" s="102">
        <v>28</v>
      </c>
      <c r="F57" s="102">
        <v>19</v>
      </c>
      <c r="G57" s="102"/>
      <c r="H57" s="102">
        <v>30.5</v>
      </c>
      <c r="I57" s="102"/>
      <c r="J57" s="101">
        <f t="shared" si="5"/>
        <v>50</v>
      </c>
      <c r="K57" s="101">
        <f t="shared" si="3"/>
        <v>74.618976626388971</v>
      </c>
      <c r="N57" s="101">
        <v>1962</v>
      </c>
      <c r="O57" s="104">
        <f t="shared" si="1"/>
        <v>67.462425677552829</v>
      </c>
      <c r="R57" s="101">
        <v>2002</v>
      </c>
      <c r="S57" s="101">
        <f t="shared" si="2"/>
        <v>39.826946009049401</v>
      </c>
    </row>
    <row r="58" spans="1:19" s="101" customFormat="1" ht="13.2">
      <c r="A58" s="101">
        <v>1979</v>
      </c>
      <c r="B58" s="101">
        <v>46.9</v>
      </c>
      <c r="C58" s="102"/>
      <c r="D58" s="102"/>
      <c r="E58" s="102">
        <v>28</v>
      </c>
      <c r="F58" s="102">
        <v>19</v>
      </c>
      <c r="G58" s="102"/>
      <c r="H58" s="102">
        <v>30.5</v>
      </c>
      <c r="I58" s="102"/>
      <c r="J58" s="101">
        <f t="shared" si="5"/>
        <v>46.9</v>
      </c>
      <c r="K58" s="101">
        <f t="shared" si="3"/>
        <v>73.56466778716451</v>
      </c>
      <c r="N58" s="101">
        <v>1963</v>
      </c>
      <c r="O58" s="104">
        <f t="shared" si="1"/>
        <v>66.509233407662734</v>
      </c>
      <c r="R58" s="101">
        <v>2003</v>
      </c>
      <c r="S58" s="101">
        <f t="shared" si="2"/>
        <v>39.42239156111053</v>
      </c>
    </row>
    <row r="59" spans="1:19" s="101" customFormat="1" ht="13.2">
      <c r="A59" s="101">
        <v>1979</v>
      </c>
      <c r="B59" s="101">
        <v>54</v>
      </c>
      <c r="C59" s="102"/>
      <c r="D59" s="102"/>
      <c r="E59" s="102">
        <v>28</v>
      </c>
      <c r="F59" s="102">
        <v>19</v>
      </c>
      <c r="G59" s="102"/>
      <c r="H59" s="102">
        <v>30.5</v>
      </c>
      <c r="I59" s="102"/>
      <c r="J59" s="101">
        <f t="shared" si="5"/>
        <v>54</v>
      </c>
      <c r="K59" s="101">
        <f t="shared" si="3"/>
        <v>73.56466778716451</v>
      </c>
      <c r="N59" s="101">
        <v>1964</v>
      </c>
      <c r="O59" s="104">
        <f t="shared" si="1"/>
        <v>65.569509012582259</v>
      </c>
      <c r="R59" s="101">
        <v>2004</v>
      </c>
      <c r="S59" s="101">
        <f t="shared" si="2"/>
        <v>39.021946499347294</v>
      </c>
    </row>
    <row r="60" spans="1:19" s="101" customFormat="1" ht="13.2">
      <c r="A60" s="101">
        <v>1979</v>
      </c>
      <c r="B60" s="101">
        <v>61.9</v>
      </c>
      <c r="C60" s="102"/>
      <c r="D60" s="102"/>
      <c r="E60" s="102">
        <v>28</v>
      </c>
      <c r="F60" s="102">
        <v>19</v>
      </c>
      <c r="G60" s="102"/>
      <c r="H60" s="102">
        <v>30.5</v>
      </c>
      <c r="I60" s="102"/>
      <c r="J60" s="101">
        <f t="shared" si="5"/>
        <v>61.9</v>
      </c>
      <c r="K60" s="101">
        <f t="shared" si="3"/>
        <v>73.56466778716451</v>
      </c>
      <c r="N60" s="101">
        <v>1965</v>
      </c>
      <c r="O60" s="104">
        <f t="shared" si="1"/>
        <v>64.643062201582651</v>
      </c>
      <c r="R60" s="101">
        <v>2005</v>
      </c>
      <c r="S60" s="101">
        <f t="shared" si="2"/>
        <v>38.625569081406404</v>
      </c>
    </row>
    <row r="61" spans="1:19" s="101" customFormat="1" ht="13.2">
      <c r="A61" s="101">
        <v>1979</v>
      </c>
      <c r="B61" s="101">
        <v>47.3</v>
      </c>
      <c r="C61" s="102"/>
      <c r="D61" s="102"/>
      <c r="E61" s="102">
        <v>28</v>
      </c>
      <c r="F61" s="102">
        <v>19</v>
      </c>
      <c r="G61" s="102"/>
      <c r="H61" s="102">
        <v>30.5</v>
      </c>
      <c r="I61" s="102"/>
      <c r="J61" s="101">
        <f t="shared" si="5"/>
        <v>47.3</v>
      </c>
      <c r="K61" s="101">
        <f t="shared" si="3"/>
        <v>73.56466778716451</v>
      </c>
      <c r="N61" s="101">
        <v>1966</v>
      </c>
      <c r="O61" s="104">
        <f t="shared" si="1"/>
        <v>63.729705372596349</v>
      </c>
      <c r="R61" s="101">
        <v>2006</v>
      </c>
      <c r="S61" s="101">
        <f t="shared" si="2"/>
        <v>38.233217988944972</v>
      </c>
    </row>
    <row r="62" spans="1:19" s="101" customFormat="1" ht="13.2">
      <c r="A62" s="101">
        <v>1980</v>
      </c>
      <c r="B62" s="101">
        <v>43.5</v>
      </c>
      <c r="C62" s="102"/>
      <c r="D62" s="102"/>
      <c r="E62" s="102">
        <v>28</v>
      </c>
      <c r="F62" s="102">
        <v>19</v>
      </c>
      <c r="G62" s="102"/>
      <c r="H62" s="102">
        <v>30.5</v>
      </c>
      <c r="I62" s="102"/>
      <c r="J62" s="101">
        <f t="shared" si="5"/>
        <v>43.5</v>
      </c>
      <c r="K62" s="101">
        <f t="shared" si="3"/>
        <v>72.525255522225905</v>
      </c>
      <c r="N62" s="101">
        <v>1967</v>
      </c>
      <c r="O62" s="104">
        <f t="shared" si="1"/>
        <v>62.829253574229654</v>
      </c>
      <c r="R62" s="101">
        <v>2007</v>
      </c>
      <c r="S62" s="101">
        <f t="shared" si="2"/>
        <v>37.844852323324275</v>
      </c>
    </row>
    <row r="63" spans="1:19" s="101" customFormat="1" ht="13.2">
      <c r="A63" s="101">
        <v>1980</v>
      </c>
      <c r="B63" s="101">
        <v>42</v>
      </c>
      <c r="C63" s="102"/>
      <c r="D63" s="102"/>
      <c r="E63" s="102">
        <v>28</v>
      </c>
      <c r="F63" s="102">
        <v>19</v>
      </c>
      <c r="G63" s="102"/>
      <c r="H63" s="102">
        <v>30.5</v>
      </c>
      <c r="I63" s="102"/>
      <c r="J63" s="101">
        <f t="shared" si="5"/>
        <v>42</v>
      </c>
      <c r="K63" s="101">
        <f t="shared" si="3"/>
        <v>72.525255522225905</v>
      </c>
      <c r="N63" s="101">
        <v>1968</v>
      </c>
      <c r="O63" s="104">
        <f t="shared" si="1"/>
        <v>61.941524468309993</v>
      </c>
      <c r="R63" s="101">
        <v>2008</v>
      </c>
      <c r="S63" s="101">
        <f t="shared" si="2"/>
        <v>37.46043160134608</v>
      </c>
    </row>
    <row r="64" spans="1:19" s="101" customFormat="1" ht="13.2">
      <c r="A64" s="101">
        <v>1980</v>
      </c>
      <c r="B64" s="101">
        <v>38.200000000000003</v>
      </c>
      <c r="C64" s="102"/>
      <c r="D64" s="102"/>
      <c r="E64" s="102">
        <v>28</v>
      </c>
      <c r="F64" s="102">
        <v>19</v>
      </c>
      <c r="G64" s="102"/>
      <c r="H64" s="102">
        <v>30.5</v>
      </c>
      <c r="I64" s="102"/>
      <c r="J64" s="101">
        <f t="shared" si="5"/>
        <v>38.200000000000003</v>
      </c>
      <c r="K64" s="101">
        <f t="shared" si="3"/>
        <v>72.525255522225905</v>
      </c>
      <c r="N64" s="101">
        <v>1969</v>
      </c>
      <c r="O64" s="104">
        <f t="shared" si="1"/>
        <v>61.066338292962506</v>
      </c>
      <c r="R64" s="101">
        <v>2009</v>
      </c>
      <c r="S64" s="101">
        <f t="shared" si="2"/>
        <v>37.079915751032303</v>
      </c>
    </row>
    <row r="65" spans="1:19" s="101" customFormat="1" ht="13.2">
      <c r="A65" s="101">
        <v>1980</v>
      </c>
      <c r="B65" s="101">
        <v>30.2</v>
      </c>
      <c r="C65" s="102"/>
      <c r="D65" s="102"/>
      <c r="E65" s="102">
        <v>28</v>
      </c>
      <c r="F65" s="102">
        <v>19</v>
      </c>
      <c r="G65" s="102"/>
      <c r="H65" s="102">
        <v>30.5</v>
      </c>
      <c r="I65" s="102"/>
      <c r="J65" s="101">
        <f t="shared" si="5"/>
        <v>30.2</v>
      </c>
      <c r="K65" s="101">
        <f t="shared" si="3"/>
        <v>72.525255522225905</v>
      </c>
      <c r="N65" s="101">
        <v>1970</v>
      </c>
      <c r="O65" s="104">
        <f t="shared" si="1"/>
        <v>60.203517826210465</v>
      </c>
      <c r="R65" s="101">
        <v>2010</v>
      </c>
      <c r="S65" s="101">
        <f t="shared" si="2"/>
        <v>36.703265107448807</v>
      </c>
    </row>
    <row r="66" spans="1:19" s="101" customFormat="1" ht="13.2">
      <c r="A66" s="101">
        <v>1980</v>
      </c>
      <c r="B66" s="101">
        <v>27</v>
      </c>
      <c r="C66" s="102"/>
      <c r="D66" s="102"/>
      <c r="E66" s="102">
        <v>28</v>
      </c>
      <c r="F66" s="102">
        <v>19</v>
      </c>
      <c r="G66" s="102"/>
      <c r="H66" s="102">
        <v>30.5</v>
      </c>
      <c r="I66" s="102"/>
      <c r="J66" s="101">
        <f t="shared" si="5"/>
        <v>27</v>
      </c>
      <c r="K66" s="101">
        <f t="shared" si="3"/>
        <v>72.525255522225905</v>
      </c>
      <c r="N66" s="101">
        <v>1971</v>
      </c>
      <c r="O66" s="104">
        <f t="shared" si="1"/>
        <v>59.352888350086708</v>
      </c>
      <c r="R66" s="101">
        <v>2011</v>
      </c>
      <c r="S66" s="101">
        <f t="shared" si="2"/>
        <v>36.330440408569707</v>
      </c>
    </row>
    <row r="67" spans="1:19" s="101" customFormat="1" ht="13.2">
      <c r="A67" s="101">
        <v>1980</v>
      </c>
      <c r="B67" s="101">
        <v>48</v>
      </c>
      <c r="C67" s="102"/>
      <c r="D67" s="102"/>
      <c r="E67" s="102">
        <v>28</v>
      </c>
      <c r="F67" s="102">
        <v>19</v>
      </c>
      <c r="G67" s="102"/>
      <c r="H67" s="102">
        <v>30.5</v>
      </c>
      <c r="I67" s="102"/>
      <c r="J67" s="101">
        <f t="shared" si="5"/>
        <v>48</v>
      </c>
      <c r="K67" s="101">
        <f t="shared" si="3"/>
        <v>72.525255522225905</v>
      </c>
      <c r="N67" s="101">
        <v>1972</v>
      </c>
      <c r="O67" s="104">
        <f t="shared" si="1"/>
        <v>58.514277615255438</v>
      </c>
      <c r="R67" s="101">
        <v>2012</v>
      </c>
      <c r="S67" s="101">
        <f t="shared" si="2"/>
        <v>35.961402791185606</v>
      </c>
    </row>
    <row r="68" spans="1:19" s="101" customFormat="1" ht="13.2">
      <c r="A68" s="101">
        <v>1980</v>
      </c>
      <c r="B68" s="101">
        <v>30.3</v>
      </c>
      <c r="C68" s="102"/>
      <c r="D68" s="102"/>
      <c r="E68" s="102">
        <v>28</v>
      </c>
      <c r="F68" s="102">
        <v>19</v>
      </c>
      <c r="G68" s="102"/>
      <c r="H68" s="102">
        <v>30.5</v>
      </c>
      <c r="I68" s="102"/>
      <c r="J68" s="101">
        <f t="shared" si="5"/>
        <v>30.3</v>
      </c>
      <c r="K68" s="101">
        <f t="shared" si="3"/>
        <v>72.525255522225905</v>
      </c>
      <c r="N68" s="101">
        <v>1973</v>
      </c>
      <c r="O68" s="104">
        <f t="shared" si="1"/>
        <v>57.687515806131678</v>
      </c>
      <c r="R68" s="101">
        <v>2013</v>
      </c>
      <c r="S68" s="101">
        <f t="shared" si="2"/>
        <v>35.596113786852086</v>
      </c>
    </row>
    <row r="69" spans="1:19" s="101" customFormat="1" ht="13.2">
      <c r="A69" s="101">
        <v>1981</v>
      </c>
      <c r="B69" s="101">
        <v>47.8</v>
      </c>
      <c r="C69" s="102"/>
      <c r="D69" s="102"/>
      <c r="E69" s="102">
        <v>28</v>
      </c>
      <c r="F69" s="102">
        <v>19</v>
      </c>
      <c r="G69" s="102"/>
      <c r="H69" s="102">
        <v>30.5</v>
      </c>
      <c r="I69" s="102"/>
      <c r="J69" s="101">
        <f t="shared" si="5"/>
        <v>47.8</v>
      </c>
      <c r="K69" s="101">
        <f t="shared" si="3"/>
        <v>71.500529354418163</v>
      </c>
      <c r="N69" s="101">
        <v>1974</v>
      </c>
      <c r="O69" s="104">
        <f t="shared" ref="O69:O114" si="6">90000000000000*EXP(-0.01423*N69)</f>
        <v>56.872435506493659</v>
      </c>
      <c r="R69" s="101">
        <v>2014</v>
      </c>
      <c r="S69" s="101">
        <f t="shared" si="2"/>
        <v>35.23453531787942</v>
      </c>
    </row>
    <row r="70" spans="1:19" s="101" customFormat="1" ht="13.2">
      <c r="A70" s="101">
        <v>1981</v>
      </c>
      <c r="B70" s="101">
        <v>42.2</v>
      </c>
      <c r="C70" s="102"/>
      <c r="D70" s="102"/>
      <c r="E70" s="102">
        <v>28</v>
      </c>
      <c r="F70" s="102">
        <v>19</v>
      </c>
      <c r="G70" s="102"/>
      <c r="H70" s="102">
        <v>30.5</v>
      </c>
      <c r="I70" s="102"/>
      <c r="J70" s="101">
        <f t="shared" ref="J70:J121" si="7">B70</f>
        <v>42.2</v>
      </c>
      <c r="K70" s="101">
        <f t="shared" ref="K70:K133" si="8">125000000000000*EXP(-0.01423*A70)</f>
        <v>71.500529354418163</v>
      </c>
      <c r="N70" s="101">
        <v>1975</v>
      </c>
      <c r="O70" s="104">
        <f t="shared" si="6"/>
        <v>56.068871665582869</v>
      </c>
      <c r="R70" s="101">
        <v>2015</v>
      </c>
      <c r="S70" s="101">
        <f t="shared" ref="S70:S75" si="9">30000000000*(EXP(-0.01020975*R70))</f>
        <v>34.876629693364087</v>
      </c>
    </row>
    <row r="71" spans="1:19" s="101" customFormat="1" ht="13.2">
      <c r="A71" s="101">
        <v>1982</v>
      </c>
      <c r="B71" s="101">
        <v>41.6</v>
      </c>
      <c r="C71" s="102"/>
      <c r="D71" s="102"/>
      <c r="E71" s="102">
        <v>28</v>
      </c>
      <c r="F71" s="102">
        <v>19</v>
      </c>
      <c r="G71" s="102"/>
      <c r="H71" s="102">
        <v>30.5</v>
      </c>
      <c r="I71" s="102"/>
      <c r="J71" s="101">
        <f t="shared" si="7"/>
        <v>41.6</v>
      </c>
      <c r="K71" s="101">
        <f t="shared" si="8"/>
        <v>70.490281780465921</v>
      </c>
      <c r="N71" s="101">
        <v>1976</v>
      </c>
      <c r="O71" s="104">
        <f t="shared" si="6"/>
        <v>55.276661564681277</v>
      </c>
      <c r="R71" s="101">
        <v>2016</v>
      </c>
      <c r="S71" s="101">
        <f t="shared" si="9"/>
        <v>34.522359605259503</v>
      </c>
    </row>
    <row r="72" spans="1:19" s="101" customFormat="1" ht="13.2">
      <c r="A72" s="101">
        <v>1982</v>
      </c>
      <c r="B72" s="101">
        <v>44.5</v>
      </c>
      <c r="C72" s="102"/>
      <c r="D72" s="102"/>
      <c r="E72" s="102">
        <v>28</v>
      </c>
      <c r="F72" s="102">
        <v>19</v>
      </c>
      <c r="G72" s="102"/>
      <c r="H72" s="102">
        <v>30.5</v>
      </c>
      <c r="I72" s="102"/>
      <c r="J72" s="101">
        <f t="shared" si="7"/>
        <v>44.5</v>
      </c>
      <c r="K72" s="101">
        <f t="shared" si="8"/>
        <v>70.490281780465921</v>
      </c>
      <c r="N72" s="101">
        <v>1977</v>
      </c>
      <c r="O72" s="104">
        <f t="shared" si="6"/>
        <v>54.495644784160795</v>
      </c>
      <c r="R72" s="101">
        <v>2017</v>
      </c>
      <c r="S72" s="101">
        <f t="shared" si="9"/>
        <v>34.171688124486671</v>
      </c>
    </row>
    <row r="73" spans="1:19" s="101" customFormat="1" ht="13.2">
      <c r="A73" s="101">
        <v>1982</v>
      </c>
      <c r="B73" s="101">
        <v>39.299999999999997</v>
      </c>
      <c r="C73" s="102"/>
      <c r="D73" s="102"/>
      <c r="E73" s="102">
        <v>28</v>
      </c>
      <c r="F73" s="102">
        <v>19</v>
      </c>
      <c r="G73" s="102"/>
      <c r="H73" s="102">
        <v>30.5</v>
      </c>
      <c r="I73" s="102"/>
      <c r="J73" s="101">
        <f t="shared" si="7"/>
        <v>39.299999999999997</v>
      </c>
      <c r="K73" s="101">
        <f t="shared" si="8"/>
        <v>70.490281780465921</v>
      </c>
      <c r="N73" s="101">
        <v>1978</v>
      </c>
      <c r="O73" s="104">
        <f t="shared" si="6"/>
        <v>53.725663171000058</v>
      </c>
      <c r="R73" s="101">
        <v>2018</v>
      </c>
      <c r="S73" s="101">
        <f t="shared" si="9"/>
        <v>33.824578697085556</v>
      </c>
    </row>
    <row r="74" spans="1:19" s="101" customFormat="1" ht="13.2">
      <c r="A74" s="101">
        <v>1983</v>
      </c>
      <c r="B74" s="101">
        <v>41</v>
      </c>
      <c r="C74" s="102"/>
      <c r="D74" s="102"/>
      <c r="E74" s="102">
        <v>28</v>
      </c>
      <c r="F74" s="102">
        <v>19</v>
      </c>
      <c r="G74" s="102"/>
      <c r="H74" s="102">
        <v>30.5</v>
      </c>
      <c r="I74" s="102"/>
      <c r="J74" s="101">
        <f t="shared" si="7"/>
        <v>41</v>
      </c>
      <c r="K74" s="101">
        <f t="shared" si="8"/>
        <v>69.49430822895647</v>
      </c>
      <c r="N74" s="101">
        <v>1979</v>
      </c>
      <c r="O74" s="104">
        <f t="shared" si="6"/>
        <v>52.966560806758451</v>
      </c>
      <c r="R74" s="101">
        <v>2019</v>
      </c>
      <c r="S74" s="101">
        <f t="shared" si="9"/>
        <v>33.480995140403735</v>
      </c>
    </row>
    <row r="75" spans="1:19" s="101" customFormat="1" ht="13.2">
      <c r="A75" s="101">
        <v>1983</v>
      </c>
      <c r="B75" s="101">
        <v>45.3</v>
      </c>
      <c r="C75" s="102"/>
      <c r="D75" s="102"/>
      <c r="E75" s="102">
        <v>28</v>
      </c>
      <c r="F75" s="102">
        <v>19</v>
      </c>
      <c r="G75" s="102"/>
      <c r="H75" s="102">
        <v>30.5</v>
      </c>
      <c r="I75" s="102"/>
      <c r="J75" s="101">
        <f t="shared" si="7"/>
        <v>45.3</v>
      </c>
      <c r="K75" s="101">
        <f t="shared" si="8"/>
        <v>69.49430822895647</v>
      </c>
      <c r="N75" s="101">
        <v>1980</v>
      </c>
      <c r="O75" s="104">
        <f t="shared" si="6"/>
        <v>52.218183976002649</v>
      </c>
      <c r="R75" s="101">
        <v>2020</v>
      </c>
      <c r="S75" s="101">
        <f t="shared" si="9"/>
        <v>33.140901639325534</v>
      </c>
    </row>
    <row r="76" spans="1:19" s="101" customFormat="1" ht="13.2">
      <c r="A76" s="101">
        <v>1983</v>
      </c>
      <c r="B76" s="101">
        <v>44.4</v>
      </c>
      <c r="C76" s="102"/>
      <c r="D76" s="102"/>
      <c r="E76" s="102">
        <v>28</v>
      </c>
      <c r="F76" s="102">
        <v>19</v>
      </c>
      <c r="G76" s="102"/>
      <c r="H76" s="102">
        <v>30.5</v>
      </c>
      <c r="I76" s="102"/>
      <c r="J76" s="101">
        <f t="shared" si="7"/>
        <v>44.4</v>
      </c>
      <c r="K76" s="101">
        <f t="shared" si="8"/>
        <v>69.49430822895647</v>
      </c>
      <c r="N76" s="101">
        <v>1981</v>
      </c>
      <c r="O76" s="104">
        <f t="shared" si="6"/>
        <v>51.480381135181077</v>
      </c>
    </row>
    <row r="77" spans="1:19" s="101" customFormat="1" ht="13.2">
      <c r="A77" s="101">
        <v>1983</v>
      </c>
      <c r="B77" s="101">
        <v>29.1</v>
      </c>
      <c r="C77" s="102"/>
      <c r="D77" s="102"/>
      <c r="E77" s="102">
        <v>28</v>
      </c>
      <c r="F77" s="102">
        <v>19</v>
      </c>
      <c r="G77" s="102"/>
      <c r="H77" s="102">
        <v>30.5</v>
      </c>
      <c r="I77" s="102"/>
      <c r="J77" s="101">
        <f t="shared" si="7"/>
        <v>29.1</v>
      </c>
      <c r="K77" s="101">
        <f t="shared" si="8"/>
        <v>69.49430822895647</v>
      </c>
      <c r="N77" s="101">
        <v>1982</v>
      </c>
      <c r="O77" s="104">
        <f t="shared" si="6"/>
        <v>50.753002881935465</v>
      </c>
    </row>
    <row r="78" spans="1:19" s="101" customFormat="1" ht="13.2">
      <c r="A78" s="101">
        <v>1983</v>
      </c>
      <c r="B78" s="101">
        <v>58.6</v>
      </c>
      <c r="C78" s="102"/>
      <c r="D78" s="102"/>
      <c r="E78" s="102">
        <v>28</v>
      </c>
      <c r="F78" s="102">
        <v>19</v>
      </c>
      <c r="G78" s="102"/>
      <c r="H78" s="102">
        <v>30.5</v>
      </c>
      <c r="I78" s="102"/>
      <c r="J78" s="101">
        <f t="shared" si="7"/>
        <v>58.6</v>
      </c>
      <c r="K78" s="101">
        <f t="shared" si="8"/>
        <v>69.49430822895647</v>
      </c>
      <c r="N78" s="101">
        <v>1983</v>
      </c>
      <c r="O78" s="104">
        <f t="shared" si="6"/>
        <v>50.035901924848659</v>
      </c>
    </row>
    <row r="79" spans="1:19" s="101" customFormat="1" ht="13.2">
      <c r="A79" s="101">
        <v>1983</v>
      </c>
      <c r="B79" s="101">
        <v>39.4</v>
      </c>
      <c r="C79" s="102"/>
      <c r="D79" s="102"/>
      <c r="E79" s="102">
        <v>28</v>
      </c>
      <c r="F79" s="102">
        <v>19</v>
      </c>
      <c r="G79" s="102"/>
      <c r="H79" s="102">
        <v>30.5</v>
      </c>
      <c r="I79" s="102"/>
      <c r="J79" s="101">
        <f t="shared" si="7"/>
        <v>39.4</v>
      </c>
      <c r="K79" s="101">
        <f t="shared" si="8"/>
        <v>69.49430822895647</v>
      </c>
      <c r="N79" s="101">
        <v>1984</v>
      </c>
      <c r="O79" s="104">
        <f t="shared" si="6"/>
        <v>49.328933053618137</v>
      </c>
    </row>
    <row r="80" spans="1:19" s="101" customFormat="1" ht="13.2">
      <c r="A80" s="101">
        <v>1984</v>
      </c>
      <c r="B80" s="101">
        <v>41.5</v>
      </c>
      <c r="C80" s="102"/>
      <c r="D80" s="102"/>
      <c r="E80" s="102">
        <v>28</v>
      </c>
      <c r="F80" s="102">
        <v>19</v>
      </c>
      <c r="G80" s="102"/>
      <c r="H80" s="102">
        <v>30.5</v>
      </c>
      <c r="I80" s="102"/>
      <c r="J80" s="101">
        <f t="shared" si="7"/>
        <v>41.5</v>
      </c>
      <c r="K80" s="101">
        <f t="shared" si="8"/>
        <v>68.512407018914075</v>
      </c>
      <c r="N80" s="101">
        <v>1985</v>
      </c>
      <c r="O80" s="104">
        <f t="shared" si="6"/>
        <v>48.631953109650894</v>
      </c>
    </row>
    <row r="81" spans="1:15" s="101" customFormat="1" ht="13.2">
      <c r="A81" s="101">
        <v>1984</v>
      </c>
      <c r="B81" s="101">
        <v>40.799999999999997</v>
      </c>
      <c r="C81" s="102"/>
      <c r="D81" s="102"/>
      <c r="E81" s="102">
        <v>28</v>
      </c>
      <c r="F81" s="102">
        <v>19</v>
      </c>
      <c r="G81" s="102"/>
      <c r="H81" s="102">
        <v>30.5</v>
      </c>
      <c r="I81" s="102"/>
      <c r="J81" s="101">
        <f t="shared" si="7"/>
        <v>40.799999999999997</v>
      </c>
      <c r="K81" s="101">
        <f t="shared" si="8"/>
        <v>68.512407018914075</v>
      </c>
      <c r="N81" s="101">
        <v>1986</v>
      </c>
      <c r="O81" s="104">
        <f t="shared" si="6"/>
        <v>47.944820957075457</v>
      </c>
    </row>
    <row r="82" spans="1:15" s="101" customFormat="1" ht="13.2">
      <c r="A82" s="101">
        <v>1985</v>
      </c>
      <c r="B82" s="101">
        <v>40.1</v>
      </c>
      <c r="C82" s="102"/>
      <c r="D82" s="102"/>
      <c r="E82" s="102">
        <v>28</v>
      </c>
      <c r="F82" s="102">
        <v>19</v>
      </c>
      <c r="G82" s="102"/>
      <c r="H82" s="102">
        <v>30.5</v>
      </c>
      <c r="I82" s="102"/>
      <c r="J82" s="101">
        <f t="shared" si="7"/>
        <v>40.1</v>
      </c>
      <c r="K82" s="101">
        <f t="shared" si="8"/>
        <v>67.544379318959571</v>
      </c>
      <c r="N82" s="101">
        <v>1987</v>
      </c>
      <c r="O82" s="104">
        <f t="shared" si="6"/>
        <v>47.267397454161845</v>
      </c>
    </row>
    <row r="83" spans="1:15" s="101" customFormat="1" ht="13.2">
      <c r="A83" s="101">
        <v>1985</v>
      </c>
      <c r="B83" s="101">
        <v>40</v>
      </c>
      <c r="C83" s="102"/>
      <c r="D83" s="102">
        <v>34</v>
      </c>
      <c r="E83" s="102">
        <v>28</v>
      </c>
      <c r="F83" s="102">
        <v>19</v>
      </c>
      <c r="G83" s="102"/>
      <c r="H83" s="102">
        <v>30.5</v>
      </c>
      <c r="I83" s="102"/>
      <c r="J83" s="101">
        <f t="shared" si="7"/>
        <v>40</v>
      </c>
      <c r="K83" s="101">
        <f t="shared" si="8"/>
        <v>67.544379318959571</v>
      </c>
      <c r="N83" s="101">
        <v>1988</v>
      </c>
      <c r="O83" s="104">
        <f t="shared" si="6"/>
        <v>46.599545425145315</v>
      </c>
    </row>
    <row r="84" spans="1:15" s="101" customFormat="1" ht="13.2">
      <c r="A84" s="101">
        <v>1985</v>
      </c>
      <c r="B84" s="101">
        <v>42.9</v>
      </c>
      <c r="C84" s="102"/>
      <c r="D84" s="102"/>
      <c r="E84" s="102">
        <v>28</v>
      </c>
      <c r="F84" s="102">
        <v>19</v>
      </c>
      <c r="G84" s="102"/>
      <c r="H84" s="102">
        <v>30.5</v>
      </c>
      <c r="I84" s="102"/>
      <c r="J84" s="101">
        <f t="shared" si="7"/>
        <v>42.9</v>
      </c>
      <c r="K84" s="101">
        <f t="shared" si="8"/>
        <v>67.544379318959571</v>
      </c>
      <c r="N84" s="101">
        <v>1989</v>
      </c>
      <c r="O84" s="104">
        <f t="shared" si="6"/>
        <v>45.941129632449908</v>
      </c>
    </row>
    <row r="85" spans="1:15" s="101" customFormat="1" ht="13.2">
      <c r="A85" s="101">
        <v>1985</v>
      </c>
      <c r="B85" s="101">
        <v>58.6</v>
      </c>
      <c r="C85" s="102"/>
      <c r="D85" s="102"/>
      <c r="E85" s="102">
        <v>28</v>
      </c>
      <c r="F85" s="102">
        <v>19</v>
      </c>
      <c r="G85" s="102"/>
      <c r="H85" s="102">
        <v>30.5</v>
      </c>
      <c r="I85" s="102"/>
      <c r="J85" s="101">
        <f t="shared" si="7"/>
        <v>58.6</v>
      </c>
      <c r="K85" s="101">
        <f t="shared" si="8"/>
        <v>67.544379318959571</v>
      </c>
      <c r="N85" s="101">
        <v>1990</v>
      </c>
      <c r="O85" s="104">
        <f t="shared" si="6"/>
        <v>45.292016749302718</v>
      </c>
    </row>
    <row r="86" spans="1:15" s="101" customFormat="1" ht="13.2">
      <c r="A86" s="101">
        <v>1985</v>
      </c>
      <c r="B86" s="101">
        <v>37.4</v>
      </c>
      <c r="C86" s="102"/>
      <c r="D86" s="102"/>
      <c r="E86" s="102">
        <v>28</v>
      </c>
      <c r="F86" s="102">
        <v>19</v>
      </c>
      <c r="G86" s="102"/>
      <c r="H86" s="102">
        <v>30.5</v>
      </c>
      <c r="I86" s="102"/>
      <c r="J86" s="101">
        <f t="shared" si="7"/>
        <v>37.4</v>
      </c>
      <c r="K86" s="101">
        <f t="shared" si="8"/>
        <v>67.544379318959571</v>
      </c>
      <c r="N86" s="101">
        <v>1991</v>
      </c>
      <c r="O86" s="104">
        <f t="shared" si="6"/>
        <v>44.652075332735294</v>
      </c>
    </row>
    <row r="87" spans="1:15" s="101" customFormat="1" ht="13.2">
      <c r="A87" s="101">
        <v>1985</v>
      </c>
      <c r="B87" s="101">
        <v>33.700000000000003</v>
      </c>
      <c r="C87" s="102"/>
      <c r="D87" s="102"/>
      <c r="E87" s="102">
        <v>28</v>
      </c>
      <c r="F87" s="102">
        <v>19</v>
      </c>
      <c r="G87" s="102"/>
      <c r="H87" s="102">
        <v>30.5</v>
      </c>
      <c r="I87" s="102"/>
      <c r="J87" s="101">
        <f t="shared" si="7"/>
        <v>33.700000000000003</v>
      </c>
      <c r="K87" s="101">
        <f t="shared" si="8"/>
        <v>67.544379318959571</v>
      </c>
      <c r="N87" s="101">
        <v>1992</v>
      </c>
      <c r="O87" s="104">
        <f t="shared" si="6"/>
        <v>44.021175796968009</v>
      </c>
    </row>
    <row r="88" spans="1:15" s="101" customFormat="1" ht="13.2">
      <c r="A88" s="101">
        <v>1986</v>
      </c>
      <c r="B88" s="101">
        <v>41.3</v>
      </c>
      <c r="C88" s="102"/>
      <c r="D88" s="102"/>
      <c r="E88" s="102">
        <v>28</v>
      </c>
      <c r="F88" s="102">
        <v>19</v>
      </c>
      <c r="G88" s="102"/>
      <c r="H88" s="102">
        <v>30.5</v>
      </c>
      <c r="I88" s="102"/>
      <c r="J88" s="101">
        <f t="shared" si="7"/>
        <v>41.3</v>
      </c>
      <c r="K88" s="101">
        <f t="shared" si="8"/>
        <v>66.590029107049247</v>
      </c>
      <c r="N88" s="101">
        <v>1993</v>
      </c>
      <c r="O88" s="104">
        <f t="shared" si="6"/>
        <v>43.399190387168183</v>
      </c>
    </row>
    <row r="89" spans="1:15" s="101" customFormat="1" ht="13.2">
      <c r="A89" s="101">
        <v>1986</v>
      </c>
      <c r="B89" s="101">
        <v>35.5</v>
      </c>
      <c r="C89" s="102"/>
      <c r="D89" s="102"/>
      <c r="E89" s="102">
        <v>28</v>
      </c>
      <c r="F89" s="102">
        <v>19</v>
      </c>
      <c r="G89" s="102"/>
      <c r="H89" s="102">
        <v>30.5</v>
      </c>
      <c r="I89" s="102"/>
      <c r="J89" s="101">
        <f t="shared" si="7"/>
        <v>35.5</v>
      </c>
      <c r="K89" s="101">
        <f t="shared" si="8"/>
        <v>66.590029107049247</v>
      </c>
      <c r="N89" s="101">
        <v>1994</v>
      </c>
      <c r="O89" s="104">
        <f t="shared" si="6"/>
        <v>42.785993153581281</v>
      </c>
    </row>
    <row r="90" spans="1:15" s="101" customFormat="1" ht="13.2">
      <c r="A90" s="101">
        <v>1986</v>
      </c>
      <c r="B90" s="101">
        <v>56.1</v>
      </c>
      <c r="C90" s="102"/>
      <c r="D90" s="102"/>
      <c r="E90" s="102">
        <v>28</v>
      </c>
      <c r="F90" s="102">
        <v>19</v>
      </c>
      <c r="G90" s="102"/>
      <c r="H90" s="102">
        <v>30.5</v>
      </c>
      <c r="I90" s="102"/>
      <c r="J90" s="101">
        <f t="shared" si="7"/>
        <v>56.1</v>
      </c>
      <c r="K90" s="101">
        <f t="shared" si="8"/>
        <v>66.590029107049247</v>
      </c>
      <c r="N90" s="101">
        <v>1995</v>
      </c>
      <c r="O90" s="104">
        <f t="shared" si="6"/>
        <v>42.181459926026079</v>
      </c>
    </row>
    <row r="91" spans="1:15" s="101" customFormat="1" ht="13.2">
      <c r="A91" s="101">
        <v>1987</v>
      </c>
      <c r="B91" s="101">
        <v>37</v>
      </c>
      <c r="C91" s="102"/>
      <c r="D91" s="102"/>
      <c r="E91" s="102">
        <v>28</v>
      </c>
      <c r="F91" s="102">
        <v>19</v>
      </c>
      <c r="G91" s="102"/>
      <c r="H91" s="102">
        <v>30.5</v>
      </c>
      <c r="I91" s="102"/>
      <c r="J91" s="101">
        <f t="shared" si="7"/>
        <v>37</v>
      </c>
      <c r="K91" s="101">
        <f t="shared" si="8"/>
        <v>65.649163130780337</v>
      </c>
      <c r="N91" s="101">
        <v>1996</v>
      </c>
      <c r="O91" s="104">
        <f t="shared" si="6"/>
        <v>41.585468288750199</v>
      </c>
    </row>
    <row r="92" spans="1:15" s="101" customFormat="1" ht="13.2">
      <c r="A92" s="101">
        <v>1987</v>
      </c>
      <c r="B92" s="101">
        <v>40.4</v>
      </c>
      <c r="C92" s="102"/>
      <c r="D92" s="102"/>
      <c r="E92" s="102">
        <v>28</v>
      </c>
      <c r="F92" s="102">
        <v>19</v>
      </c>
      <c r="G92" s="102"/>
      <c r="H92" s="102">
        <v>30.5</v>
      </c>
      <c r="I92" s="102"/>
      <c r="J92" s="101">
        <f t="shared" si="7"/>
        <v>40.4</v>
      </c>
      <c r="K92" s="101">
        <f t="shared" si="8"/>
        <v>65.649163130780337</v>
      </c>
      <c r="N92" s="101">
        <v>1997</v>
      </c>
      <c r="O92" s="104">
        <f t="shared" si="6"/>
        <v>40.997897555642304</v>
      </c>
    </row>
    <row r="93" spans="1:15" s="101" customFormat="1" ht="13.2">
      <c r="A93" s="101">
        <v>1988</v>
      </c>
      <c r="B93" s="101">
        <v>41.6</v>
      </c>
      <c r="C93" s="102"/>
      <c r="D93" s="102"/>
      <c r="E93" s="102">
        <v>28</v>
      </c>
      <c r="F93" s="102">
        <v>19</v>
      </c>
      <c r="G93" s="102"/>
      <c r="H93" s="102">
        <v>30.5</v>
      </c>
      <c r="I93" s="102"/>
      <c r="J93" s="101">
        <f t="shared" si="7"/>
        <v>41.6</v>
      </c>
      <c r="K93" s="101">
        <f t="shared" si="8"/>
        <v>64.721590868257394</v>
      </c>
      <c r="N93" s="101">
        <v>1998</v>
      </c>
      <c r="O93" s="104">
        <f t="shared" si="6"/>
        <v>40.418628745793129</v>
      </c>
    </row>
    <row r="94" spans="1:15" s="101" customFormat="1" ht="13.2">
      <c r="A94" s="101">
        <v>1988</v>
      </c>
      <c r="B94" s="101">
        <v>30.7</v>
      </c>
      <c r="C94" s="102"/>
      <c r="D94" s="102"/>
      <c r="E94" s="102">
        <v>28</v>
      </c>
      <c r="F94" s="102">
        <v>19</v>
      </c>
      <c r="G94" s="102"/>
      <c r="H94" s="102">
        <v>30.5</v>
      </c>
      <c r="I94" s="102"/>
      <c r="J94" s="101">
        <f t="shared" si="7"/>
        <v>30.7</v>
      </c>
      <c r="K94" s="101">
        <f t="shared" si="8"/>
        <v>64.721590868257394</v>
      </c>
      <c r="N94" s="101">
        <v>1999</v>
      </c>
      <c r="O94" s="104">
        <f t="shared" si="6"/>
        <v>39.847544559401847</v>
      </c>
    </row>
    <row r="95" spans="1:15" s="101" customFormat="1" ht="13.2">
      <c r="A95" s="101">
        <v>1988</v>
      </c>
      <c r="B95" s="101">
        <v>49.8</v>
      </c>
      <c r="C95" s="102"/>
      <c r="D95" s="102"/>
      <c r="E95" s="102">
        <v>28</v>
      </c>
      <c r="F95" s="102">
        <v>19</v>
      </c>
      <c r="G95" s="102"/>
      <c r="H95" s="102">
        <v>30.5</v>
      </c>
      <c r="I95" s="102"/>
      <c r="J95" s="101">
        <f t="shared" si="7"/>
        <v>49.8</v>
      </c>
      <c r="K95" s="101">
        <f t="shared" si="8"/>
        <v>64.721590868257394</v>
      </c>
      <c r="N95" s="101">
        <v>2000</v>
      </c>
      <c r="O95" s="104">
        <f t="shared" si="6"/>
        <v>39.28452935402418</v>
      </c>
    </row>
    <row r="96" spans="1:15" s="101" customFormat="1" ht="13.2">
      <c r="A96" s="101">
        <v>1988</v>
      </c>
      <c r="B96" s="101">
        <v>33.5</v>
      </c>
      <c r="C96" s="102"/>
      <c r="D96" s="102"/>
      <c r="E96" s="102">
        <v>28</v>
      </c>
      <c r="F96" s="102">
        <v>19</v>
      </c>
      <c r="G96" s="102"/>
      <c r="H96" s="102">
        <v>30.5</v>
      </c>
      <c r="I96" s="102"/>
      <c r="J96" s="101">
        <f t="shared" si="7"/>
        <v>33.5</v>
      </c>
      <c r="K96" s="101">
        <f t="shared" si="8"/>
        <v>64.721590868257394</v>
      </c>
      <c r="N96" s="101">
        <v>2001</v>
      </c>
      <c r="O96" s="104">
        <f t="shared" si="6"/>
        <v>38.729469121154779</v>
      </c>
    </row>
    <row r="97" spans="1:15" s="101" customFormat="1" ht="13.2">
      <c r="A97" s="101">
        <v>1989</v>
      </c>
      <c r="B97" s="101">
        <v>33.5</v>
      </c>
      <c r="C97" s="102"/>
      <c r="D97" s="102"/>
      <c r="E97" s="102">
        <v>28</v>
      </c>
      <c r="F97" s="102">
        <v>19</v>
      </c>
      <c r="G97" s="102"/>
      <c r="H97" s="102">
        <v>30.5</v>
      </c>
      <c r="I97" s="102"/>
      <c r="J97" s="101">
        <f t="shared" si="7"/>
        <v>33.5</v>
      </c>
      <c r="K97" s="101">
        <f t="shared" si="8"/>
        <v>63.807124489513761</v>
      </c>
      <c r="N97" s="101">
        <v>2002</v>
      </c>
      <c r="O97" s="104">
        <f t="shared" si="6"/>
        <v>38.18225146314051</v>
      </c>
    </row>
    <row r="98" spans="1:15" s="101" customFormat="1" ht="13.2">
      <c r="A98" s="101">
        <v>1989</v>
      </c>
      <c r="B98" s="101">
        <v>40.1</v>
      </c>
      <c r="C98" s="102"/>
      <c r="D98" s="102"/>
      <c r="E98" s="102">
        <v>28</v>
      </c>
      <c r="F98" s="102">
        <v>19</v>
      </c>
      <c r="G98" s="102"/>
      <c r="H98" s="102">
        <v>30.5</v>
      </c>
      <c r="I98" s="102"/>
      <c r="J98" s="101">
        <f t="shared" si="7"/>
        <v>40.1</v>
      </c>
      <c r="K98" s="101">
        <f t="shared" si="8"/>
        <v>63.807124489513761</v>
      </c>
      <c r="N98" s="101">
        <v>2003</v>
      </c>
      <c r="O98" s="104">
        <f t="shared" si="6"/>
        <v>37.642765570421325</v>
      </c>
    </row>
    <row r="99" spans="1:15" s="101" customFormat="1" ht="13.2">
      <c r="A99" s="101">
        <v>1990</v>
      </c>
      <c r="B99" s="101">
        <v>29.4</v>
      </c>
      <c r="C99" s="102"/>
      <c r="D99" s="102"/>
      <c r="E99" s="102">
        <v>28</v>
      </c>
      <c r="F99" s="102">
        <v>19</v>
      </c>
      <c r="G99" s="102"/>
      <c r="H99" s="102">
        <v>30.5</v>
      </c>
      <c r="I99" s="102"/>
      <c r="J99" s="101">
        <f t="shared" si="7"/>
        <v>29.4</v>
      </c>
      <c r="K99" s="101">
        <f t="shared" si="8"/>
        <v>62.905578818476002</v>
      </c>
      <c r="N99" s="101">
        <v>2004</v>
      </c>
      <c r="O99" s="104">
        <f t="shared" si="6"/>
        <v>37.110902199090617</v>
      </c>
    </row>
    <row r="100" spans="1:15" s="101" customFormat="1" ht="13.2">
      <c r="A100" s="101">
        <v>1990</v>
      </c>
      <c r="B100" s="101">
        <v>39.299999999999997</v>
      </c>
      <c r="C100" s="102"/>
      <c r="D100" s="102"/>
      <c r="E100" s="102">
        <v>28</v>
      </c>
      <c r="F100" s="102">
        <v>19</v>
      </c>
      <c r="G100" s="102"/>
      <c r="H100" s="102">
        <v>30.5</v>
      </c>
      <c r="I100" s="102"/>
      <c r="J100" s="101">
        <f t="shared" si="7"/>
        <v>39.299999999999997</v>
      </c>
      <c r="K100" s="101">
        <f t="shared" si="8"/>
        <v>62.905578818476002</v>
      </c>
      <c r="N100" s="101">
        <v>2005</v>
      </c>
      <c r="O100" s="104">
        <f t="shared" si="6"/>
        <v>36.586553648774689</v>
      </c>
    </row>
    <row r="101" spans="1:15" s="101" customFormat="1" ht="13.2">
      <c r="A101" s="101">
        <v>1990</v>
      </c>
      <c r="B101" s="101">
        <v>41.3</v>
      </c>
      <c r="C101" s="102"/>
      <c r="D101" s="102"/>
      <c r="E101" s="102">
        <v>28</v>
      </c>
      <c r="F101" s="102">
        <v>19</v>
      </c>
      <c r="G101" s="102"/>
      <c r="H101" s="102">
        <v>30.5</v>
      </c>
      <c r="I101" s="102"/>
      <c r="J101" s="101">
        <f t="shared" si="7"/>
        <v>41.3</v>
      </c>
      <c r="K101" s="101">
        <f t="shared" si="8"/>
        <v>62.905578818476002</v>
      </c>
      <c r="N101" s="101">
        <v>2006</v>
      </c>
      <c r="O101" s="104">
        <f t="shared" si="6"/>
        <v>36.069613740823435</v>
      </c>
    </row>
    <row r="102" spans="1:15" s="101" customFormat="1" ht="13.2">
      <c r="A102" s="101">
        <v>1990</v>
      </c>
      <c r="B102" s="101">
        <v>36.200000000000003</v>
      </c>
      <c r="C102" s="102"/>
      <c r="D102" s="102"/>
      <c r="E102" s="102">
        <v>28</v>
      </c>
      <c r="F102" s="102">
        <v>19</v>
      </c>
      <c r="G102" s="102"/>
      <c r="H102" s="102">
        <v>30.5</v>
      </c>
      <c r="I102" s="102"/>
      <c r="J102" s="101">
        <f t="shared" si="7"/>
        <v>36.200000000000003</v>
      </c>
      <c r="K102" s="101">
        <f t="shared" si="8"/>
        <v>62.905578818476002</v>
      </c>
      <c r="N102" s="101">
        <v>2007</v>
      </c>
      <c r="O102" s="104">
        <f t="shared" si="6"/>
        <v>35.559977796809129</v>
      </c>
    </row>
    <row r="103" spans="1:15" s="101" customFormat="1" ht="13.2">
      <c r="A103" s="101">
        <v>1990</v>
      </c>
      <c r="B103" s="103">
        <v>24.5</v>
      </c>
      <c r="C103" s="102"/>
      <c r="D103" s="102"/>
      <c r="E103" s="102">
        <v>28</v>
      </c>
      <c r="F103" s="102">
        <v>19</v>
      </c>
      <c r="G103" s="102"/>
      <c r="H103" s="102">
        <v>30.5</v>
      </c>
      <c r="I103" s="102"/>
      <c r="J103" s="101">
        <f t="shared" si="7"/>
        <v>24.5</v>
      </c>
      <c r="K103" s="101">
        <f t="shared" si="8"/>
        <v>62.905578818476002</v>
      </c>
      <c r="N103" s="101">
        <v>2008</v>
      </c>
      <c r="O103" s="104">
        <f t="shared" si="6"/>
        <v>35.057542617330249</v>
      </c>
    </row>
    <row r="104" spans="1:15" s="101" customFormat="1" ht="13.2">
      <c r="A104" s="101">
        <v>1991</v>
      </c>
      <c r="B104" s="101">
        <v>28</v>
      </c>
      <c r="C104" s="102"/>
      <c r="D104" s="102"/>
      <c r="E104" s="102">
        <v>28</v>
      </c>
      <c r="F104" s="102">
        <v>19</v>
      </c>
      <c r="G104" s="102"/>
      <c r="H104" s="102">
        <v>30.5</v>
      </c>
      <c r="I104" s="102"/>
      <c r="J104" s="101">
        <f t="shared" si="7"/>
        <v>28</v>
      </c>
      <c r="K104" s="101">
        <f t="shared" si="8"/>
        <v>62.016771295465688</v>
      </c>
      <c r="N104" s="101">
        <v>2009</v>
      </c>
      <c r="O104" s="104">
        <f t="shared" si="6"/>
        <v>34.562206461113554</v>
      </c>
    </row>
    <row r="105" spans="1:15" s="101" customFormat="1" ht="13.2">
      <c r="A105" s="101">
        <v>1991</v>
      </c>
      <c r="B105" s="101">
        <v>48.6</v>
      </c>
      <c r="C105" s="102"/>
      <c r="D105" s="102"/>
      <c r="E105" s="102">
        <v>28</v>
      </c>
      <c r="F105" s="102">
        <v>19</v>
      </c>
      <c r="G105" s="102"/>
      <c r="H105" s="102">
        <v>30.5</v>
      </c>
      <c r="I105" s="102"/>
      <c r="J105" s="101">
        <f t="shared" si="7"/>
        <v>48.6</v>
      </c>
      <c r="K105" s="101">
        <f t="shared" si="8"/>
        <v>62.016771295465688</v>
      </c>
      <c r="N105" s="101">
        <v>2010</v>
      </c>
      <c r="O105" s="104">
        <f t="shared" si="6"/>
        <v>34.073869024411501</v>
      </c>
    </row>
    <row r="106" spans="1:15" s="101" customFormat="1" ht="13.2">
      <c r="A106" s="101">
        <v>1992</v>
      </c>
      <c r="B106" s="101">
        <v>47</v>
      </c>
      <c r="C106" s="102"/>
      <c r="D106" s="102"/>
      <c r="E106" s="102">
        <v>28</v>
      </c>
      <c r="F106" s="102">
        <v>19</v>
      </c>
      <c r="G106" s="102"/>
      <c r="H106" s="102">
        <v>30.5</v>
      </c>
      <c r="I106" s="102"/>
      <c r="J106" s="101">
        <f t="shared" si="7"/>
        <v>47</v>
      </c>
      <c r="K106" s="101">
        <f t="shared" si="8"/>
        <v>61.140521940233349</v>
      </c>
      <c r="N106" s="101">
        <v>2011</v>
      </c>
      <c r="O106" s="104">
        <f t="shared" si="6"/>
        <v>33.592431420691838</v>
      </c>
    </row>
    <row r="107" spans="1:15" s="101" customFormat="1" ht="13.2">
      <c r="A107" s="101">
        <v>1993</v>
      </c>
      <c r="B107" s="101">
        <v>37.700000000000003</v>
      </c>
      <c r="C107" s="102"/>
      <c r="D107" s="102"/>
      <c r="E107" s="102">
        <v>28</v>
      </c>
      <c r="F107" s="102">
        <v>19</v>
      </c>
      <c r="G107" s="102"/>
      <c r="H107" s="102">
        <v>30.5</v>
      </c>
      <c r="I107" s="102"/>
      <c r="J107" s="101">
        <f t="shared" si="7"/>
        <v>37.700000000000003</v>
      </c>
      <c r="K107" s="101">
        <f t="shared" si="8"/>
        <v>60.276653315511368</v>
      </c>
      <c r="N107" s="101">
        <v>2012</v>
      </c>
      <c r="O107" s="104">
        <f t="shared" si="6"/>
        <v>33.117796160613089</v>
      </c>
    </row>
    <row r="108" spans="1:15" s="101" customFormat="1" ht="13.2">
      <c r="A108" s="101">
        <v>1993</v>
      </c>
      <c r="B108" s="101">
        <v>48</v>
      </c>
      <c r="C108" s="102"/>
      <c r="D108" s="102"/>
      <c r="E108" s="102">
        <v>28</v>
      </c>
      <c r="F108" s="102">
        <v>19</v>
      </c>
      <c r="G108" s="102"/>
      <c r="H108" s="102">
        <v>30.5</v>
      </c>
      <c r="I108" s="102"/>
      <c r="J108" s="101">
        <f t="shared" si="7"/>
        <v>48</v>
      </c>
      <c r="K108" s="101">
        <f t="shared" si="8"/>
        <v>60.276653315511368</v>
      </c>
      <c r="N108" s="101">
        <v>2013</v>
      </c>
      <c r="O108" s="104">
        <f t="shared" si="6"/>
        <v>32.649867132282935</v>
      </c>
    </row>
    <row r="109" spans="1:15" s="101" customFormat="1" ht="13.2">
      <c r="A109" s="101">
        <v>1993</v>
      </c>
      <c r="B109" s="101">
        <v>28.8</v>
      </c>
      <c r="C109" s="102"/>
      <c r="D109" s="102"/>
      <c r="E109" s="102">
        <v>28</v>
      </c>
      <c r="F109" s="102">
        <v>19</v>
      </c>
      <c r="G109" s="102"/>
      <c r="H109" s="102">
        <v>30.5</v>
      </c>
      <c r="I109" s="102"/>
      <c r="J109" s="101">
        <f t="shared" si="7"/>
        <v>28.8</v>
      </c>
      <c r="K109" s="101">
        <f t="shared" si="8"/>
        <v>60.276653315511368</v>
      </c>
      <c r="N109" s="101">
        <v>2014</v>
      </c>
      <c r="O109" s="104">
        <f t="shared" si="6"/>
        <v>32.188549581796778</v>
      </c>
    </row>
    <row r="110" spans="1:15" s="101" customFormat="1" ht="13.2">
      <c r="A110" s="101">
        <v>1994</v>
      </c>
      <c r="B110" s="101">
        <v>50</v>
      </c>
      <c r="C110" s="102"/>
      <c r="D110" s="102"/>
      <c r="E110" s="102">
        <v>28</v>
      </c>
      <c r="F110" s="102">
        <v>19</v>
      </c>
      <c r="G110" s="102"/>
      <c r="H110" s="102">
        <v>30.5</v>
      </c>
      <c r="I110" s="102"/>
      <c r="J110" s="101">
        <f t="shared" si="7"/>
        <v>50</v>
      </c>
      <c r="K110" s="101">
        <f t="shared" si="8"/>
        <v>59.424990491085111</v>
      </c>
      <c r="N110" s="101">
        <v>2015</v>
      </c>
      <c r="O110" s="104">
        <f t="shared" si="6"/>
        <v>31.733750094049459</v>
      </c>
    </row>
    <row r="111" spans="1:15" s="101" customFormat="1" ht="13.2">
      <c r="A111" s="101">
        <v>1994</v>
      </c>
      <c r="B111" s="101">
        <v>46.05</v>
      </c>
      <c r="C111" s="102"/>
      <c r="D111" s="102"/>
      <c r="E111" s="102">
        <v>28</v>
      </c>
      <c r="F111" s="102">
        <v>19</v>
      </c>
      <c r="G111" s="102"/>
      <c r="H111" s="102">
        <v>30.5</v>
      </c>
      <c r="I111" s="102"/>
      <c r="J111" s="101">
        <f t="shared" si="7"/>
        <v>46.05</v>
      </c>
      <c r="K111" s="101">
        <f t="shared" si="8"/>
        <v>59.424990491085111</v>
      </c>
      <c r="N111" s="101">
        <v>2016</v>
      </c>
      <c r="O111" s="104">
        <f t="shared" si="6"/>
        <v>31.285376573819857</v>
      </c>
    </row>
    <row r="112" spans="1:15" s="101" customFormat="1" ht="13.2">
      <c r="A112" s="101">
        <v>1995</v>
      </c>
      <c r="B112" s="101">
        <v>31.9</v>
      </c>
      <c r="C112" s="102"/>
      <c r="D112" s="102">
        <v>31</v>
      </c>
      <c r="E112" s="102">
        <v>28</v>
      </c>
      <c r="F112" s="102">
        <v>19</v>
      </c>
      <c r="G112" s="102"/>
      <c r="H112" s="102">
        <v>30.5</v>
      </c>
      <c r="I112" s="102"/>
      <c r="J112" s="101">
        <f t="shared" si="7"/>
        <v>31.9</v>
      </c>
      <c r="K112" s="101">
        <f t="shared" si="8"/>
        <v>58.585361008369553</v>
      </c>
      <c r="N112" s="101">
        <v>2017</v>
      </c>
      <c r="O112" s="104">
        <f t="shared" si="6"/>
        <v>30.843338227121617</v>
      </c>
    </row>
    <row r="113" spans="1:16" s="101" customFormat="1" ht="13.2">
      <c r="A113" s="101">
        <v>1995</v>
      </c>
      <c r="B113" s="101">
        <v>35.6</v>
      </c>
      <c r="C113" s="102"/>
      <c r="D113" s="102"/>
      <c r="E113" s="102">
        <v>28</v>
      </c>
      <c r="F113" s="102">
        <v>19</v>
      </c>
      <c r="G113" s="102"/>
      <c r="H113" s="102">
        <v>30.5</v>
      </c>
      <c r="I113" s="102"/>
      <c r="J113" s="101">
        <f t="shared" si="7"/>
        <v>35.6</v>
      </c>
      <c r="K113" s="101">
        <f t="shared" si="8"/>
        <v>58.585361008369553</v>
      </c>
      <c r="N113" s="101">
        <v>2018</v>
      </c>
      <c r="O113" s="104">
        <f t="shared" si="6"/>
        <v>30.407545542817349</v>
      </c>
    </row>
    <row r="114" spans="1:16" s="101" customFormat="1" ht="13.2">
      <c r="A114" s="101">
        <v>1995</v>
      </c>
      <c r="B114" s="101">
        <v>42</v>
      </c>
      <c r="C114" s="102"/>
      <c r="D114" s="102"/>
      <c r="E114" s="102">
        <v>28</v>
      </c>
      <c r="F114" s="102">
        <v>19</v>
      </c>
      <c r="G114" s="102"/>
      <c r="H114" s="102">
        <v>30.5</v>
      </c>
      <c r="I114" s="102"/>
      <c r="J114" s="101">
        <f t="shared" si="7"/>
        <v>42</v>
      </c>
      <c r="K114" s="101">
        <f t="shared" si="8"/>
        <v>58.585361008369553</v>
      </c>
      <c r="N114" s="101">
        <v>2019</v>
      </c>
      <c r="O114" s="104">
        <f t="shared" si="6"/>
        <v>29.977910274493627</v>
      </c>
    </row>
    <row r="115" spans="1:16" s="101" customFormat="1" ht="13.2">
      <c r="A115" s="101">
        <v>1996</v>
      </c>
      <c r="B115" s="101">
        <v>36.299999999999997</v>
      </c>
      <c r="C115" s="102"/>
      <c r="D115" s="102"/>
      <c r="E115" s="102">
        <v>28</v>
      </c>
      <c r="F115" s="102">
        <v>19</v>
      </c>
      <c r="G115" s="102"/>
      <c r="H115" s="102">
        <v>30.5</v>
      </c>
      <c r="I115" s="102"/>
      <c r="J115" s="101">
        <f t="shared" si="7"/>
        <v>36.299999999999997</v>
      </c>
      <c r="K115" s="101">
        <f t="shared" si="8"/>
        <v>57.757594845486388</v>
      </c>
      <c r="N115" s="101">
        <v>2020</v>
      </c>
      <c r="O115" s="104">
        <f>90000000000000*EXP(-0.01423*N115)</f>
        <v>29.55434542259108</v>
      </c>
    </row>
    <row r="116" spans="1:16" s="101" customFormat="1" ht="13.2">
      <c r="A116" s="101">
        <v>1997</v>
      </c>
      <c r="B116" s="101">
        <v>35.799999999999997</v>
      </c>
      <c r="C116" s="102"/>
      <c r="D116" s="102"/>
      <c r="E116" s="102">
        <v>28</v>
      </c>
      <c r="F116" s="102">
        <v>19</v>
      </c>
      <c r="G116" s="102"/>
      <c r="H116" s="102">
        <v>30.5</v>
      </c>
      <c r="I116" s="102"/>
      <c r="J116" s="101">
        <f t="shared" si="7"/>
        <v>35.799999999999997</v>
      </c>
      <c r="K116" s="101">
        <f t="shared" si="8"/>
        <v>56.941524382836533</v>
      </c>
      <c r="O116" s="104"/>
      <c r="P116" s="104"/>
    </row>
    <row r="117" spans="1:16" s="101" customFormat="1" ht="13.2">
      <c r="A117" s="101">
        <v>2000</v>
      </c>
      <c r="B117" s="103">
        <v>22.9</v>
      </c>
      <c r="C117" s="102"/>
      <c r="D117" s="102"/>
      <c r="E117" s="102">
        <v>28</v>
      </c>
      <c r="F117" s="102">
        <v>19</v>
      </c>
      <c r="G117" s="102"/>
      <c r="H117" s="102">
        <v>30.5</v>
      </c>
      <c r="I117" s="102"/>
      <c r="J117" s="101">
        <f t="shared" si="7"/>
        <v>22.9</v>
      </c>
      <c r="K117" s="101">
        <f t="shared" si="8"/>
        <v>54.561846325033578</v>
      </c>
      <c r="O117" s="104"/>
      <c r="P117" s="104"/>
    </row>
    <row r="118" spans="1:16" s="101" customFormat="1" ht="13.2">
      <c r="A118" s="101">
        <v>2000</v>
      </c>
      <c r="B118" s="101">
        <v>31.5</v>
      </c>
      <c r="C118" s="102"/>
      <c r="D118" s="102"/>
      <c r="E118" s="102">
        <v>28</v>
      </c>
      <c r="F118" s="102">
        <v>19</v>
      </c>
      <c r="G118" s="102"/>
      <c r="H118" s="102">
        <v>30.5</v>
      </c>
      <c r="I118" s="102"/>
      <c r="J118" s="101">
        <f t="shared" si="7"/>
        <v>31.5</v>
      </c>
      <c r="K118" s="101">
        <f t="shared" si="8"/>
        <v>54.561846325033578</v>
      </c>
      <c r="O118" s="104"/>
      <c r="P118" s="104"/>
    </row>
    <row r="119" spans="1:16" s="101" customFormat="1" ht="13.2">
      <c r="A119" s="101">
        <v>2000</v>
      </c>
      <c r="B119" s="101">
        <v>28.8</v>
      </c>
      <c r="C119" s="102"/>
      <c r="D119" s="102"/>
      <c r="E119" s="102">
        <v>28</v>
      </c>
      <c r="F119" s="102">
        <v>19</v>
      </c>
      <c r="G119" s="102"/>
      <c r="H119" s="102">
        <v>30.5</v>
      </c>
      <c r="I119" s="102"/>
      <c r="J119" s="101">
        <f t="shared" si="7"/>
        <v>28.8</v>
      </c>
      <c r="K119" s="101">
        <f t="shared" si="8"/>
        <v>54.561846325033578</v>
      </c>
      <c r="O119" s="104"/>
      <c r="P119" s="104"/>
    </row>
    <row r="120" spans="1:16" s="101" customFormat="1" ht="13.2">
      <c r="A120" s="101">
        <v>2001</v>
      </c>
      <c r="B120" s="101">
        <v>30</v>
      </c>
      <c r="C120" s="102"/>
      <c r="D120" s="102"/>
      <c r="E120" s="102">
        <v>28</v>
      </c>
      <c r="F120" s="102">
        <v>19</v>
      </c>
      <c r="G120" s="102"/>
      <c r="H120" s="102">
        <v>30.5</v>
      </c>
      <c r="I120" s="102"/>
      <c r="J120" s="101">
        <f t="shared" si="7"/>
        <v>30</v>
      </c>
      <c r="K120" s="101">
        <f t="shared" si="8"/>
        <v>53.790929334937189</v>
      </c>
      <c r="O120" s="104"/>
      <c r="P120" s="104"/>
    </row>
    <row r="121" spans="1:16" s="101" customFormat="1" ht="13.2">
      <c r="A121" s="101">
        <v>2001</v>
      </c>
      <c r="B121" s="101">
        <v>29.7</v>
      </c>
      <c r="C121" s="102"/>
      <c r="D121" s="102"/>
      <c r="E121" s="102">
        <v>28</v>
      </c>
      <c r="F121" s="102">
        <v>19</v>
      </c>
      <c r="G121" s="102"/>
      <c r="H121" s="102">
        <v>30.5</v>
      </c>
      <c r="I121" s="102"/>
      <c r="J121" s="101">
        <f t="shared" si="7"/>
        <v>29.7</v>
      </c>
      <c r="K121" s="101">
        <f t="shared" si="8"/>
        <v>53.790929334937189</v>
      </c>
      <c r="O121" s="104"/>
      <c r="P121" s="104"/>
    </row>
    <row r="122" spans="1:16" s="101" customFormat="1" ht="13.2">
      <c r="A122" s="101">
        <v>2002</v>
      </c>
      <c r="C122" s="102"/>
      <c r="D122" s="102"/>
      <c r="E122" s="102">
        <v>28</v>
      </c>
      <c r="F122" s="102">
        <v>19</v>
      </c>
      <c r="G122" s="102"/>
      <c r="H122" s="102">
        <v>30.5</v>
      </c>
      <c r="I122" s="102"/>
      <c r="K122" s="101">
        <f t="shared" si="8"/>
        <v>53.030904809917374</v>
      </c>
      <c r="O122" s="104"/>
      <c r="P122" s="104"/>
    </row>
    <row r="123" spans="1:16" s="101" customFormat="1" ht="13.2">
      <c r="A123" s="101">
        <v>2003</v>
      </c>
      <c r="C123" s="102"/>
      <c r="D123" s="102"/>
      <c r="E123" s="102">
        <v>28</v>
      </c>
      <c r="F123" s="102">
        <v>19</v>
      </c>
      <c r="G123" s="102"/>
      <c r="H123" s="102">
        <v>30.5</v>
      </c>
      <c r="I123" s="102"/>
      <c r="K123" s="101">
        <f t="shared" si="8"/>
        <v>52.281618847807394</v>
      </c>
      <c r="O123" s="104"/>
      <c r="P123" s="104"/>
    </row>
    <row r="124" spans="1:16" s="101" customFormat="1" ht="13.2">
      <c r="A124" s="101">
        <v>2004</v>
      </c>
      <c r="C124" s="102">
        <v>36.9</v>
      </c>
      <c r="D124" s="102"/>
      <c r="E124" s="102">
        <v>28</v>
      </c>
      <c r="F124" s="102">
        <v>19</v>
      </c>
      <c r="G124" s="102" t="s">
        <v>199</v>
      </c>
      <c r="H124" s="102">
        <v>30.5</v>
      </c>
      <c r="I124" s="102"/>
      <c r="J124" s="101">
        <f>C124</f>
        <v>36.9</v>
      </c>
      <c r="K124" s="101">
        <f t="shared" si="8"/>
        <v>51.54291972095919</v>
      </c>
      <c r="O124" s="104"/>
      <c r="P124" s="104"/>
    </row>
    <row r="125" spans="1:16" s="101" customFormat="1" ht="13.2">
      <c r="A125" s="101">
        <v>2005</v>
      </c>
      <c r="C125" s="102"/>
      <c r="D125" s="102">
        <v>28</v>
      </c>
      <c r="E125" s="102">
        <v>28</v>
      </c>
      <c r="F125" s="102">
        <v>19</v>
      </c>
      <c r="G125" s="102"/>
      <c r="H125" s="102">
        <v>30.5</v>
      </c>
      <c r="I125" s="102"/>
      <c r="K125" s="101">
        <f t="shared" si="8"/>
        <v>50.814657845520408</v>
      </c>
      <c r="O125" s="104"/>
      <c r="P125" s="104"/>
    </row>
    <row r="126" spans="1:16" s="101" customFormat="1" ht="13.2">
      <c r="A126" s="101">
        <v>2005</v>
      </c>
      <c r="C126" s="102"/>
      <c r="D126" s="102"/>
      <c r="E126" s="102">
        <v>28</v>
      </c>
      <c r="F126" s="102">
        <v>19</v>
      </c>
      <c r="G126" s="102"/>
      <c r="H126" s="102">
        <v>30.5</v>
      </c>
      <c r="I126" s="102"/>
      <c r="K126" s="101">
        <f t="shared" si="8"/>
        <v>50.814657845520408</v>
      </c>
      <c r="O126" s="104"/>
      <c r="P126" s="104"/>
    </row>
    <row r="127" spans="1:16" s="101" customFormat="1" ht="13.2">
      <c r="A127" s="101">
        <v>2006</v>
      </c>
      <c r="C127" s="102"/>
      <c r="D127" s="102"/>
      <c r="E127" s="102">
        <v>28</v>
      </c>
      <c r="F127" s="102">
        <v>19</v>
      </c>
      <c r="G127" s="102"/>
      <c r="H127" s="102">
        <v>30.5</v>
      </c>
      <c r="I127" s="102"/>
      <c r="K127" s="101">
        <f t="shared" si="8"/>
        <v>50.09668575114366</v>
      </c>
      <c r="O127" s="104"/>
      <c r="P127" s="104"/>
    </row>
    <row r="128" spans="1:16" s="101" customFormat="1" ht="13.2">
      <c r="A128" s="101">
        <v>2007</v>
      </c>
      <c r="C128" s="102"/>
      <c r="D128" s="102"/>
      <c r="E128" s="102">
        <v>28</v>
      </c>
      <c r="F128" s="102">
        <v>19</v>
      </c>
      <c r="G128" s="102"/>
      <c r="H128" s="102">
        <v>30.5</v>
      </c>
      <c r="I128" s="102"/>
      <c r="K128" s="101">
        <f t="shared" si="8"/>
        <v>49.38885805112379</v>
      </c>
      <c r="O128" s="104"/>
      <c r="P128" s="104"/>
    </row>
    <row r="129" spans="1:16" s="101" customFormat="1" ht="12" customHeight="1">
      <c r="A129" s="101">
        <v>2008</v>
      </c>
      <c r="C129" s="102">
        <v>36.6</v>
      </c>
      <c r="D129" s="102"/>
      <c r="E129" s="102">
        <v>28</v>
      </c>
      <c r="F129" s="102">
        <v>19</v>
      </c>
      <c r="G129" s="102" t="s">
        <v>200</v>
      </c>
      <c r="H129" s="102">
        <v>30.5</v>
      </c>
      <c r="I129" s="102"/>
      <c r="J129" s="101">
        <f>C129</f>
        <v>36.6</v>
      </c>
      <c r="K129" s="101">
        <f t="shared" si="8"/>
        <v>48.691031412958679</v>
      </c>
      <c r="O129" s="104"/>
      <c r="P129" s="104"/>
    </row>
    <row r="130" spans="1:16" s="101" customFormat="1" ht="13.2">
      <c r="A130" s="101">
        <v>2009</v>
      </c>
      <c r="C130" s="102"/>
      <c r="D130" s="102"/>
      <c r="E130" s="102">
        <v>28</v>
      </c>
      <c r="F130" s="102">
        <v>19</v>
      </c>
      <c r="G130" s="102"/>
      <c r="H130" s="102">
        <v>30.5</v>
      </c>
      <c r="I130" s="102"/>
      <c r="K130" s="101">
        <f t="shared" si="8"/>
        <v>48.003064529324384</v>
      </c>
      <c r="O130" s="104"/>
      <c r="P130" s="104"/>
    </row>
    <row r="131" spans="1:16" s="101" customFormat="1" ht="13.2">
      <c r="A131" s="101">
        <v>2010</v>
      </c>
      <c r="C131" s="102"/>
      <c r="D131" s="102">
        <v>28</v>
      </c>
      <c r="E131" s="102">
        <v>28</v>
      </c>
      <c r="F131" s="102">
        <v>19</v>
      </c>
      <c r="G131" s="102"/>
      <c r="H131" s="102">
        <v>30.5</v>
      </c>
      <c r="I131" s="102"/>
      <c r="K131" s="101">
        <f t="shared" si="8"/>
        <v>47.324818089460415</v>
      </c>
      <c r="O131" s="104"/>
      <c r="P131" s="104"/>
    </row>
    <row r="132" spans="1:16" s="101" customFormat="1" ht="13.2">
      <c r="A132" s="101">
        <v>2011</v>
      </c>
      <c r="C132" s="102"/>
      <c r="D132" s="102"/>
      <c r="E132" s="102">
        <v>28</v>
      </c>
      <c r="F132" s="102">
        <v>19</v>
      </c>
      <c r="G132" s="102"/>
      <c r="H132" s="102"/>
      <c r="I132" s="102"/>
      <c r="K132" s="101">
        <f t="shared" si="8"/>
        <v>46.656154750960887</v>
      </c>
      <c r="O132" s="104"/>
      <c r="P132" s="104"/>
    </row>
    <row r="133" spans="1:16" s="101" customFormat="1" ht="13.2">
      <c r="A133" s="101">
        <v>2012</v>
      </c>
      <c r="C133" s="102">
        <v>36</v>
      </c>
      <c r="D133" s="102">
        <v>25</v>
      </c>
      <c r="E133" s="102">
        <v>28</v>
      </c>
      <c r="F133" s="102">
        <v>19</v>
      </c>
      <c r="G133" s="102"/>
      <c r="H133" s="102"/>
      <c r="I133" s="102"/>
      <c r="J133" s="101">
        <f>C133</f>
        <v>36</v>
      </c>
      <c r="K133" s="101">
        <f t="shared" si="8"/>
        <v>45.996939111962618</v>
      </c>
      <c r="O133" s="104"/>
      <c r="P133" s="104"/>
    </row>
    <row r="134" spans="1:16">
      <c r="A134" s="101">
        <v>2013</v>
      </c>
      <c r="C134" s="99"/>
      <c r="D134" s="99"/>
      <c r="E134" s="99"/>
      <c r="F134" s="99"/>
      <c r="G134" s="99"/>
      <c r="H134" s="99"/>
      <c r="I134" s="99"/>
      <c r="K134" s="101">
        <f t="shared" ref="K134:K141" si="10">125000000000000*EXP(-0.01423*A134)</f>
        <v>45.347037683726299</v>
      </c>
    </row>
    <row r="135" spans="1:16">
      <c r="A135" s="101">
        <v>2014</v>
      </c>
      <c r="C135" s="99"/>
      <c r="D135" s="99"/>
      <c r="E135" s="99"/>
      <c r="F135" s="99"/>
      <c r="G135" s="99"/>
      <c r="H135" s="99"/>
      <c r="I135" s="99"/>
      <c r="K135" s="101">
        <f t="shared" si="10"/>
        <v>44.70631886360664</v>
      </c>
    </row>
    <row r="136" spans="1:16">
      <c r="A136" s="101">
        <v>2015</v>
      </c>
      <c r="K136" s="101">
        <f t="shared" si="10"/>
        <v>44.074652908402022</v>
      </c>
    </row>
    <row r="137" spans="1:16">
      <c r="A137" s="101">
        <v>2016</v>
      </c>
      <c r="K137" s="101">
        <f t="shared" si="10"/>
        <v>43.451911908083133</v>
      </c>
    </row>
    <row r="138" spans="1:16">
      <c r="A138" s="101">
        <v>2017</v>
      </c>
      <c r="K138" s="101">
        <f t="shared" si="10"/>
        <v>42.837969759891131</v>
      </c>
    </row>
    <row r="139" spans="1:16">
      <c r="A139" s="101">
        <v>2018</v>
      </c>
      <c r="K139" s="101">
        <f t="shared" si="10"/>
        <v>42.23270214280187</v>
      </c>
    </row>
    <row r="140" spans="1:16">
      <c r="A140" s="101">
        <v>2019</v>
      </c>
      <c r="K140" s="101">
        <f t="shared" si="10"/>
        <v>41.635986492352259</v>
      </c>
    </row>
    <row r="141" spans="1:16" ht="14.25" customHeight="1">
      <c r="A141" s="101">
        <v>2020</v>
      </c>
      <c r="K141" s="101">
        <f t="shared" si="10"/>
        <v>41.047701975820942</v>
      </c>
    </row>
    <row r="146" spans="1:6">
      <c r="A146" s="97" t="s">
        <v>201</v>
      </c>
      <c r="B146" s="97"/>
      <c r="C146" s="97"/>
      <c r="D146" s="97"/>
      <c r="E146" s="97"/>
      <c r="F146" s="97"/>
    </row>
    <row r="147" spans="1:6">
      <c r="A147" s="119" t="s">
        <v>202</v>
      </c>
      <c r="B147" s="119"/>
      <c r="C147" s="119"/>
      <c r="D147" s="119"/>
      <c r="E147" s="119"/>
      <c r="F147" s="119"/>
    </row>
    <row r="148" spans="1:6">
      <c r="A148" s="97" t="s">
        <v>203</v>
      </c>
      <c r="B148" s="97"/>
      <c r="C148" s="97"/>
      <c r="D148" s="97"/>
      <c r="E148" s="97"/>
      <c r="F148" s="97"/>
    </row>
    <row r="149" spans="1:6">
      <c r="A149" s="97" t="s">
        <v>204</v>
      </c>
      <c r="B149" s="97"/>
      <c r="C149" s="97"/>
      <c r="D149" s="97"/>
      <c r="E149" s="97"/>
      <c r="F149" s="97"/>
    </row>
  </sheetData>
  <mergeCells count="1">
    <mergeCell ref="A147:F147"/>
  </mergeCells>
  <hyperlinks>
    <hyperlink ref="A2" r:id="rId1" xr:uid="{00000000-0004-0000-0700-000000000000}"/>
  </hyperlinks>
  <pageMargins left="0.75" right="0.75" top="1" bottom="1" header="0.5" footer="0.5"/>
  <pageSetup paperSize="9"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7"/>
  <sheetViews>
    <sheetView workbookViewId="0">
      <selection activeCell="E19" sqref="E19"/>
    </sheetView>
  </sheetViews>
  <sheetFormatPr defaultColWidth="8.6640625" defaultRowHeight="14.4"/>
  <cols>
    <col min="3" max="3" width="20.44140625" bestFit="1" customWidth="1"/>
    <col min="4" max="4" width="23.109375" bestFit="1" customWidth="1"/>
    <col min="5" max="5" width="23.44140625" bestFit="1" customWidth="1"/>
  </cols>
  <sheetData>
    <row r="1" spans="1:5">
      <c r="A1" t="s">
        <v>182</v>
      </c>
    </row>
    <row r="2" spans="1:5">
      <c r="A2" s="1" t="s">
        <v>183</v>
      </c>
    </row>
    <row r="5" spans="1:5">
      <c r="A5" s="75" t="s">
        <v>4</v>
      </c>
      <c r="B5" s="75" t="s">
        <v>72</v>
      </c>
      <c r="C5" s="75" t="s">
        <v>185</v>
      </c>
      <c r="D5" s="75" t="s">
        <v>184</v>
      </c>
      <c r="E5" s="75" t="s">
        <v>132</v>
      </c>
    </row>
    <row r="6" spans="1:5">
      <c r="A6" s="74">
        <v>2002</v>
      </c>
      <c r="B6" s="74" t="s">
        <v>120</v>
      </c>
      <c r="C6" s="74" t="s">
        <v>118</v>
      </c>
      <c r="D6" s="74">
        <v>12150</v>
      </c>
      <c r="E6" s="77">
        <f>D6*0.0000010550559*(1/0.00045359237)</f>
        <v>28.260901269128492</v>
      </c>
    </row>
    <row r="7" spans="1:5">
      <c r="A7" s="74">
        <v>2002</v>
      </c>
      <c r="B7" s="74" t="s">
        <v>120</v>
      </c>
      <c r="C7" s="74" t="s">
        <v>186</v>
      </c>
      <c r="D7" s="74">
        <v>8107</v>
      </c>
      <c r="E7" s="77">
        <f t="shared" ref="E7:E10" si="0">D7*0.0000010550559*(1/0.00045359237)</f>
        <v>18.856882846816845</v>
      </c>
    </row>
    <row r="8" spans="1:5">
      <c r="A8" s="74">
        <v>2002</v>
      </c>
      <c r="B8" s="74" t="s">
        <v>120</v>
      </c>
      <c r="C8" s="74" t="s">
        <v>187</v>
      </c>
      <c r="D8" s="74">
        <v>1351</v>
      </c>
      <c r="E8" s="77">
        <f t="shared" si="0"/>
        <v>3.1424261411187318</v>
      </c>
    </row>
    <row r="9" spans="1:5">
      <c r="A9" s="74">
        <v>2002</v>
      </c>
      <c r="B9" s="74" t="s">
        <v>120</v>
      </c>
      <c r="C9" s="74" t="s">
        <v>188</v>
      </c>
      <c r="D9" s="74">
        <v>1255</v>
      </c>
      <c r="E9" s="77">
        <f t="shared" si="0"/>
        <v>2.91913013109105</v>
      </c>
    </row>
    <row r="10" spans="1:5">
      <c r="A10" s="74">
        <v>2002</v>
      </c>
      <c r="B10" s="74" t="s">
        <v>120</v>
      </c>
      <c r="C10" s="74" t="s">
        <v>189</v>
      </c>
      <c r="D10" s="74">
        <v>990</v>
      </c>
      <c r="E10" s="77">
        <f t="shared" si="0"/>
        <v>2.3027401034104695</v>
      </c>
    </row>
    <row r="11" spans="1:5">
      <c r="A11" s="74"/>
      <c r="B11" s="74"/>
      <c r="C11" s="74"/>
      <c r="D11" s="74"/>
      <c r="E11" s="74"/>
    </row>
    <row r="12" spans="1:5">
      <c r="A12" s="74"/>
      <c r="B12" s="74"/>
      <c r="C12" s="74"/>
      <c r="D12" s="74"/>
      <c r="E12" s="74"/>
    </row>
    <row r="13" spans="1:5">
      <c r="A13" s="74"/>
      <c r="B13" s="74"/>
      <c r="C13" s="74"/>
      <c r="D13" s="74"/>
      <c r="E13" s="74"/>
    </row>
    <row r="14" spans="1:5">
      <c r="A14" s="74"/>
      <c r="B14" s="74"/>
      <c r="C14" s="74"/>
      <c r="D14" s="74"/>
      <c r="E14" s="74"/>
    </row>
    <row r="15" spans="1:5">
      <c r="A15" s="74"/>
      <c r="B15" s="74"/>
      <c r="C15" s="74"/>
      <c r="D15" s="74"/>
      <c r="E15" s="74"/>
    </row>
    <row r="16" spans="1:5">
      <c r="A16" s="74"/>
      <c r="B16" s="74"/>
      <c r="C16" s="74"/>
      <c r="D16" s="74"/>
      <c r="E16" s="74"/>
    </row>
    <row r="17" spans="1:5">
      <c r="A17" s="74"/>
      <c r="B17" s="74"/>
      <c r="C17" s="74"/>
      <c r="D17" s="74"/>
      <c r="E17" s="74"/>
    </row>
    <row r="18" spans="1:5">
      <c r="A18" s="74"/>
      <c r="B18" s="74"/>
      <c r="C18" s="74"/>
      <c r="D18" s="74"/>
      <c r="E18" s="74"/>
    </row>
    <row r="19" spans="1:5">
      <c r="A19" s="74"/>
      <c r="B19" s="74"/>
      <c r="C19" s="74"/>
      <c r="D19" s="74"/>
      <c r="E19" s="74"/>
    </row>
    <row r="20" spans="1:5">
      <c r="A20" s="74"/>
      <c r="B20" s="74"/>
      <c r="C20" s="74"/>
      <c r="D20" s="74"/>
      <c r="E20" s="74"/>
    </row>
    <row r="21" spans="1:5">
      <c r="A21" s="74"/>
      <c r="B21" s="74"/>
      <c r="C21" s="74"/>
      <c r="D21" s="74"/>
      <c r="E21" s="74"/>
    </row>
    <row r="22" spans="1:5">
      <c r="A22" s="74"/>
      <c r="B22" s="74"/>
      <c r="C22" s="74"/>
      <c r="D22" s="74"/>
      <c r="E22" s="74"/>
    </row>
    <row r="23" spans="1:5">
      <c r="A23" s="74"/>
      <c r="B23" s="74"/>
      <c r="C23" s="74"/>
      <c r="D23" s="74"/>
      <c r="E23" s="74"/>
    </row>
    <row r="24" spans="1:5">
      <c r="A24" s="74"/>
      <c r="B24" s="74"/>
      <c r="C24" s="74"/>
      <c r="D24" s="74"/>
      <c r="E24" s="74"/>
    </row>
    <row r="25" spans="1:5">
      <c r="A25" s="74"/>
      <c r="B25" s="74"/>
      <c r="C25" s="74"/>
      <c r="D25" s="74"/>
      <c r="E25" s="74"/>
    </row>
    <row r="26" spans="1:5">
      <c r="A26" s="74"/>
      <c r="B26" s="74"/>
      <c r="C26" s="74"/>
      <c r="D26" s="74"/>
      <c r="E26" s="74"/>
    </row>
    <row r="27" spans="1:5">
      <c r="A27" s="74"/>
      <c r="B27" s="74"/>
      <c r="C27" s="74"/>
      <c r="D27" s="74"/>
      <c r="E27" s="74"/>
    </row>
  </sheetData>
  <hyperlinks>
    <hyperlink ref="A2" r:id="rId1" xr:uid="{00000000-0004-0000-08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9"/>
  <sheetViews>
    <sheetView zoomScaleNormal="100" workbookViewId="0">
      <selection activeCell="A2" sqref="A2"/>
    </sheetView>
  </sheetViews>
  <sheetFormatPr defaultColWidth="8.6640625" defaultRowHeight="14.4"/>
  <cols>
    <col min="2" max="2" width="12.109375" customWidth="1"/>
    <col min="3" max="3" width="23.44140625" bestFit="1" customWidth="1"/>
  </cols>
  <sheetData>
    <row r="1" spans="1:4">
      <c r="A1" s="73" t="s">
        <v>122</v>
      </c>
    </row>
    <row r="2" spans="1:4">
      <c r="A2" s="1" t="s">
        <v>123</v>
      </c>
    </row>
    <row r="4" spans="1:4">
      <c r="A4" s="75" t="s">
        <v>4</v>
      </c>
      <c r="B4" s="75" t="s">
        <v>72</v>
      </c>
      <c r="C4" s="75" t="s">
        <v>102</v>
      </c>
      <c r="D4" s="74"/>
    </row>
    <row r="5" spans="1:4">
      <c r="A5" s="74">
        <v>1980</v>
      </c>
      <c r="B5" s="74" t="s">
        <v>120</v>
      </c>
      <c r="C5" s="74"/>
      <c r="D5" s="74"/>
    </row>
    <row r="6" spans="1:4">
      <c r="A6" s="74">
        <v>1985</v>
      </c>
      <c r="B6" s="74" t="s">
        <v>120</v>
      </c>
      <c r="C6" s="74"/>
      <c r="D6" s="74"/>
    </row>
    <row r="7" spans="1:4">
      <c r="A7" s="74">
        <v>1990</v>
      </c>
      <c r="B7" s="74" t="s">
        <v>168</v>
      </c>
      <c r="C7" s="74"/>
      <c r="D7" s="74"/>
    </row>
    <row r="8" spans="1:4">
      <c r="A8" s="74">
        <v>1995</v>
      </c>
      <c r="B8" s="74" t="s">
        <v>168</v>
      </c>
      <c r="C8" s="74"/>
      <c r="D8" s="74"/>
    </row>
    <row r="9" spans="1:4">
      <c r="A9" s="74">
        <v>1998</v>
      </c>
      <c r="B9" s="74" t="s">
        <v>168</v>
      </c>
      <c r="C9" s="74"/>
      <c r="D9" s="74"/>
    </row>
    <row r="10" spans="1:4">
      <c r="A10" s="74">
        <v>1995</v>
      </c>
      <c r="B10" s="74" t="s">
        <v>120</v>
      </c>
      <c r="C10" s="74">
        <f>(39.3+41.3)/2</f>
        <v>40.299999999999997</v>
      </c>
      <c r="D10" s="74"/>
    </row>
    <row r="11" spans="1:4">
      <c r="A11" s="74">
        <v>1979</v>
      </c>
      <c r="B11" s="74" t="s">
        <v>129</v>
      </c>
      <c r="C11" s="74">
        <v>61.9</v>
      </c>
      <c r="D11" s="74"/>
    </row>
    <row r="12" spans="1:4">
      <c r="A12" s="74">
        <v>1986</v>
      </c>
      <c r="B12" s="74" t="s">
        <v>129</v>
      </c>
      <c r="C12" s="74">
        <v>56</v>
      </c>
      <c r="D12" s="74"/>
    </row>
    <row r="13" spans="1:4">
      <c r="A13" s="74">
        <v>1991</v>
      </c>
      <c r="B13" s="74" t="s">
        <v>129</v>
      </c>
      <c r="C13" s="74"/>
      <c r="D13" s="74"/>
    </row>
    <row r="14" spans="1:4">
      <c r="A14" s="74">
        <v>1994</v>
      </c>
      <c r="B14" s="74" t="s">
        <v>129</v>
      </c>
      <c r="C14" s="74"/>
      <c r="D14" s="74"/>
    </row>
    <row r="15" spans="1:4">
      <c r="A15" s="74">
        <v>1995</v>
      </c>
      <c r="B15" s="74" t="s">
        <v>129</v>
      </c>
      <c r="C15" s="74">
        <v>45.6</v>
      </c>
      <c r="D15" s="74"/>
    </row>
    <row r="16" spans="1:4">
      <c r="A16" s="74">
        <v>1995</v>
      </c>
      <c r="B16" s="74" t="s">
        <v>129</v>
      </c>
      <c r="C16" s="74">
        <v>39.6</v>
      </c>
      <c r="D16" s="74"/>
    </row>
    <row r="17" spans="1:4">
      <c r="A17" s="74">
        <v>1994</v>
      </c>
      <c r="B17" s="74" t="s">
        <v>178</v>
      </c>
      <c r="C17" s="74">
        <v>35.5</v>
      </c>
      <c r="D17" s="74"/>
    </row>
    <row r="18" spans="1:4">
      <c r="A18" s="74">
        <v>1989</v>
      </c>
      <c r="B18" s="74" t="s">
        <v>179</v>
      </c>
      <c r="C18" s="74">
        <f>(34+38.7)/2</f>
        <v>36.35</v>
      </c>
      <c r="D18" s="74"/>
    </row>
    <row r="19" spans="1:4">
      <c r="A19" s="74">
        <v>1994</v>
      </c>
      <c r="B19" s="74" t="s">
        <v>179</v>
      </c>
    </row>
  </sheetData>
  <hyperlinks>
    <hyperlink ref="A2" r:id="rId1" xr:uid="{00000000-0004-0000-0900-000000000000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7"/>
  <sheetViews>
    <sheetView workbookViewId="0">
      <selection activeCell="G15" sqref="G15"/>
    </sheetView>
  </sheetViews>
  <sheetFormatPr defaultColWidth="8.6640625" defaultRowHeight="14.4"/>
  <cols>
    <col min="3" max="3" width="23.44140625" bestFit="1" customWidth="1"/>
  </cols>
  <sheetData>
    <row r="1" spans="1:3">
      <c r="A1" t="s">
        <v>177</v>
      </c>
    </row>
    <row r="2" spans="1:3">
      <c r="A2" s="1" t="s">
        <v>76</v>
      </c>
    </row>
    <row r="4" spans="1:3">
      <c r="A4" s="75" t="s">
        <v>4</v>
      </c>
      <c r="B4" s="75" t="s">
        <v>72</v>
      </c>
      <c r="C4" s="75" t="s">
        <v>102</v>
      </c>
    </row>
    <row r="5" spans="1:3">
      <c r="A5" s="74">
        <v>2005</v>
      </c>
      <c r="B5" s="74" t="s">
        <v>167</v>
      </c>
      <c r="C5" s="74">
        <v>35</v>
      </c>
    </row>
    <row r="6" spans="1:3">
      <c r="A6" s="74">
        <v>2005</v>
      </c>
      <c r="B6" s="74" t="s">
        <v>168</v>
      </c>
      <c r="C6" s="74">
        <v>37.9</v>
      </c>
    </row>
    <row r="7" spans="1:3">
      <c r="A7" s="74">
        <v>2005</v>
      </c>
      <c r="B7" s="74" t="s">
        <v>169</v>
      </c>
      <c r="C7" s="74">
        <v>39.9</v>
      </c>
    </row>
    <row r="8" spans="1:3">
      <c r="A8" s="74">
        <v>2005</v>
      </c>
      <c r="B8" s="74" t="s">
        <v>170</v>
      </c>
      <c r="C8" s="74">
        <v>43.6</v>
      </c>
    </row>
    <row r="9" spans="1:3">
      <c r="A9" s="74">
        <v>2005</v>
      </c>
      <c r="B9" s="74" t="s">
        <v>144</v>
      </c>
      <c r="C9" s="74">
        <v>48.8</v>
      </c>
    </row>
    <row r="10" spans="1:3">
      <c r="A10" s="74">
        <v>2005</v>
      </c>
      <c r="B10" s="74" t="s">
        <v>129</v>
      </c>
      <c r="C10" s="74">
        <v>43.3</v>
      </c>
    </row>
    <row r="11" spans="1:3">
      <c r="A11" s="74">
        <v>2005</v>
      </c>
      <c r="B11" s="74" t="s">
        <v>171</v>
      </c>
      <c r="C11" s="74">
        <v>37</v>
      </c>
    </row>
    <row r="12" spans="1:3">
      <c r="A12" s="74">
        <v>2005</v>
      </c>
      <c r="B12" s="74" t="s">
        <v>172</v>
      </c>
      <c r="C12" s="74">
        <v>36</v>
      </c>
    </row>
    <row r="13" spans="1:3">
      <c r="A13" s="74">
        <v>2005</v>
      </c>
      <c r="B13" s="74" t="s">
        <v>173</v>
      </c>
      <c r="C13" s="74">
        <v>36</v>
      </c>
    </row>
    <row r="14" spans="1:3">
      <c r="A14" s="74">
        <v>2005</v>
      </c>
      <c r="B14" s="74" t="s">
        <v>174</v>
      </c>
      <c r="C14" s="74">
        <v>36</v>
      </c>
    </row>
    <row r="15" spans="1:3">
      <c r="A15" s="74">
        <v>2005</v>
      </c>
      <c r="B15" s="74" t="s">
        <v>175</v>
      </c>
      <c r="C15" s="74">
        <v>36</v>
      </c>
    </row>
    <row r="16" spans="1:3">
      <c r="A16" s="74">
        <v>2005</v>
      </c>
      <c r="B16" s="74" t="s">
        <v>39</v>
      </c>
      <c r="C16" s="74">
        <v>41.6</v>
      </c>
    </row>
    <row r="17" spans="1:3">
      <c r="A17" s="74"/>
      <c r="B17" s="74"/>
      <c r="C17" s="74"/>
    </row>
    <row r="18" spans="1:3">
      <c r="A18" s="74"/>
      <c r="B18" s="74"/>
      <c r="C18" s="74"/>
    </row>
    <row r="19" spans="1:3">
      <c r="A19" s="74"/>
      <c r="B19" s="74"/>
      <c r="C19" s="74"/>
    </row>
    <row r="20" spans="1:3">
      <c r="A20" s="74"/>
      <c r="B20" s="74"/>
      <c r="C20" s="74"/>
    </row>
    <row r="21" spans="1:3">
      <c r="A21" s="74"/>
      <c r="B21" s="74"/>
      <c r="C21" s="74"/>
    </row>
    <row r="22" spans="1:3">
      <c r="A22" s="74"/>
      <c r="B22" s="74"/>
      <c r="C22" s="74"/>
    </row>
    <row r="23" spans="1:3">
      <c r="A23" s="74"/>
      <c r="B23" s="74"/>
      <c r="C23" s="74"/>
    </row>
    <row r="24" spans="1:3">
      <c r="A24" s="74"/>
      <c r="B24" s="74"/>
      <c r="C24" s="74"/>
    </row>
    <row r="25" spans="1:3">
      <c r="A25" s="74"/>
      <c r="B25" s="74"/>
      <c r="C25" s="74"/>
    </row>
    <row r="26" spans="1:3">
      <c r="A26" s="74"/>
    </row>
    <row r="27" spans="1:3">
      <c r="A27" s="74"/>
    </row>
  </sheetData>
  <hyperlinks>
    <hyperlink ref="A2" r:id="rId1" xr:uid="{00000000-0004-0000-0A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5:E27"/>
  <sheetViews>
    <sheetView workbookViewId="0">
      <selection activeCell="A6" sqref="A6"/>
    </sheetView>
  </sheetViews>
  <sheetFormatPr defaultColWidth="8.6640625" defaultRowHeight="14.4"/>
  <sheetData>
    <row r="5" spans="1:5">
      <c r="A5" t="s">
        <v>242</v>
      </c>
    </row>
    <row r="6" spans="1:5" ht="15.6">
      <c r="A6" s="110"/>
    </row>
    <row r="7" spans="1:5">
      <c r="A7" t="s">
        <v>240</v>
      </c>
      <c r="C7" t="s">
        <v>241</v>
      </c>
      <c r="E7" s="111"/>
    </row>
    <row r="8" spans="1:5" ht="15.6">
      <c r="A8" s="110"/>
      <c r="E8" s="111"/>
    </row>
    <row r="9" spans="1:5" ht="15.6">
      <c r="A9" s="110"/>
    </row>
    <row r="10" spans="1:5" ht="15.6">
      <c r="A10" s="110"/>
    </row>
    <row r="11" spans="1:5" ht="15.6">
      <c r="A11" s="110"/>
    </row>
    <row r="12" spans="1:5" ht="15.6">
      <c r="A12" s="110"/>
    </row>
    <row r="13" spans="1:5" ht="15.6">
      <c r="A13" s="110"/>
    </row>
    <row r="14" spans="1:5" ht="15.6">
      <c r="A14" s="110"/>
    </row>
    <row r="15" spans="1:5" ht="15.6">
      <c r="A15" s="110"/>
    </row>
    <row r="16" spans="1:5" ht="15.6">
      <c r="A16" s="110"/>
    </row>
    <row r="17" spans="1:1" ht="15.6">
      <c r="A17" s="110"/>
    </row>
    <row r="18" spans="1:1" ht="15.6">
      <c r="A18" s="110"/>
    </row>
    <row r="19" spans="1:1" ht="15.6">
      <c r="A19" s="110"/>
    </row>
    <row r="20" spans="1:1" ht="15.6">
      <c r="A20" s="110"/>
    </row>
    <row r="21" spans="1:1" ht="15.6">
      <c r="A21" s="110"/>
    </row>
    <row r="22" spans="1:1" ht="15.6">
      <c r="A22" s="110"/>
    </row>
    <row r="23" spans="1:1" ht="15.6">
      <c r="A23" s="110"/>
    </row>
    <row r="24" spans="1:1" ht="15.6">
      <c r="A24" s="110"/>
    </row>
    <row r="25" spans="1:1" ht="15.6">
      <c r="A25" s="110"/>
    </row>
    <row r="26" spans="1:1" ht="15.6">
      <c r="A26" s="110"/>
    </row>
    <row r="27" spans="1:1" ht="15.6">
      <c r="A27" s="1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25"/>
  <sheetViews>
    <sheetView zoomScale="80" zoomScaleNormal="80" workbookViewId="0">
      <selection activeCell="C25" sqref="C25"/>
    </sheetView>
  </sheetViews>
  <sheetFormatPr defaultColWidth="8.6640625" defaultRowHeight="14.4"/>
  <cols>
    <col min="1" max="1" width="19" customWidth="1"/>
    <col min="2" max="3" width="23.6640625" bestFit="1" customWidth="1"/>
  </cols>
  <sheetData>
    <row r="1" spans="1:3">
      <c r="A1" t="s">
        <v>150</v>
      </c>
    </row>
    <row r="2" spans="1:3">
      <c r="A2" s="1" t="s">
        <v>151</v>
      </c>
    </row>
    <row r="5" spans="1:3">
      <c r="A5" s="79" t="s">
        <v>156</v>
      </c>
    </row>
    <row r="6" spans="1:3">
      <c r="A6" s="75" t="s">
        <v>72</v>
      </c>
      <c r="B6" s="75" t="s">
        <v>4</v>
      </c>
      <c r="C6" s="75" t="s">
        <v>102</v>
      </c>
    </row>
    <row r="7" spans="1:3">
      <c r="A7" s="74" t="s">
        <v>39</v>
      </c>
      <c r="B7" s="74">
        <v>1952</v>
      </c>
      <c r="C7" s="74">
        <v>61.1</v>
      </c>
    </row>
    <row r="8" spans="1:3">
      <c r="A8" s="74" t="s">
        <v>39</v>
      </c>
      <c r="B8" s="74">
        <v>1953</v>
      </c>
      <c r="C8" s="74">
        <v>58.6</v>
      </c>
    </row>
    <row r="9" spans="1:3">
      <c r="A9" s="74" t="s">
        <v>39</v>
      </c>
      <c r="B9" s="74">
        <v>1955</v>
      </c>
      <c r="C9" s="74">
        <v>51.7</v>
      </c>
    </row>
    <row r="10" spans="1:3">
      <c r="A10" s="74" t="s">
        <v>39</v>
      </c>
      <c r="B10" s="74">
        <v>1960</v>
      </c>
      <c r="C10" s="74">
        <v>47.9</v>
      </c>
    </row>
    <row r="11" spans="1:3">
      <c r="A11" s="74" t="s">
        <v>39</v>
      </c>
      <c r="B11" s="74">
        <v>1963</v>
      </c>
      <c r="C11" s="74">
        <v>46.7</v>
      </c>
    </row>
    <row r="12" spans="1:3">
      <c r="A12" s="74" t="s">
        <v>39</v>
      </c>
      <c r="B12" s="74">
        <v>1970</v>
      </c>
      <c r="C12" s="74">
        <f>(40.8+42.1)/2</f>
        <v>41.45</v>
      </c>
    </row>
    <row r="13" spans="1:3">
      <c r="A13" s="74" t="s">
        <v>39</v>
      </c>
      <c r="B13" s="74">
        <v>1982</v>
      </c>
      <c r="C13" s="74">
        <v>39.4</v>
      </c>
    </row>
    <row r="14" spans="1:3">
      <c r="A14" s="74" t="s">
        <v>39</v>
      </c>
      <c r="B14" s="74">
        <v>1984</v>
      </c>
      <c r="C14" s="74">
        <v>33</v>
      </c>
    </row>
    <row r="16" spans="1:3">
      <c r="A16" s="79" t="s">
        <v>157</v>
      </c>
    </row>
    <row r="17" spans="1:3">
      <c r="A17" s="75" t="s">
        <v>72</v>
      </c>
      <c r="B17" s="75" t="s">
        <v>4</v>
      </c>
      <c r="C17" s="75" t="s">
        <v>102</v>
      </c>
    </row>
    <row r="18" spans="1:3">
      <c r="A18" s="74" t="s">
        <v>39</v>
      </c>
      <c r="B18" s="74">
        <v>1940</v>
      </c>
      <c r="C18" s="74">
        <v>80</v>
      </c>
    </row>
    <row r="19" spans="1:3">
      <c r="A19" s="74"/>
      <c r="B19" s="74"/>
      <c r="C19" s="74"/>
    </row>
    <row r="20" spans="1:3">
      <c r="A20" s="74"/>
      <c r="B20" s="74"/>
      <c r="C20" s="74"/>
    </row>
    <row r="21" spans="1:3">
      <c r="A21" s="74"/>
      <c r="B21" s="74"/>
      <c r="C21" s="74"/>
    </row>
    <row r="22" spans="1:3">
      <c r="A22" s="74"/>
      <c r="B22" s="74"/>
      <c r="C22" s="74"/>
    </row>
    <row r="23" spans="1:3">
      <c r="A23" s="74"/>
      <c r="B23" s="74"/>
      <c r="C23" s="74"/>
    </row>
    <row r="24" spans="1:3">
      <c r="A24" s="74"/>
      <c r="B24" s="74"/>
      <c r="C24" s="74"/>
    </row>
    <row r="25" spans="1:3">
      <c r="A25" s="74"/>
      <c r="B25" s="74"/>
      <c r="C25" s="74"/>
    </row>
  </sheetData>
  <hyperlinks>
    <hyperlink ref="A2" r:id="rId1" xr:uid="{00000000-0004-0000-0C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4"/>
  <sheetViews>
    <sheetView zoomScale="80" zoomScaleNormal="80" workbookViewId="0">
      <selection activeCell="D7" sqref="D7"/>
    </sheetView>
  </sheetViews>
  <sheetFormatPr defaultColWidth="8.6640625" defaultRowHeight="14.4"/>
  <cols>
    <col min="1" max="1" width="9.6640625" customWidth="1"/>
    <col min="3" max="3" width="28.44140625" bestFit="1" customWidth="1"/>
    <col min="4" max="4" width="23.44140625" bestFit="1" customWidth="1"/>
  </cols>
  <sheetData>
    <row r="1" spans="1:4">
      <c r="A1" t="s">
        <v>152</v>
      </c>
    </row>
    <row r="2" spans="1:4">
      <c r="A2" s="1" t="s">
        <v>153</v>
      </c>
    </row>
    <row r="4" spans="1:4">
      <c r="A4" s="88" t="s">
        <v>160</v>
      </c>
    </row>
    <row r="5" spans="1:4">
      <c r="A5" s="75" t="s">
        <v>72</v>
      </c>
      <c r="B5" s="75" t="s">
        <v>4</v>
      </c>
      <c r="C5" s="75" t="s">
        <v>159</v>
      </c>
      <c r="D5" s="75" t="s">
        <v>102</v>
      </c>
    </row>
    <row r="6" spans="1:4">
      <c r="A6" s="74" t="s">
        <v>120</v>
      </c>
      <c r="B6" s="74">
        <v>1988</v>
      </c>
      <c r="C6" s="74">
        <v>37416</v>
      </c>
      <c r="D6" s="77">
        <f>C6*0.001055</f>
        <v>39.473880000000001</v>
      </c>
    </row>
    <row r="8" spans="1:4">
      <c r="A8" s="88" t="s">
        <v>161</v>
      </c>
      <c r="B8" s="85"/>
      <c r="C8" s="85"/>
    </row>
    <row r="9" spans="1:4">
      <c r="A9" s="75" t="s">
        <v>72</v>
      </c>
      <c r="B9" s="75" t="s">
        <v>4</v>
      </c>
      <c r="C9" s="75" t="s">
        <v>163</v>
      </c>
      <c r="D9" s="75" t="s">
        <v>102</v>
      </c>
    </row>
    <row r="10" spans="1:4">
      <c r="A10" s="74" t="s">
        <v>120</v>
      </c>
      <c r="B10" s="74">
        <v>1940</v>
      </c>
      <c r="C10" s="74">
        <v>75</v>
      </c>
      <c r="D10" s="77">
        <f>C10*1.055</f>
        <v>79.125</v>
      </c>
    </row>
    <row r="11" spans="1:4">
      <c r="A11" s="74" t="s">
        <v>120</v>
      </c>
      <c r="B11" s="74">
        <v>1985</v>
      </c>
      <c r="C11" s="74">
        <v>30</v>
      </c>
      <c r="D11" s="77">
        <f>C11*1.055</f>
        <v>31.65</v>
      </c>
    </row>
    <row r="13" spans="1:4">
      <c r="A13" s="88" t="s">
        <v>162</v>
      </c>
    </row>
    <row r="14" spans="1:4">
      <c r="A14" s="75" t="s">
        <v>72</v>
      </c>
      <c r="B14" s="75" t="s">
        <v>4</v>
      </c>
      <c r="C14" s="75" t="s">
        <v>163</v>
      </c>
      <c r="D14" s="75" t="s">
        <v>102</v>
      </c>
    </row>
  </sheetData>
  <hyperlinks>
    <hyperlink ref="A2" r:id="rId1" xr:uid="{00000000-0004-0000-0D00-000000000000}"/>
  </hyperlinks>
  <pageMargins left="0.7" right="0.7" top="0.75" bottom="0.75" header="0.3" footer="0.3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8"/>
  <sheetViews>
    <sheetView zoomScale="80" zoomScaleNormal="80" workbookViewId="0">
      <selection activeCell="G21" sqref="G21"/>
    </sheetView>
  </sheetViews>
  <sheetFormatPr defaultColWidth="8.6640625" defaultRowHeight="14.4"/>
  <cols>
    <col min="1" max="1" width="11.6640625" customWidth="1"/>
    <col min="3" max="3" width="29.33203125" bestFit="1" customWidth="1"/>
    <col min="4" max="4" width="23.6640625" bestFit="1" customWidth="1"/>
  </cols>
  <sheetData>
    <row r="1" spans="1:4">
      <c r="A1" t="s">
        <v>154</v>
      </c>
    </row>
    <row r="2" spans="1:4">
      <c r="A2" s="1" t="s">
        <v>155</v>
      </c>
    </row>
    <row r="6" spans="1:4">
      <c r="A6" s="88" t="s">
        <v>181</v>
      </c>
    </row>
    <row r="7" spans="1:4">
      <c r="A7" s="75" t="s">
        <v>72</v>
      </c>
      <c r="B7" s="75" t="s">
        <v>4</v>
      </c>
      <c r="C7" s="75" t="s">
        <v>159</v>
      </c>
      <c r="D7" s="75" t="s">
        <v>102</v>
      </c>
    </row>
    <row r="8" spans="1:4">
      <c r="A8" s="74" t="s">
        <v>120</v>
      </c>
      <c r="B8" s="74">
        <v>1985</v>
      </c>
      <c r="C8" s="74">
        <v>41544</v>
      </c>
      <c r="D8" s="77">
        <f>C8*0.001055</f>
        <v>43.828919999999997</v>
      </c>
    </row>
  </sheetData>
  <hyperlinks>
    <hyperlink ref="A2" r:id="rId1" xr:uid="{00000000-0004-0000-0E00-000000000000}"/>
  </hyperlinks>
  <pageMargins left="0.7" right="0.7" top="0.75" bottom="0.75" header="0.3" footer="0.3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"/>
  <sheetViews>
    <sheetView workbookViewId="0">
      <selection activeCell="A5" sqref="A5:B5"/>
    </sheetView>
  </sheetViews>
  <sheetFormatPr defaultColWidth="8.6640625" defaultRowHeight="14.4"/>
  <cols>
    <col min="2" max="2" width="23.44140625" bestFit="1" customWidth="1"/>
  </cols>
  <sheetData>
    <row r="1" spans="1:2">
      <c r="A1" t="s">
        <v>116</v>
      </c>
    </row>
    <row r="2" spans="1:2">
      <c r="A2" s="1" t="s">
        <v>117</v>
      </c>
    </row>
    <row r="4" spans="1:2">
      <c r="A4" s="79" t="s">
        <v>118</v>
      </c>
    </row>
    <row r="5" spans="1:2">
      <c r="A5" s="75" t="s">
        <v>4</v>
      </c>
      <c r="B5" s="75" t="s">
        <v>102</v>
      </c>
    </row>
    <row r="6" spans="1:2">
      <c r="A6" s="74">
        <v>1917</v>
      </c>
      <c r="B6" s="74">
        <v>93</v>
      </c>
    </row>
    <row r="7" spans="1:2">
      <c r="A7" s="74" t="s">
        <v>119</v>
      </c>
      <c r="B7" s="74">
        <v>81</v>
      </c>
    </row>
    <row r="8" spans="1:2">
      <c r="A8" s="74">
        <v>1965</v>
      </c>
      <c r="B8" s="74">
        <v>52</v>
      </c>
    </row>
    <row r="9" spans="1:2">
      <c r="A9" s="74">
        <v>1972</v>
      </c>
      <c r="B9" s="74">
        <v>46.5</v>
      </c>
    </row>
    <row r="10" spans="1:2">
      <c r="A10" s="74">
        <v>1978</v>
      </c>
      <c r="B10" s="74">
        <v>41.2</v>
      </c>
    </row>
  </sheetData>
  <hyperlinks>
    <hyperlink ref="A2" r:id="rId1" location="metadata_info_tab_contents" xr:uid="{00000000-0004-0000-0F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7"/>
  <sheetViews>
    <sheetView zoomScale="80" zoomScaleNormal="80" workbookViewId="0">
      <selection activeCell="D8" sqref="D8"/>
    </sheetView>
  </sheetViews>
  <sheetFormatPr defaultColWidth="8.6640625" defaultRowHeight="14.4"/>
  <cols>
    <col min="1" max="1" width="11.6640625" customWidth="1"/>
    <col min="3" max="3" width="23.109375" bestFit="1" customWidth="1"/>
    <col min="4" max="4" width="23.44140625" bestFit="1" customWidth="1"/>
  </cols>
  <sheetData>
    <row r="1" spans="1:4">
      <c r="A1" t="s">
        <v>115</v>
      </c>
    </row>
    <row r="2" spans="1:4">
      <c r="A2" s="1" t="s">
        <v>108</v>
      </c>
    </row>
    <row r="5" spans="1:4">
      <c r="A5" s="88" t="s">
        <v>166</v>
      </c>
    </row>
    <row r="6" spans="1:4">
      <c r="A6" s="75" t="s">
        <v>72</v>
      </c>
      <c r="B6" s="75" t="s">
        <v>4</v>
      </c>
      <c r="C6" s="75" t="s">
        <v>165</v>
      </c>
      <c r="D6" s="75" t="s">
        <v>102</v>
      </c>
    </row>
    <row r="7" spans="1:4">
      <c r="A7" s="74" t="s">
        <v>120</v>
      </c>
      <c r="B7" s="74">
        <v>1997</v>
      </c>
      <c r="C7" s="74">
        <f>(11700+12600)/2</f>
        <v>12150</v>
      </c>
      <c r="D7" s="74">
        <f>C7*0.0000010550559*(1/0.00045359237)</f>
        <v>28.260901269128492</v>
      </c>
    </row>
  </sheetData>
  <hyperlinks>
    <hyperlink ref="A2" r:id="rId1" xr:uid="{00000000-0004-0000-1000-000000000000}"/>
  </hyperlinks>
  <pageMargins left="0.7" right="0.7" top="0.75" bottom="0.75" header="0.3" footer="0.3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X8"/>
  <sheetViews>
    <sheetView workbookViewId="0">
      <selection activeCell="J35" sqref="J35"/>
    </sheetView>
  </sheetViews>
  <sheetFormatPr defaultColWidth="8.6640625" defaultRowHeight="14.4"/>
  <cols>
    <col min="2" max="2" width="18.6640625" bestFit="1" customWidth="1"/>
    <col min="3" max="3" width="18.109375" bestFit="1" customWidth="1"/>
    <col min="4" max="4" width="15.44140625" bestFit="1" customWidth="1"/>
    <col min="5" max="5" width="15.44140625" customWidth="1"/>
    <col min="6" max="6" width="9.33203125" customWidth="1"/>
    <col min="7" max="7" width="8.44140625" customWidth="1"/>
  </cols>
  <sheetData>
    <row r="1" spans="1:76" s="70" customFormat="1">
      <c r="A1" s="69" t="s">
        <v>83</v>
      </c>
      <c r="B1" s="69" t="s">
        <v>78</v>
      </c>
      <c r="C1" s="69" t="s">
        <v>72</v>
      </c>
      <c r="D1" s="69" t="s">
        <v>75</v>
      </c>
      <c r="E1" s="69" t="s">
        <v>80</v>
      </c>
      <c r="F1" s="71">
        <v>1950</v>
      </c>
      <c r="G1" s="71">
        <v>1951</v>
      </c>
      <c r="H1" s="71">
        <v>1952</v>
      </c>
      <c r="I1" s="71">
        <v>1953</v>
      </c>
      <c r="J1" s="71">
        <v>1954</v>
      </c>
      <c r="K1" s="71">
        <v>1955</v>
      </c>
      <c r="L1" s="71">
        <v>1956</v>
      </c>
      <c r="M1" s="71">
        <v>1957</v>
      </c>
      <c r="N1" s="71">
        <v>1958</v>
      </c>
      <c r="O1" s="71">
        <v>1959</v>
      </c>
      <c r="P1" s="71">
        <v>1960</v>
      </c>
      <c r="Q1" s="71">
        <v>1961</v>
      </c>
      <c r="R1" s="71">
        <v>1962</v>
      </c>
      <c r="S1" s="71">
        <v>1963</v>
      </c>
      <c r="T1" s="71">
        <v>1964</v>
      </c>
      <c r="U1" s="71">
        <v>1965</v>
      </c>
      <c r="V1" s="71">
        <v>1966</v>
      </c>
      <c r="W1" s="71">
        <v>1967</v>
      </c>
      <c r="X1" s="71">
        <v>1968</v>
      </c>
      <c r="Y1" s="71">
        <v>1969</v>
      </c>
      <c r="Z1" s="71">
        <v>1970</v>
      </c>
      <c r="AA1" s="71">
        <v>1971</v>
      </c>
      <c r="AB1" s="71">
        <v>1972</v>
      </c>
      <c r="AC1" s="71">
        <v>1973</v>
      </c>
      <c r="AD1" s="71">
        <v>1974</v>
      </c>
      <c r="AE1" s="71">
        <v>1975</v>
      </c>
      <c r="AF1" s="71">
        <v>1976</v>
      </c>
      <c r="AG1" s="71">
        <v>1977</v>
      </c>
      <c r="AH1" s="71">
        <v>1978</v>
      </c>
      <c r="AI1" s="71">
        <v>1979</v>
      </c>
      <c r="AJ1" s="71">
        <v>1980</v>
      </c>
      <c r="AK1" s="71">
        <v>1981</v>
      </c>
      <c r="AL1" s="71">
        <v>1982</v>
      </c>
      <c r="AM1" s="71">
        <v>1983</v>
      </c>
      <c r="AN1" s="71">
        <v>1984</v>
      </c>
      <c r="AO1" s="71">
        <v>1985</v>
      </c>
      <c r="AP1" s="71">
        <v>1986</v>
      </c>
      <c r="AQ1" s="71">
        <v>1987</v>
      </c>
      <c r="AR1" s="71">
        <v>1988</v>
      </c>
      <c r="AS1" s="71">
        <v>1989</v>
      </c>
      <c r="AT1" s="71">
        <v>1990</v>
      </c>
      <c r="AU1" s="71">
        <v>1991</v>
      </c>
      <c r="AV1" s="71">
        <v>1992</v>
      </c>
      <c r="AW1" s="71">
        <v>1993</v>
      </c>
      <c r="AX1" s="71">
        <v>1994</v>
      </c>
      <c r="AY1" s="71">
        <v>1995</v>
      </c>
      <c r="AZ1" s="71">
        <v>1996</v>
      </c>
      <c r="BA1" s="71">
        <v>1997</v>
      </c>
      <c r="BB1" s="71">
        <v>1998</v>
      </c>
      <c r="BC1" s="71">
        <v>1999</v>
      </c>
      <c r="BD1" s="71">
        <v>2000</v>
      </c>
      <c r="BE1" s="71">
        <v>2001</v>
      </c>
      <c r="BF1" s="71">
        <v>2002</v>
      </c>
      <c r="BG1" s="71">
        <v>2003</v>
      </c>
      <c r="BH1" s="71">
        <v>2004</v>
      </c>
      <c r="BI1" s="71">
        <v>2005</v>
      </c>
      <c r="BJ1" s="71">
        <v>2006</v>
      </c>
      <c r="BK1" s="71">
        <v>2007</v>
      </c>
      <c r="BL1" s="71">
        <v>2008</v>
      </c>
      <c r="BM1" s="71">
        <v>2009</v>
      </c>
      <c r="BN1" s="71">
        <v>2010</v>
      </c>
      <c r="BO1" s="71">
        <v>2011</v>
      </c>
      <c r="BP1" s="71">
        <v>2012</v>
      </c>
      <c r="BQ1" s="71">
        <v>2013</v>
      </c>
      <c r="BR1" s="71">
        <v>2014</v>
      </c>
      <c r="BS1" s="71">
        <v>2015</v>
      </c>
      <c r="BT1" s="71">
        <v>2016</v>
      </c>
      <c r="BU1" s="71">
        <v>2017</v>
      </c>
      <c r="BV1" s="71">
        <v>2018</v>
      </c>
      <c r="BW1" s="71">
        <v>2019</v>
      </c>
      <c r="BX1" s="71">
        <v>2020</v>
      </c>
    </row>
    <row r="2" spans="1:76">
      <c r="A2" t="s">
        <v>84</v>
      </c>
      <c r="B2" t="s">
        <v>77</v>
      </c>
      <c r="C2" t="s">
        <v>39</v>
      </c>
      <c r="D2" t="s">
        <v>79</v>
      </c>
      <c r="E2" t="s">
        <v>81</v>
      </c>
      <c r="F2">
        <f>Aguilera_2015_a!F12</f>
        <v>73.869000909658936</v>
      </c>
      <c r="P2">
        <f>Aguilera_2015_a!G12</f>
        <v>62.929844481328693</v>
      </c>
      <c r="Z2">
        <f>Aguilera_2015_a!H12</f>
        <v>56.77899871731789</v>
      </c>
      <c r="AJ2">
        <f>Aguilera_2015_a!I12</f>
        <v>53.205501985410493</v>
      </c>
      <c r="AT2">
        <f>Aguilera_2015_a!J12</f>
        <v>49.273320140775255</v>
      </c>
      <c r="BD2">
        <f>Aguilera_2015_a!K12</f>
        <v>48.787446696497078</v>
      </c>
      <c r="BN2">
        <f>Aguilera_2015_a!L12</f>
        <v>46.526530945670785</v>
      </c>
    </row>
    <row r="3" spans="1:76">
      <c r="A3" t="s">
        <v>84</v>
      </c>
      <c r="B3" t="s">
        <v>77</v>
      </c>
      <c r="C3" t="s">
        <v>82</v>
      </c>
      <c r="D3" t="s">
        <v>79</v>
      </c>
      <c r="E3" t="s">
        <v>81</v>
      </c>
      <c r="F3">
        <f>Aguilera_2015_a!F11</f>
        <v>73.801841541755891</v>
      </c>
      <c r="P3">
        <f>Aguilera_2015_a!G11</f>
        <v>62.129721627408991</v>
      </c>
      <c r="Z3">
        <f>Aguilera_2015_a!H11</f>
        <v>53.254047109207704</v>
      </c>
      <c r="AJ3">
        <f>Aguilera_2015_a!I11</f>
        <v>48.877002141327623</v>
      </c>
      <c r="AT3">
        <f>Aguilera_2015_a!J11</f>
        <v>44.986295503211991</v>
      </c>
      <c r="BD3">
        <f>Aguilera_2015_a!K11</f>
        <v>42.554603854389718</v>
      </c>
      <c r="BN3">
        <f>Aguilera_2015_a!L11</f>
        <v>40.254354997395673</v>
      </c>
    </row>
    <row r="4" spans="1:76">
      <c r="A4" t="s">
        <v>84</v>
      </c>
      <c r="B4" t="s">
        <v>77</v>
      </c>
      <c r="C4" t="s">
        <v>37</v>
      </c>
      <c r="D4" t="s">
        <v>79</v>
      </c>
      <c r="E4" t="s">
        <v>81</v>
      </c>
      <c r="F4">
        <f>Aguilera_2015_a!F10</f>
        <v>105.78103113430163</v>
      </c>
      <c r="P4">
        <f>Aguilera_2015_a!G10</f>
        <v>89.051246968085877</v>
      </c>
      <c r="Z4">
        <f>Aguilera_2015_a!H10</f>
        <v>76.329640258359333</v>
      </c>
      <c r="AJ4">
        <f>Aguilera_2015_a!I10</f>
        <v>70.055971196028423</v>
      </c>
      <c r="AT4">
        <f>Aguilera_2015_a!J10</f>
        <v>64.47937647395652</v>
      </c>
      <c r="BD4">
        <f>Aguilera_2015_a!K10</f>
        <v>60.994004772661562</v>
      </c>
      <c r="BN4">
        <f>Aguilera_2015_a!L10</f>
        <v>57.697031541706878</v>
      </c>
    </row>
    <row r="6" spans="1:76">
      <c r="A6" t="s">
        <v>85</v>
      </c>
      <c r="B6" t="s">
        <v>77</v>
      </c>
      <c r="C6" t="s">
        <v>39</v>
      </c>
      <c r="D6" t="s">
        <v>79</v>
      </c>
      <c r="E6" t="s">
        <v>81</v>
      </c>
      <c r="F6">
        <f>F2</f>
        <v>73.869000909658936</v>
      </c>
      <c r="G6" s="72">
        <f>F6+($P6-$F6)/($P$1-$F$1)</f>
        <v>72.775085266825911</v>
      </c>
      <c r="H6" s="72">
        <f t="shared" ref="H6:O6" si="0">G6+($P6-$F6)/($P$1-$F$1)</f>
        <v>71.681169623992886</v>
      </c>
      <c r="I6" s="72">
        <f t="shared" si="0"/>
        <v>70.587253981159861</v>
      </c>
      <c r="J6" s="72">
        <f t="shared" si="0"/>
        <v>69.493338338326836</v>
      </c>
      <c r="K6" s="72">
        <f t="shared" si="0"/>
        <v>68.399422695493811</v>
      </c>
      <c r="L6" s="72">
        <f t="shared" si="0"/>
        <v>67.305507052660786</v>
      </c>
      <c r="M6" s="72">
        <f t="shared" si="0"/>
        <v>66.211591409827761</v>
      </c>
      <c r="N6" s="72">
        <f t="shared" si="0"/>
        <v>65.117675766994736</v>
      </c>
      <c r="O6" s="72">
        <f t="shared" si="0"/>
        <v>64.023760124161711</v>
      </c>
      <c r="P6">
        <f>P2</f>
        <v>62.929844481328693</v>
      </c>
      <c r="Q6" s="72">
        <f>P6+($Z6-$P6)/($Z$1-$P$1)</f>
        <v>62.314759904927612</v>
      </c>
      <c r="R6" s="72">
        <f t="shared" ref="R6:Y6" si="1">Q6+($Z6-$P6)/($Z$1-$P$1)</f>
        <v>61.699675328526531</v>
      </c>
      <c r="S6" s="72">
        <f t="shared" si="1"/>
        <v>61.08459075212545</v>
      </c>
      <c r="T6" s="72">
        <f t="shared" si="1"/>
        <v>60.469506175724369</v>
      </c>
      <c r="U6" s="72">
        <f t="shared" si="1"/>
        <v>59.854421599323288</v>
      </c>
      <c r="V6" s="72">
        <f t="shared" si="1"/>
        <v>59.239337022922207</v>
      </c>
      <c r="W6" s="72">
        <f t="shared" si="1"/>
        <v>58.624252446521126</v>
      </c>
      <c r="X6" s="72">
        <f t="shared" si="1"/>
        <v>58.009167870120045</v>
      </c>
      <c r="Y6" s="72">
        <f t="shared" si="1"/>
        <v>57.394083293718964</v>
      </c>
      <c r="Z6">
        <f>Z2</f>
        <v>56.77899871731789</v>
      </c>
      <c r="AA6" s="72">
        <f>Z6+($AJ6-$Z6)/($AJ$1-$Z$1)</f>
        <v>56.42164904412715</v>
      </c>
      <c r="AB6" s="72">
        <f t="shared" ref="AB6:AI6" si="2">AA6+($AJ6-$Z6)/($AJ$1-$Z$1)</f>
        <v>56.064299370936411</v>
      </c>
      <c r="AC6" s="72">
        <f t="shared" si="2"/>
        <v>55.706949697745671</v>
      </c>
      <c r="AD6" s="72">
        <f t="shared" si="2"/>
        <v>55.349600024554931</v>
      </c>
      <c r="AE6" s="72">
        <f t="shared" si="2"/>
        <v>54.992250351364191</v>
      </c>
      <c r="AF6" s="72">
        <f t="shared" si="2"/>
        <v>54.634900678173452</v>
      </c>
      <c r="AG6" s="72">
        <f t="shared" si="2"/>
        <v>54.277551004982712</v>
      </c>
      <c r="AH6" s="72">
        <f t="shared" si="2"/>
        <v>53.920201331791972</v>
      </c>
      <c r="AI6" s="72">
        <f t="shared" si="2"/>
        <v>53.562851658601232</v>
      </c>
      <c r="AJ6">
        <f>AJ2</f>
        <v>53.205501985410493</v>
      </c>
      <c r="AK6" s="72">
        <f>AJ6+($AT6-$AJ6)/($AT$1-$AJ$1)</f>
        <v>52.812283800946972</v>
      </c>
      <c r="AL6" s="72">
        <f t="shared" ref="AL6:AS6" si="3">AK6+($AT6-$AJ6)/($AT$1-$AJ$1)</f>
        <v>52.419065616483451</v>
      </c>
      <c r="AM6" s="72">
        <f t="shared" si="3"/>
        <v>52.02584743201993</v>
      </c>
      <c r="AN6" s="72">
        <f t="shared" si="3"/>
        <v>51.632629247556409</v>
      </c>
      <c r="AO6" s="72">
        <f t="shared" si="3"/>
        <v>51.239411063092888</v>
      </c>
      <c r="AP6" s="72">
        <f t="shared" si="3"/>
        <v>50.846192878629367</v>
      </c>
      <c r="AQ6" s="72">
        <f t="shared" si="3"/>
        <v>50.452974694165846</v>
      </c>
      <c r="AR6" s="72">
        <f t="shared" si="3"/>
        <v>50.059756509702325</v>
      </c>
      <c r="AS6" s="72">
        <f t="shared" si="3"/>
        <v>49.666538325238804</v>
      </c>
      <c r="AT6">
        <f>AT2</f>
        <v>49.273320140775255</v>
      </c>
      <c r="AU6" s="72">
        <f>AT6+($BD6-$AT6)/($BD$1-$AT$1)</f>
        <v>49.224732796347439</v>
      </c>
      <c r="AV6" s="72">
        <f t="shared" ref="AV6:BC6" si="4">AU6+($BD6-$AT6)/($BD$1-$AT$1)</f>
        <v>49.176145451919623</v>
      </c>
      <c r="AW6" s="72">
        <f t="shared" si="4"/>
        <v>49.127558107491808</v>
      </c>
      <c r="AX6" s="72">
        <f t="shared" si="4"/>
        <v>49.078970763063992</v>
      </c>
      <c r="AY6" s="72">
        <f t="shared" si="4"/>
        <v>49.030383418636177</v>
      </c>
      <c r="AZ6" s="72">
        <f t="shared" si="4"/>
        <v>48.981796074208361</v>
      </c>
      <c r="BA6" s="72">
        <f t="shared" si="4"/>
        <v>48.933208729780546</v>
      </c>
      <c r="BB6" s="72">
        <f t="shared" si="4"/>
        <v>48.88462138535273</v>
      </c>
      <c r="BC6" s="72">
        <f t="shared" si="4"/>
        <v>48.836034040924915</v>
      </c>
      <c r="BD6">
        <f>BD2</f>
        <v>48.787446696497078</v>
      </c>
      <c r="BE6" s="72">
        <f>BD6+($BN6-$BD6)/($BN$1-$BD$1)</f>
        <v>48.561355121414451</v>
      </c>
      <c r="BF6" s="72">
        <f t="shared" ref="BF6:BM6" si="5">BE6+($BN6-$BD6)/($BN$1-$BD$1)</f>
        <v>48.335263546331824</v>
      </c>
      <c r="BG6" s="72">
        <f t="shared" si="5"/>
        <v>48.109171971249197</v>
      </c>
      <c r="BH6" s="72">
        <f t="shared" si="5"/>
        <v>47.883080396166569</v>
      </c>
      <c r="BI6" s="72">
        <f t="shared" si="5"/>
        <v>47.656988821083942</v>
      </c>
      <c r="BJ6" s="72">
        <f t="shared" si="5"/>
        <v>47.430897246001315</v>
      </c>
      <c r="BK6" s="72">
        <f t="shared" si="5"/>
        <v>47.204805670918688</v>
      </c>
      <c r="BL6" s="72">
        <f t="shared" si="5"/>
        <v>46.978714095836061</v>
      </c>
      <c r="BM6" s="72">
        <f t="shared" si="5"/>
        <v>46.752622520753434</v>
      </c>
      <c r="BN6">
        <f>BN2</f>
        <v>46.526530945670785</v>
      </c>
    </row>
    <row r="7" spans="1:76">
      <c r="A7" t="s">
        <v>85</v>
      </c>
      <c r="B7" t="s">
        <v>77</v>
      </c>
      <c r="C7" t="s">
        <v>82</v>
      </c>
      <c r="D7" t="s">
        <v>79</v>
      </c>
      <c r="E7" t="s">
        <v>81</v>
      </c>
      <c r="F7">
        <f>F3</f>
        <v>73.801841541755891</v>
      </c>
      <c r="G7" s="72">
        <f>F7+($P7-$F7)/($P$1-$F$1)</f>
        <v>72.634629550321208</v>
      </c>
      <c r="H7" s="72">
        <f>G7+($P7-$F7)/($P$1-$F$1)</f>
        <v>71.467417558886524</v>
      </c>
      <c r="I7" s="72">
        <f t="shared" ref="I7:O7" si="6">H7+($P7-$F7)/($P$1-$F$1)</f>
        <v>70.30020556745184</v>
      </c>
      <c r="J7" s="72">
        <f t="shared" si="6"/>
        <v>69.132993576017157</v>
      </c>
      <c r="K7" s="72">
        <f t="shared" si="6"/>
        <v>67.965781584582473</v>
      </c>
      <c r="L7" s="72">
        <f t="shared" si="6"/>
        <v>66.798569593147789</v>
      </c>
      <c r="M7" s="72">
        <f t="shared" si="6"/>
        <v>65.631357601713106</v>
      </c>
      <c r="N7" s="72">
        <f t="shared" si="6"/>
        <v>64.464145610278422</v>
      </c>
      <c r="O7" s="72">
        <f t="shared" si="6"/>
        <v>63.296933618843731</v>
      </c>
      <c r="P7">
        <f>P3</f>
        <v>62.129721627408991</v>
      </c>
      <c r="Q7" s="72">
        <f t="shared" ref="Q7:Y7" si="7">P7+($Z7-$P7)/($Z$1-$P$1)</f>
        <v>61.242154175588865</v>
      </c>
      <c r="R7" s="72">
        <f t="shared" si="7"/>
        <v>60.354586723768733</v>
      </c>
      <c r="S7" s="72">
        <f t="shared" si="7"/>
        <v>59.467019271948601</v>
      </c>
      <c r="T7" s="72">
        <f t="shared" si="7"/>
        <v>58.579451820128469</v>
      </c>
      <c r="U7" s="72">
        <f t="shared" si="7"/>
        <v>57.691884368308337</v>
      </c>
      <c r="V7" s="72">
        <f t="shared" si="7"/>
        <v>56.804316916488204</v>
      </c>
      <c r="W7" s="72">
        <f t="shared" si="7"/>
        <v>55.916749464668072</v>
      </c>
      <c r="X7" s="72">
        <f t="shared" si="7"/>
        <v>55.02918201284794</v>
      </c>
      <c r="Y7" s="72">
        <f t="shared" si="7"/>
        <v>54.141614561027808</v>
      </c>
      <c r="Z7">
        <f>Z3</f>
        <v>53.254047109207704</v>
      </c>
      <c r="AA7" s="72">
        <f t="shared" ref="AA7:AI8" si="8">Z7+($AJ7-$Z7)/($AJ$1-$Z$1)</f>
        <v>52.816342612419696</v>
      </c>
      <c r="AB7" s="72">
        <f t="shared" si="8"/>
        <v>52.378638115631688</v>
      </c>
      <c r="AC7" s="72">
        <f t="shared" si="8"/>
        <v>51.94093361884368</v>
      </c>
      <c r="AD7" s="72">
        <f t="shared" si="8"/>
        <v>51.503229122055671</v>
      </c>
      <c r="AE7" s="72">
        <f t="shared" si="8"/>
        <v>51.065524625267663</v>
      </c>
      <c r="AF7" s="72">
        <f t="shared" si="8"/>
        <v>50.627820128479655</v>
      </c>
      <c r="AG7" s="72">
        <f t="shared" si="8"/>
        <v>50.190115631691647</v>
      </c>
      <c r="AH7" s="72">
        <f t="shared" si="8"/>
        <v>49.752411134903639</v>
      </c>
      <c r="AI7" s="72">
        <f t="shared" si="8"/>
        <v>49.314706638115631</v>
      </c>
      <c r="AJ7">
        <f>AJ3</f>
        <v>48.877002141327623</v>
      </c>
      <c r="AK7" s="72">
        <f t="shared" ref="AK7:AS8" si="9">AJ7+($AT7-$AJ7)/($AT$1-$AJ$1)</f>
        <v>48.487931477516057</v>
      </c>
      <c r="AL7" s="72">
        <f t="shared" si="9"/>
        <v>48.098860813704491</v>
      </c>
      <c r="AM7" s="72">
        <f t="shared" si="9"/>
        <v>47.709790149892925</v>
      </c>
      <c r="AN7" s="72">
        <f t="shared" si="9"/>
        <v>47.320719486081359</v>
      </c>
      <c r="AO7" s="72">
        <f t="shared" si="9"/>
        <v>46.931648822269793</v>
      </c>
      <c r="AP7" s="72">
        <f t="shared" si="9"/>
        <v>46.542578158458227</v>
      </c>
      <c r="AQ7" s="72">
        <f t="shared" si="9"/>
        <v>46.153507494646661</v>
      </c>
      <c r="AR7" s="72">
        <f t="shared" si="9"/>
        <v>45.764436830835095</v>
      </c>
      <c r="AS7" s="72">
        <f t="shared" si="9"/>
        <v>45.375366167023529</v>
      </c>
      <c r="AT7">
        <f>AT3</f>
        <v>44.986295503211991</v>
      </c>
      <c r="AU7" s="72">
        <f t="shared" ref="AU7:BC8" si="10">AT7+($BD7-$AT7)/($BD$1-$AT$1)</f>
        <v>44.743126338329766</v>
      </c>
      <c r="AV7" s="72">
        <f t="shared" si="10"/>
        <v>44.499957173447541</v>
      </c>
      <c r="AW7" s="72">
        <f t="shared" si="10"/>
        <v>44.256788008565316</v>
      </c>
      <c r="AX7" s="72">
        <f t="shared" si="10"/>
        <v>44.013618843683091</v>
      </c>
      <c r="AY7" s="72">
        <f t="shared" si="10"/>
        <v>43.770449678800865</v>
      </c>
      <c r="AZ7" s="72">
        <f t="shared" si="10"/>
        <v>43.52728051391864</v>
      </c>
      <c r="BA7" s="72">
        <f t="shared" si="10"/>
        <v>43.284111349036415</v>
      </c>
      <c r="BB7" s="72">
        <f t="shared" si="10"/>
        <v>43.04094218415419</v>
      </c>
      <c r="BC7" s="72">
        <f t="shared" si="10"/>
        <v>42.797773019271965</v>
      </c>
      <c r="BD7">
        <f>BD3</f>
        <v>42.554603854389718</v>
      </c>
      <c r="BE7" s="72">
        <f t="shared" ref="BE7:BM8" si="11">BD7+($BN7-$BD7)/($BN$1-$BD$1)</f>
        <v>42.324578968690311</v>
      </c>
      <c r="BF7" s="72">
        <f t="shared" si="11"/>
        <v>42.094554082990904</v>
      </c>
      <c r="BG7" s="72">
        <f t="shared" si="11"/>
        <v>41.864529197291496</v>
      </c>
      <c r="BH7" s="72">
        <f t="shared" si="11"/>
        <v>41.634504311592089</v>
      </c>
      <c r="BI7" s="72">
        <f t="shared" si="11"/>
        <v>41.404479425892681</v>
      </c>
      <c r="BJ7" s="72">
        <f t="shared" si="11"/>
        <v>41.174454540193274</v>
      </c>
      <c r="BK7" s="72">
        <f t="shared" si="11"/>
        <v>40.944429654493867</v>
      </c>
      <c r="BL7" s="72">
        <f t="shared" si="11"/>
        <v>40.714404768794459</v>
      </c>
      <c r="BM7" s="72">
        <f t="shared" si="11"/>
        <v>40.484379883095052</v>
      </c>
      <c r="BN7">
        <f>BN3</f>
        <v>40.254354997395673</v>
      </c>
    </row>
    <row r="8" spans="1:76">
      <c r="A8" t="s">
        <v>85</v>
      </c>
      <c r="B8" t="s">
        <v>77</v>
      </c>
      <c r="C8" t="s">
        <v>37</v>
      </c>
      <c r="D8" t="s">
        <v>79</v>
      </c>
      <c r="E8" t="s">
        <v>81</v>
      </c>
      <c r="F8">
        <f>F4</f>
        <v>105.78103113430163</v>
      </c>
      <c r="G8" s="72">
        <f>F8+($P8-$F8)/($P$1-$F$1)</f>
        <v>104.10805271768005</v>
      </c>
      <c r="H8" s="72">
        <f t="shared" ref="H8:N8" si="12">G8+($P8-$F8)/($P$1-$F$1)</f>
        <v>102.43507430105848</v>
      </c>
      <c r="I8" s="72">
        <f t="shared" si="12"/>
        <v>100.7620958844369</v>
      </c>
      <c r="J8" s="72">
        <f t="shared" si="12"/>
        <v>99.089117467815328</v>
      </c>
      <c r="K8" s="72">
        <f t="shared" si="12"/>
        <v>97.416139051193753</v>
      </c>
      <c r="L8" s="72">
        <f t="shared" si="12"/>
        <v>95.743160634572178</v>
      </c>
      <c r="M8" s="72">
        <f t="shared" si="12"/>
        <v>94.070182217950602</v>
      </c>
      <c r="N8" s="72">
        <f t="shared" si="12"/>
        <v>92.397203801329027</v>
      </c>
      <c r="O8" s="72">
        <f>N8+($P8-$F8)/($P$1-$F$1)</f>
        <v>90.724225384707452</v>
      </c>
      <c r="P8">
        <f>P4</f>
        <v>89.051246968085877</v>
      </c>
      <c r="Q8" s="72">
        <f t="shared" ref="Q8:Y8" si="13">P8+($Z8-$P8)/($Z$1-$P$1)</f>
        <v>87.779086297113224</v>
      </c>
      <c r="R8" s="72">
        <f t="shared" si="13"/>
        <v>86.506925626140571</v>
      </c>
      <c r="S8" s="72">
        <f t="shared" si="13"/>
        <v>85.234764955167918</v>
      </c>
      <c r="T8" s="72">
        <f t="shared" si="13"/>
        <v>83.962604284195265</v>
      </c>
      <c r="U8" s="72">
        <f t="shared" si="13"/>
        <v>82.690443613222612</v>
      </c>
      <c r="V8" s="72">
        <f t="shared" si="13"/>
        <v>81.418282942249959</v>
      </c>
      <c r="W8" s="72">
        <f t="shared" si="13"/>
        <v>80.146122271277306</v>
      </c>
      <c r="X8" s="72">
        <f t="shared" si="13"/>
        <v>78.873961600304654</v>
      </c>
      <c r="Y8" s="72">
        <f t="shared" si="13"/>
        <v>77.601800929332001</v>
      </c>
      <c r="Z8">
        <f>Z4</f>
        <v>76.329640258359333</v>
      </c>
      <c r="AA8" s="72">
        <f t="shared" si="8"/>
        <v>75.702273352126241</v>
      </c>
      <c r="AB8" s="72">
        <f t="shared" si="8"/>
        <v>75.074906445893149</v>
      </c>
      <c r="AC8" s="72">
        <f t="shared" si="8"/>
        <v>74.447539539660056</v>
      </c>
      <c r="AD8" s="72">
        <f t="shared" si="8"/>
        <v>73.820172633426964</v>
      </c>
      <c r="AE8" s="72">
        <f t="shared" si="8"/>
        <v>73.192805727193871</v>
      </c>
      <c r="AF8" s="72">
        <f t="shared" si="8"/>
        <v>72.565438820960779</v>
      </c>
      <c r="AG8" s="72">
        <f t="shared" si="8"/>
        <v>71.938071914727686</v>
      </c>
      <c r="AH8" s="72">
        <f t="shared" si="8"/>
        <v>71.310705008494594</v>
      </c>
      <c r="AI8" s="72">
        <f t="shared" si="8"/>
        <v>70.683338102261501</v>
      </c>
      <c r="AJ8">
        <f>AJ4</f>
        <v>70.055971196028423</v>
      </c>
      <c r="AK8" s="72">
        <f t="shared" si="9"/>
        <v>69.498311723821232</v>
      </c>
      <c r="AL8" s="72">
        <f t="shared" si="9"/>
        <v>68.94065225161404</v>
      </c>
      <c r="AM8" s="72">
        <f t="shared" si="9"/>
        <v>68.382992779406848</v>
      </c>
      <c r="AN8" s="72">
        <f t="shared" si="9"/>
        <v>67.825333307199656</v>
      </c>
      <c r="AO8" s="72">
        <f t="shared" si="9"/>
        <v>67.267673834992465</v>
      </c>
      <c r="AP8" s="72">
        <f t="shared" si="9"/>
        <v>66.710014362785273</v>
      </c>
      <c r="AQ8" s="72">
        <f t="shared" si="9"/>
        <v>66.152354890578081</v>
      </c>
      <c r="AR8" s="72">
        <f t="shared" si="9"/>
        <v>65.59469541837089</v>
      </c>
      <c r="AS8" s="72">
        <f t="shared" si="9"/>
        <v>65.037035946163698</v>
      </c>
      <c r="AT8">
        <f>AT4</f>
        <v>64.47937647395652</v>
      </c>
      <c r="AU8" s="72">
        <f t="shared" si="10"/>
        <v>64.130839303827031</v>
      </c>
      <c r="AV8" s="72">
        <f t="shared" si="10"/>
        <v>63.782302133697534</v>
      </c>
      <c r="AW8" s="72">
        <f t="shared" si="10"/>
        <v>63.433764963568038</v>
      </c>
      <c r="AX8" s="72">
        <f t="shared" si="10"/>
        <v>63.085227793438541</v>
      </c>
      <c r="AY8" s="72">
        <f t="shared" si="10"/>
        <v>62.736690623309045</v>
      </c>
      <c r="AZ8" s="72">
        <f t="shared" si="10"/>
        <v>62.388153453179548</v>
      </c>
      <c r="BA8" s="72">
        <f t="shared" si="10"/>
        <v>62.039616283050051</v>
      </c>
      <c r="BB8" s="72">
        <f t="shared" si="10"/>
        <v>61.691079112920555</v>
      </c>
      <c r="BC8" s="72">
        <f t="shared" si="10"/>
        <v>61.342541942791058</v>
      </c>
      <c r="BD8">
        <f>BD4</f>
        <v>60.994004772661562</v>
      </c>
      <c r="BE8" s="72">
        <f t="shared" si="11"/>
        <v>60.664307449566095</v>
      </c>
      <c r="BF8" s="72">
        <f t="shared" si="11"/>
        <v>60.334610126470629</v>
      </c>
      <c r="BG8" s="72">
        <f t="shared" si="11"/>
        <v>60.004912803375163</v>
      </c>
      <c r="BH8" s="72">
        <f t="shared" si="11"/>
        <v>59.675215480279697</v>
      </c>
      <c r="BI8" s="72">
        <f t="shared" si="11"/>
        <v>59.34551815718423</v>
      </c>
      <c r="BJ8" s="72">
        <f t="shared" si="11"/>
        <v>59.015820834088764</v>
      </c>
      <c r="BK8" s="72">
        <f t="shared" si="11"/>
        <v>58.686123510993298</v>
      </c>
      <c r="BL8" s="72">
        <f t="shared" si="11"/>
        <v>58.356426187897831</v>
      </c>
      <c r="BM8" s="72">
        <f t="shared" si="11"/>
        <v>58.026728864802365</v>
      </c>
      <c r="BN8">
        <f>BN4</f>
        <v>57.697031541706878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31"/>
  <sheetViews>
    <sheetView workbookViewId="0">
      <selection activeCell="G25" sqref="G25"/>
    </sheetView>
  </sheetViews>
  <sheetFormatPr defaultColWidth="8.6640625" defaultRowHeight="14.4"/>
  <cols>
    <col min="1" max="1" width="12.6640625" customWidth="1"/>
    <col min="3" max="3" width="14.44140625" bestFit="1" customWidth="1"/>
    <col min="4" max="4" width="11.33203125" customWidth="1"/>
    <col min="5" max="5" width="9.6640625" bestFit="1" customWidth="1"/>
    <col min="6" max="6" width="11.33203125" customWidth="1"/>
  </cols>
  <sheetData>
    <row r="1" spans="1:8">
      <c r="A1" t="s">
        <v>113</v>
      </c>
    </row>
    <row r="2" spans="1:8">
      <c r="A2" s="1" t="s">
        <v>114</v>
      </c>
    </row>
    <row r="4" spans="1:8">
      <c r="C4" s="88" t="s">
        <v>132</v>
      </c>
      <c r="D4" s="85"/>
    </row>
    <row r="5" spans="1:8">
      <c r="A5" s="75" t="s">
        <v>72</v>
      </c>
      <c r="B5" s="75" t="s">
        <v>4</v>
      </c>
      <c r="C5" s="75" t="s">
        <v>133</v>
      </c>
      <c r="D5" s="75" t="s">
        <v>118</v>
      </c>
      <c r="E5" s="75" t="s">
        <v>134</v>
      </c>
      <c r="F5" s="75" t="s">
        <v>135</v>
      </c>
      <c r="G5" s="75" t="s">
        <v>136</v>
      </c>
      <c r="H5" s="74"/>
    </row>
    <row r="6" spans="1:8">
      <c r="A6" s="74" t="s">
        <v>137</v>
      </c>
      <c r="B6" s="74">
        <v>2006</v>
      </c>
      <c r="C6" s="74">
        <v>12.6</v>
      </c>
      <c r="D6" s="74">
        <v>14.3</v>
      </c>
      <c r="E6" s="74" t="s">
        <v>138</v>
      </c>
      <c r="F6" s="74">
        <v>1.9</v>
      </c>
      <c r="G6" s="74">
        <v>10.6</v>
      </c>
      <c r="H6" s="74"/>
    </row>
    <row r="7" spans="1:8">
      <c r="A7" s="74" t="s">
        <v>139</v>
      </c>
      <c r="B7" s="74">
        <v>2006</v>
      </c>
      <c r="C7" s="89">
        <v>15.3</v>
      </c>
      <c r="D7" s="89">
        <v>14.3</v>
      </c>
      <c r="E7" s="89">
        <v>10</v>
      </c>
      <c r="F7" s="89">
        <v>1.2</v>
      </c>
      <c r="G7" s="89">
        <v>11.6</v>
      </c>
      <c r="H7" s="74"/>
    </row>
    <row r="8" spans="1:8">
      <c r="A8" s="74" t="s">
        <v>140</v>
      </c>
      <c r="B8" s="74">
        <v>2006</v>
      </c>
      <c r="C8" s="89">
        <v>15.3</v>
      </c>
      <c r="D8" s="89">
        <v>14.3</v>
      </c>
      <c r="E8" s="89">
        <v>10</v>
      </c>
      <c r="F8" s="89">
        <v>1.2</v>
      </c>
      <c r="G8" s="89">
        <v>11.6</v>
      </c>
      <c r="H8" s="74"/>
    </row>
    <row r="9" spans="1:8">
      <c r="A9" s="74" t="s">
        <v>141</v>
      </c>
      <c r="B9" s="74">
        <v>2006</v>
      </c>
      <c r="C9" s="89">
        <v>15.3</v>
      </c>
      <c r="D9" s="89">
        <v>14.3</v>
      </c>
      <c r="E9" s="89">
        <v>10</v>
      </c>
      <c r="F9" s="89">
        <v>1.2</v>
      </c>
      <c r="G9" s="89">
        <v>11.6</v>
      </c>
      <c r="H9" s="74"/>
    </row>
    <row r="10" spans="1:8">
      <c r="A10" s="74" t="s">
        <v>142</v>
      </c>
      <c r="B10" s="74">
        <v>2006</v>
      </c>
      <c r="C10" s="74">
        <v>15.7</v>
      </c>
      <c r="D10" s="74">
        <v>16.600000000000001</v>
      </c>
      <c r="E10" s="74">
        <v>12.4</v>
      </c>
      <c r="F10" s="90">
        <v>2.2999999999999998</v>
      </c>
      <c r="G10" s="90">
        <v>11.6</v>
      </c>
      <c r="H10" s="74"/>
    </row>
    <row r="11" spans="1:8">
      <c r="A11" s="74" t="s">
        <v>120</v>
      </c>
      <c r="B11" s="74">
        <v>2006</v>
      </c>
      <c r="C11" s="74">
        <v>18.3</v>
      </c>
      <c r="D11" s="74">
        <v>17.3</v>
      </c>
      <c r="E11" s="74">
        <v>11.4</v>
      </c>
      <c r="F11" s="90">
        <v>4.7</v>
      </c>
      <c r="G11" s="90">
        <v>6.9</v>
      </c>
      <c r="H11" s="74"/>
    </row>
    <row r="12" spans="1:8">
      <c r="A12" s="74" t="s">
        <v>143</v>
      </c>
      <c r="B12" s="74">
        <v>2006</v>
      </c>
      <c r="C12" s="74">
        <v>17.100000000000001</v>
      </c>
      <c r="D12" s="74">
        <v>15.3</v>
      </c>
      <c r="E12" s="74">
        <v>10</v>
      </c>
      <c r="F12" s="74">
        <v>4.4000000000000004</v>
      </c>
      <c r="G12" s="74">
        <v>11.7</v>
      </c>
      <c r="H12" s="74"/>
    </row>
    <row r="13" spans="1:8">
      <c r="A13" s="74" t="s">
        <v>52</v>
      </c>
      <c r="B13" s="74">
        <v>2006</v>
      </c>
      <c r="C13" s="74">
        <v>18.3</v>
      </c>
      <c r="D13" s="74">
        <v>17.2</v>
      </c>
      <c r="E13" s="74">
        <v>10</v>
      </c>
      <c r="F13" s="74">
        <v>4.7</v>
      </c>
      <c r="G13" s="74">
        <v>6.9</v>
      </c>
      <c r="H13" s="74"/>
    </row>
    <row r="14" spans="1:8">
      <c r="A14" s="74" t="s">
        <v>144</v>
      </c>
      <c r="B14" s="74">
        <v>2006</v>
      </c>
      <c r="C14" s="74">
        <v>16.7</v>
      </c>
      <c r="D14" s="74">
        <v>28.9</v>
      </c>
      <c r="E14" s="74">
        <v>15</v>
      </c>
      <c r="F14" s="74">
        <v>2.7</v>
      </c>
      <c r="G14" s="74">
        <v>13.8</v>
      </c>
      <c r="H14" s="74"/>
    </row>
    <row r="15" spans="1:8">
      <c r="A15" s="74" t="s">
        <v>145</v>
      </c>
      <c r="B15" s="74">
        <v>2006</v>
      </c>
      <c r="C15" s="74">
        <v>15.9</v>
      </c>
      <c r="D15" s="74">
        <v>16.5</v>
      </c>
      <c r="E15" s="74" t="s">
        <v>138</v>
      </c>
      <c r="F15" s="74">
        <v>2.2999999999999998</v>
      </c>
      <c r="G15" s="74">
        <v>11.6</v>
      </c>
      <c r="H15" s="74"/>
    </row>
    <row r="16" spans="1:8">
      <c r="A16" s="74" t="s">
        <v>129</v>
      </c>
      <c r="B16" s="74">
        <v>2006</v>
      </c>
      <c r="C16" s="74">
        <v>12.6</v>
      </c>
      <c r="D16" s="74">
        <v>19.5</v>
      </c>
      <c r="E16" s="74">
        <v>10.9</v>
      </c>
      <c r="F16" s="74">
        <v>0.6</v>
      </c>
      <c r="G16" s="74">
        <v>13.6</v>
      </c>
      <c r="H16" s="74"/>
    </row>
    <row r="17" spans="1:8">
      <c r="A17" s="74" t="s">
        <v>146</v>
      </c>
      <c r="B17" s="74">
        <v>2006</v>
      </c>
      <c r="C17" s="74">
        <v>18.3</v>
      </c>
      <c r="D17" s="74">
        <v>15</v>
      </c>
      <c r="E17" s="74" t="s">
        <v>138</v>
      </c>
      <c r="F17" s="74">
        <v>0.4</v>
      </c>
      <c r="G17" s="74">
        <v>1.6</v>
      </c>
      <c r="H17" s="74"/>
    </row>
    <row r="18" spans="1:8">
      <c r="A18" s="74" t="s">
        <v>147</v>
      </c>
      <c r="B18" s="74">
        <v>2006</v>
      </c>
      <c r="C18" s="74">
        <v>16.7</v>
      </c>
      <c r="D18" s="74">
        <v>21.3</v>
      </c>
      <c r="E18" s="74" t="s">
        <v>138</v>
      </c>
      <c r="F18" s="74">
        <v>1.9</v>
      </c>
      <c r="G18" s="74">
        <v>10.6</v>
      </c>
      <c r="H18" s="74"/>
    </row>
    <row r="19" spans="1:8">
      <c r="A19" s="74" t="s">
        <v>148</v>
      </c>
      <c r="B19" s="74">
        <v>2006</v>
      </c>
      <c r="C19" s="74">
        <v>18.3</v>
      </c>
      <c r="D19" s="74">
        <v>15.3</v>
      </c>
      <c r="E19" s="74">
        <v>10</v>
      </c>
      <c r="F19" s="74">
        <v>2.9</v>
      </c>
      <c r="G19" s="74">
        <v>11.6</v>
      </c>
      <c r="H19" s="74"/>
    </row>
    <row r="20" spans="1:8">
      <c r="A20" s="74" t="s">
        <v>149</v>
      </c>
      <c r="B20" s="74">
        <v>2006</v>
      </c>
      <c r="C20" s="74">
        <v>16.7</v>
      </c>
      <c r="D20" s="74">
        <v>16.3</v>
      </c>
      <c r="E20" s="74" t="s">
        <v>138</v>
      </c>
      <c r="F20" s="74">
        <v>2.9</v>
      </c>
      <c r="G20" s="74">
        <v>13.7</v>
      </c>
      <c r="H20" s="74"/>
    </row>
    <row r="21" spans="1:8">
      <c r="A21" s="74" t="s">
        <v>39</v>
      </c>
      <c r="B21" s="74">
        <v>2006</v>
      </c>
      <c r="C21" s="74">
        <v>16.899999999999999</v>
      </c>
      <c r="D21" s="74">
        <v>20.9</v>
      </c>
      <c r="E21" s="74">
        <v>10.9</v>
      </c>
      <c r="F21" s="74">
        <v>2.9</v>
      </c>
      <c r="G21" s="74">
        <v>10.9</v>
      </c>
      <c r="H21" s="74"/>
    </row>
    <row r="22" spans="1:8">
      <c r="A22" s="74"/>
      <c r="B22" s="74"/>
      <c r="C22" s="74"/>
      <c r="D22" s="74"/>
      <c r="E22" s="74"/>
      <c r="F22" s="74"/>
      <c r="G22" s="74"/>
      <c r="H22" s="74"/>
    </row>
    <row r="23" spans="1:8">
      <c r="A23" s="74"/>
      <c r="B23" s="74"/>
      <c r="C23" s="74"/>
      <c r="D23" s="74"/>
      <c r="E23" s="74"/>
      <c r="F23" s="74"/>
      <c r="G23" s="74"/>
      <c r="H23" s="74"/>
    </row>
    <row r="24" spans="1:8">
      <c r="A24" s="74"/>
      <c r="B24" s="74"/>
      <c r="C24" s="74"/>
      <c r="D24" s="74"/>
      <c r="E24" s="74"/>
      <c r="F24" s="74"/>
      <c r="G24" s="74"/>
      <c r="H24" s="74"/>
    </row>
    <row r="25" spans="1:8">
      <c r="A25" s="74"/>
      <c r="B25" s="74"/>
      <c r="C25" s="74"/>
      <c r="D25" s="74"/>
      <c r="E25" s="74"/>
      <c r="F25" s="74"/>
      <c r="G25" s="74"/>
      <c r="H25" s="74"/>
    </row>
    <row r="26" spans="1:8">
      <c r="A26" s="74"/>
      <c r="B26" s="74"/>
      <c r="C26" s="74"/>
      <c r="D26" s="74"/>
      <c r="E26" s="74"/>
      <c r="F26" s="74"/>
      <c r="G26" s="74"/>
      <c r="H26" s="74"/>
    </row>
    <row r="27" spans="1:8">
      <c r="A27" s="74"/>
      <c r="B27" s="74"/>
      <c r="C27" s="74"/>
      <c r="D27" s="74"/>
      <c r="E27" s="74"/>
      <c r="F27" s="74"/>
      <c r="G27" s="74"/>
      <c r="H27" s="74"/>
    </row>
    <row r="28" spans="1:8">
      <c r="A28" s="74"/>
      <c r="B28" s="74"/>
      <c r="C28" s="74"/>
      <c r="D28" s="74"/>
      <c r="E28" s="74"/>
      <c r="F28" s="74"/>
      <c r="G28" s="74"/>
      <c r="H28" s="74"/>
    </row>
    <row r="29" spans="1:8">
      <c r="A29" s="74"/>
      <c r="B29" s="74"/>
      <c r="C29" s="74"/>
      <c r="D29" s="74"/>
      <c r="E29" s="74"/>
      <c r="F29" s="74"/>
      <c r="G29" s="74"/>
      <c r="H29" s="74"/>
    </row>
    <row r="30" spans="1:8">
      <c r="A30" s="74"/>
      <c r="B30" s="74"/>
      <c r="C30" s="74"/>
      <c r="D30" s="74"/>
      <c r="E30" s="74"/>
      <c r="F30" s="74"/>
      <c r="G30" s="74"/>
      <c r="H30" s="74"/>
    </row>
    <row r="31" spans="1:8">
      <c r="A31" s="74"/>
      <c r="B31" s="74"/>
      <c r="C31" s="74"/>
      <c r="D31" s="74"/>
      <c r="E31" s="74"/>
      <c r="F31" s="74"/>
      <c r="G31" s="74"/>
      <c r="H31" s="74"/>
    </row>
  </sheetData>
  <hyperlinks>
    <hyperlink ref="A2" r:id="rId1" xr:uid="{00000000-0004-0000-1200-000000000000}"/>
  </hyperlinks>
  <pageMargins left="0.7" right="0.7" top="0.75" bottom="0.75" header="0.3" footer="0.3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L1:O2"/>
  <sheetViews>
    <sheetView workbookViewId="0">
      <selection activeCell="O2" sqref="O2"/>
    </sheetView>
  </sheetViews>
  <sheetFormatPr defaultColWidth="8.6640625" defaultRowHeight="14.4"/>
  <cols>
    <col min="13" max="13" width="22.33203125" bestFit="1" customWidth="1"/>
    <col min="14" max="14" width="23.6640625" bestFit="1" customWidth="1"/>
    <col min="15" max="15" width="23.33203125" bestFit="1" customWidth="1"/>
  </cols>
  <sheetData>
    <row r="1" spans="12:15">
      <c r="M1" s="76" t="s">
        <v>96</v>
      </c>
      <c r="N1" s="76" t="s">
        <v>98</v>
      </c>
      <c r="O1" s="76" t="s">
        <v>97</v>
      </c>
    </row>
    <row r="2" spans="12:15">
      <c r="L2" s="76" t="s">
        <v>32</v>
      </c>
      <c r="M2">
        <v>337.9</v>
      </c>
      <c r="N2">
        <f>M2*1000</f>
        <v>337900</v>
      </c>
      <c r="O2">
        <f>N2/1000000</f>
        <v>0.33789999999999998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5"/>
  <sheetViews>
    <sheetView workbookViewId="0">
      <selection activeCell="C21" sqref="C21"/>
    </sheetView>
  </sheetViews>
  <sheetFormatPr defaultColWidth="8.6640625" defaultRowHeight="14.4"/>
  <cols>
    <col min="2" max="2" width="26.6640625" bestFit="1" customWidth="1"/>
    <col min="3" max="3" width="23.44140625" bestFit="1" customWidth="1"/>
  </cols>
  <sheetData>
    <row r="1" spans="1:3">
      <c r="A1" t="s">
        <v>109</v>
      </c>
    </row>
    <row r="2" spans="1:3">
      <c r="A2" s="1" t="s">
        <v>108</v>
      </c>
    </row>
    <row r="4" spans="1:3">
      <c r="A4" s="75" t="s">
        <v>4</v>
      </c>
      <c r="B4" s="75" t="s">
        <v>73</v>
      </c>
      <c r="C4" s="75" t="s">
        <v>102</v>
      </c>
    </row>
    <row r="5" spans="1:3">
      <c r="A5" s="74">
        <v>1994</v>
      </c>
      <c r="B5" s="74" t="s">
        <v>110</v>
      </c>
      <c r="C5" s="74">
        <v>39.4</v>
      </c>
    </row>
  </sheetData>
  <hyperlinks>
    <hyperlink ref="A2" r:id="rId1" xr:uid="{00000000-0004-0000-14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22"/>
  <sheetViews>
    <sheetView workbookViewId="0">
      <selection activeCell="F21" sqref="F21"/>
    </sheetView>
  </sheetViews>
  <sheetFormatPr defaultColWidth="8.6640625" defaultRowHeight="14.4"/>
  <cols>
    <col min="2" max="2" width="24.44140625" bestFit="1" customWidth="1"/>
    <col min="3" max="3" width="23.44140625" bestFit="1" customWidth="1"/>
  </cols>
  <sheetData>
    <row r="1" spans="1:15">
      <c r="A1" t="s">
        <v>86</v>
      </c>
    </row>
    <row r="2" spans="1:15">
      <c r="A2" s="1" t="s">
        <v>127</v>
      </c>
    </row>
    <row r="3" spans="1:15">
      <c r="N3" s="75" t="s">
        <v>87</v>
      </c>
      <c r="O3" s="75" t="s">
        <v>88</v>
      </c>
    </row>
    <row r="4" spans="1:15">
      <c r="A4" s="75" t="s">
        <v>4</v>
      </c>
      <c r="B4" s="75" t="s">
        <v>128</v>
      </c>
      <c r="C4" s="75" t="s">
        <v>102</v>
      </c>
      <c r="N4" s="74">
        <v>1</v>
      </c>
      <c r="O4" s="74" t="s">
        <v>89</v>
      </c>
    </row>
    <row r="5" spans="1:15">
      <c r="A5" s="74">
        <v>1979</v>
      </c>
      <c r="B5" s="74">
        <v>14.8</v>
      </c>
      <c r="C5" s="74">
        <f t="shared" ref="C5:C22" si="0">B5*4.19</f>
        <v>62.012000000000008</v>
      </c>
    </row>
    <row r="6" spans="1:15">
      <c r="A6" s="74">
        <v>1980</v>
      </c>
      <c r="B6" s="74">
        <v>14.8</v>
      </c>
      <c r="C6" s="74">
        <f t="shared" si="0"/>
        <v>62.012000000000008</v>
      </c>
    </row>
    <row r="7" spans="1:15">
      <c r="A7" s="74">
        <v>1981</v>
      </c>
      <c r="B7" s="74">
        <v>14</v>
      </c>
      <c r="C7" s="74">
        <f t="shared" si="0"/>
        <v>58.660000000000004</v>
      </c>
      <c r="L7" s="72"/>
    </row>
    <row r="8" spans="1:15">
      <c r="A8" s="74">
        <v>1982</v>
      </c>
      <c r="B8" s="74">
        <v>14</v>
      </c>
      <c r="C8" s="74">
        <f t="shared" si="0"/>
        <v>58.660000000000004</v>
      </c>
    </row>
    <row r="9" spans="1:15">
      <c r="A9" s="74">
        <v>1983</v>
      </c>
      <c r="B9" s="74">
        <v>13.4</v>
      </c>
      <c r="C9" s="74">
        <f t="shared" si="0"/>
        <v>56.146000000000008</v>
      </c>
    </row>
    <row r="10" spans="1:15">
      <c r="A10" s="74">
        <v>1984</v>
      </c>
      <c r="B10" s="74">
        <v>13.4</v>
      </c>
      <c r="C10" s="74">
        <f t="shared" si="0"/>
        <v>56.146000000000008</v>
      </c>
    </row>
    <row r="11" spans="1:15">
      <c r="A11" s="74">
        <v>1985</v>
      </c>
      <c r="B11" s="74">
        <v>11.9</v>
      </c>
      <c r="C11" s="74">
        <f t="shared" si="0"/>
        <v>49.861000000000004</v>
      </c>
    </row>
    <row r="12" spans="1:15">
      <c r="A12" s="74">
        <v>1986</v>
      </c>
      <c r="B12" s="74">
        <v>11.9</v>
      </c>
      <c r="C12" s="74">
        <f t="shared" si="0"/>
        <v>49.861000000000004</v>
      </c>
    </row>
    <row r="13" spans="1:15">
      <c r="A13" s="74">
        <v>1987</v>
      </c>
      <c r="B13" s="74">
        <v>11.6</v>
      </c>
      <c r="C13" s="74">
        <f t="shared" si="0"/>
        <v>48.604000000000006</v>
      </c>
    </row>
    <row r="14" spans="1:15">
      <c r="A14" s="74">
        <v>1988</v>
      </c>
      <c r="B14" s="74">
        <v>11.6</v>
      </c>
      <c r="C14" s="74">
        <f t="shared" si="0"/>
        <v>48.604000000000006</v>
      </c>
    </row>
    <row r="15" spans="1:15">
      <c r="A15" s="74">
        <v>1989</v>
      </c>
      <c r="B15" s="74">
        <v>11.4</v>
      </c>
      <c r="C15" s="74">
        <f t="shared" si="0"/>
        <v>47.766000000000005</v>
      </c>
    </row>
    <row r="16" spans="1:15">
      <c r="A16" s="74">
        <v>1990</v>
      </c>
      <c r="B16" s="74">
        <v>11.4</v>
      </c>
      <c r="C16" s="74">
        <f t="shared" si="0"/>
        <v>47.766000000000005</v>
      </c>
    </row>
    <row r="17" spans="1:3">
      <c r="A17" s="74">
        <v>1991</v>
      </c>
      <c r="B17" s="74">
        <v>11.5</v>
      </c>
      <c r="C17" s="74">
        <f t="shared" si="0"/>
        <v>48.185000000000002</v>
      </c>
    </row>
    <row r="18" spans="1:3">
      <c r="A18" s="74">
        <v>1992</v>
      </c>
      <c r="B18" s="74">
        <v>11.5</v>
      </c>
      <c r="C18" s="74">
        <f t="shared" si="0"/>
        <v>48.185000000000002</v>
      </c>
    </row>
    <row r="19" spans="1:3">
      <c r="A19" s="74">
        <v>1993</v>
      </c>
      <c r="B19" s="74">
        <v>11</v>
      </c>
      <c r="C19" s="74">
        <f t="shared" si="0"/>
        <v>46.09</v>
      </c>
    </row>
    <row r="20" spans="1:3">
      <c r="A20" s="74">
        <v>1994</v>
      </c>
      <c r="B20" s="74">
        <v>11</v>
      </c>
      <c r="C20" s="74">
        <f t="shared" si="0"/>
        <v>46.09</v>
      </c>
    </row>
    <row r="21" spans="1:3">
      <c r="A21" s="74">
        <v>1995</v>
      </c>
      <c r="B21" s="74">
        <v>10.9</v>
      </c>
      <c r="C21" s="74">
        <f t="shared" si="0"/>
        <v>45.671000000000006</v>
      </c>
    </row>
    <row r="22" spans="1:3">
      <c r="A22" s="74">
        <v>1996</v>
      </c>
      <c r="B22" s="74">
        <v>10.9</v>
      </c>
      <c r="C22" s="74">
        <f t="shared" si="0"/>
        <v>45.671000000000006</v>
      </c>
    </row>
  </sheetData>
  <hyperlinks>
    <hyperlink ref="A2" r:id="rId1" xr:uid="{00000000-0004-0000-1500-000000000000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100"/>
  <sheetViews>
    <sheetView workbookViewId="0">
      <selection activeCell="K80" sqref="K80"/>
    </sheetView>
  </sheetViews>
  <sheetFormatPr defaultColWidth="8.6640625" defaultRowHeight="13.2"/>
  <cols>
    <col min="1" max="1" width="8.6640625" style="3"/>
    <col min="2" max="3" width="15.44140625" style="3" customWidth="1"/>
    <col min="4" max="4" width="1.6640625" style="3" customWidth="1"/>
    <col min="5" max="5" width="13.33203125" style="4" customWidth="1"/>
    <col min="6" max="6" width="14.44140625" style="4" customWidth="1"/>
    <col min="7" max="7" width="1.6640625" style="4" customWidth="1"/>
    <col min="8" max="9" width="10.6640625" style="4" customWidth="1"/>
    <col min="10" max="10" width="1.6640625" style="4" customWidth="1"/>
    <col min="11" max="11" width="10.6640625" style="4" customWidth="1"/>
    <col min="12" max="12" width="11.33203125" style="4" customWidth="1"/>
    <col min="13" max="14" width="10.6640625" style="4" customWidth="1"/>
    <col min="15" max="15" width="1.44140625" style="4" customWidth="1"/>
    <col min="16" max="16" width="11.33203125" style="4" customWidth="1"/>
    <col min="17" max="16384" width="8.6640625" style="3"/>
  </cols>
  <sheetData>
    <row r="1" spans="1:20">
      <c r="A1" s="2" t="s">
        <v>3</v>
      </c>
    </row>
    <row r="3" spans="1:20" ht="74.400000000000006">
      <c r="A3" s="5" t="s">
        <v>4</v>
      </c>
      <c r="B3" s="6" t="s">
        <v>5</v>
      </c>
      <c r="C3" s="6" t="s">
        <v>6</v>
      </c>
      <c r="D3" s="6"/>
      <c r="E3" s="7" t="s">
        <v>7</v>
      </c>
      <c r="F3" s="7" t="s">
        <v>8</v>
      </c>
      <c r="G3" s="7"/>
      <c r="H3" s="8" t="s">
        <v>9</v>
      </c>
      <c r="I3" s="8" t="s">
        <v>10</v>
      </c>
      <c r="J3" s="8"/>
      <c r="K3" s="8" t="s">
        <v>11</v>
      </c>
      <c r="L3" s="8" t="s">
        <v>12</v>
      </c>
      <c r="M3" s="8" t="s">
        <v>13</v>
      </c>
      <c r="N3" s="8" t="s">
        <v>14</v>
      </c>
      <c r="O3" s="9"/>
      <c r="P3" s="9"/>
      <c r="Q3" s="10"/>
      <c r="R3" s="10"/>
      <c r="S3" s="10"/>
      <c r="T3" s="10"/>
    </row>
    <row r="4" spans="1:20">
      <c r="A4" s="11">
        <v>1924</v>
      </c>
      <c r="B4" s="12">
        <v>0.39710000000000001</v>
      </c>
      <c r="C4" s="12">
        <f t="shared" ref="C4:C67" si="0">B4*$B$85/1000</f>
        <v>0.39710000000000001</v>
      </c>
      <c r="D4" s="12"/>
      <c r="E4" s="13">
        <v>97.969173026622968</v>
      </c>
      <c r="F4" s="13">
        <f t="shared" ref="F4:F67" si="1">1/((E4)*($A$88/$A$91)*(1/$B$85))</f>
        <v>8.3952193965341202</v>
      </c>
      <c r="G4" s="13"/>
      <c r="H4" s="14"/>
      <c r="I4" s="14"/>
      <c r="J4" s="14"/>
      <c r="K4" s="15"/>
      <c r="L4" s="15"/>
      <c r="M4" s="15"/>
      <c r="N4" s="15"/>
      <c r="O4" s="15"/>
      <c r="P4" s="16"/>
      <c r="Q4" s="10"/>
      <c r="R4" s="10"/>
      <c r="S4" s="10"/>
      <c r="T4" s="10"/>
    </row>
    <row r="5" spans="1:20">
      <c r="A5" s="11">
        <v>1925</v>
      </c>
      <c r="B5" s="12">
        <v>0.45832235649095826</v>
      </c>
      <c r="C5" s="12">
        <f t="shared" si="0"/>
        <v>0.45832235649095826</v>
      </c>
      <c r="D5" s="12"/>
      <c r="E5" s="13">
        <v>97.467943448089628</v>
      </c>
      <c r="F5" s="13">
        <f t="shared" si="1"/>
        <v>8.4383918707954759</v>
      </c>
      <c r="G5" s="13"/>
      <c r="H5" s="14">
        <f t="shared" ref="H5:H68" si="2">(F5-F4)/F4</f>
        <v>5.1425069699999795E-3</v>
      </c>
      <c r="I5" s="14">
        <f t="shared" ref="I5:I68" si="3">(C5-C4)/C4</f>
        <v>0.15417365019128243</v>
      </c>
      <c r="J5" s="14"/>
      <c r="K5" s="11"/>
      <c r="L5" s="11"/>
      <c r="M5" s="11"/>
      <c r="N5" s="11"/>
      <c r="O5" s="11"/>
      <c r="P5" s="16"/>
      <c r="Q5" s="10"/>
      <c r="R5" s="10"/>
      <c r="S5" s="10"/>
      <c r="T5" s="10"/>
    </row>
    <row r="6" spans="1:20">
      <c r="A6" s="11">
        <v>1926</v>
      </c>
      <c r="B6" s="12">
        <v>0.52898358715543958</v>
      </c>
      <c r="C6" s="12">
        <f t="shared" si="0"/>
        <v>0.52898358715543958</v>
      </c>
      <c r="D6" s="12"/>
      <c r="E6" s="13">
        <v>96.969278258768043</v>
      </c>
      <c r="F6" s="13">
        <f t="shared" si="1"/>
        <v>8.4817863598066321</v>
      </c>
      <c r="G6" s="13"/>
      <c r="H6" s="14">
        <f t="shared" si="2"/>
        <v>5.1425069699998927E-3</v>
      </c>
      <c r="I6" s="14">
        <f t="shared" si="3"/>
        <v>0.1541736501912826</v>
      </c>
      <c r="J6" s="14"/>
      <c r="K6" s="15"/>
      <c r="L6" s="15"/>
      <c r="M6" s="15"/>
      <c r="N6" s="15"/>
      <c r="O6" s="15"/>
      <c r="P6" s="16"/>
      <c r="Q6" s="10"/>
      <c r="R6" s="10"/>
      <c r="S6" s="10"/>
      <c r="T6" s="10"/>
    </row>
    <row r="7" spans="1:20">
      <c r="A7" s="11">
        <v>1927</v>
      </c>
      <c r="B7" s="12">
        <v>0.61053891767847213</v>
      </c>
      <c r="C7" s="12">
        <f t="shared" si="0"/>
        <v>0.61053891767847213</v>
      </c>
      <c r="D7" s="12"/>
      <c r="E7" s="13">
        <v>96.473164338738144</v>
      </c>
      <c r="F7" s="13">
        <f t="shared" si="1"/>
        <v>8.5254040052799862</v>
      </c>
      <c r="G7" s="13"/>
      <c r="H7" s="14">
        <f t="shared" si="2"/>
        <v>5.1425069699997149E-3</v>
      </c>
      <c r="I7" s="14">
        <f t="shared" si="3"/>
        <v>0.15417365019128251</v>
      </c>
      <c r="J7" s="14"/>
      <c r="K7" s="15"/>
      <c r="L7" s="15"/>
      <c r="M7" s="15"/>
      <c r="N7" s="15"/>
      <c r="O7" s="15"/>
      <c r="P7" s="16"/>
      <c r="Q7" s="10"/>
      <c r="R7" s="10"/>
      <c r="S7" s="10"/>
      <c r="T7" s="10"/>
    </row>
    <row r="8" spans="1:20">
      <c r="A8" s="11">
        <v>1928</v>
      </c>
      <c r="B8" s="12">
        <v>0.70466793120079707</v>
      </c>
      <c r="C8" s="12">
        <f t="shared" si="0"/>
        <v>0.70466793120079707</v>
      </c>
      <c r="D8" s="12"/>
      <c r="E8" s="13">
        <v>95.979588635203896</v>
      </c>
      <c r="F8" s="13">
        <f t="shared" si="1"/>
        <v>8.5692459547992037</v>
      </c>
      <c r="G8" s="13"/>
      <c r="H8" s="14">
        <f t="shared" si="2"/>
        <v>5.1425069699999118E-3</v>
      </c>
      <c r="I8" s="14">
        <f t="shared" si="3"/>
        <v>0.15417365019128243</v>
      </c>
      <c r="J8" s="14"/>
      <c r="K8" s="11"/>
      <c r="L8" s="11"/>
      <c r="M8" s="11"/>
      <c r="N8" s="11"/>
      <c r="O8" s="11"/>
      <c r="P8" s="16"/>
      <c r="Q8" s="10"/>
      <c r="R8" s="10"/>
      <c r="S8" s="10"/>
      <c r="T8" s="10"/>
    </row>
    <row r="9" spans="1:20">
      <c r="A9" s="11">
        <v>1929</v>
      </c>
      <c r="B9" s="12">
        <v>0.81330915832676332</v>
      </c>
      <c r="C9" s="12">
        <f t="shared" si="0"/>
        <v>0.81330915832676332</v>
      </c>
      <c r="D9" s="12"/>
      <c r="E9" s="13">
        <v>95.488538162149936</v>
      </c>
      <c r="F9" s="13">
        <f t="shared" si="1"/>
        <v>8.6133133618494018</v>
      </c>
      <c r="G9" s="13"/>
      <c r="H9" s="14">
        <f t="shared" si="2"/>
        <v>5.1425069699998667E-3</v>
      </c>
      <c r="I9" s="14">
        <f t="shared" si="3"/>
        <v>0.15417365019128226</v>
      </c>
      <c r="J9" s="14"/>
      <c r="K9" s="15"/>
      <c r="L9" s="15"/>
      <c r="M9" s="15"/>
      <c r="N9" s="15"/>
      <c r="O9" s="15"/>
      <c r="P9" s="16"/>
      <c r="Q9" s="10"/>
      <c r="R9" s="10"/>
      <c r="S9" s="10"/>
      <c r="T9" s="10"/>
    </row>
    <row r="10" spans="1:20">
      <c r="A10" s="11">
        <v>1930</v>
      </c>
      <c r="B10" s="12">
        <v>0.93869999999999998</v>
      </c>
      <c r="C10" s="12">
        <f t="shared" si="0"/>
        <v>0.93869999999999998</v>
      </c>
      <c r="D10" s="12"/>
      <c r="E10" s="13">
        <v>95</v>
      </c>
      <c r="F10" s="13">
        <f t="shared" si="1"/>
        <v>8.6576073858475002</v>
      </c>
      <c r="G10" s="13"/>
      <c r="H10" s="14">
        <f t="shared" si="2"/>
        <v>5.1425069699992769E-3</v>
      </c>
      <c r="I10" s="14">
        <f t="shared" si="3"/>
        <v>0.15417365019128232</v>
      </c>
      <c r="J10" s="14"/>
      <c r="K10" s="16" t="s">
        <v>15</v>
      </c>
      <c r="L10" s="17">
        <f>SUM(H10:H19)/10</f>
        <v>7.4292877524039149E-3</v>
      </c>
      <c r="M10" s="17">
        <f>SUM(I10:I19)/10</f>
        <v>0.10021935821153613</v>
      </c>
      <c r="N10" s="18">
        <f>IF((M10/L10)&gt;0,(M10/L10),"---")</f>
        <v>13.489766657524859</v>
      </c>
      <c r="O10" s="11"/>
      <c r="P10" s="16"/>
      <c r="Q10" s="10"/>
      <c r="R10" s="10"/>
      <c r="S10" s="10"/>
      <c r="T10" s="10"/>
    </row>
    <row r="11" spans="1:20">
      <c r="A11" s="11">
        <v>1931</v>
      </c>
      <c r="B11" s="19">
        <v>1.0159343607413558</v>
      </c>
      <c r="C11" s="19">
        <f t="shared" si="0"/>
        <v>1.0159343607413558</v>
      </c>
      <c r="D11" s="19"/>
      <c r="E11" s="13">
        <v>94.275644913335753</v>
      </c>
      <c r="F11" s="13">
        <f t="shared" si="1"/>
        <v>8.7241270257189161</v>
      </c>
      <c r="G11" s="13"/>
      <c r="H11" s="14">
        <f t="shared" si="2"/>
        <v>7.6833745060043727E-3</v>
      </c>
      <c r="I11" s="14">
        <f t="shared" si="3"/>
        <v>8.2278002281192947E-2</v>
      </c>
      <c r="J11" s="14"/>
      <c r="K11" s="15"/>
      <c r="L11" s="15"/>
      <c r="M11" s="15"/>
      <c r="N11" s="15"/>
      <c r="O11" s="15"/>
      <c r="P11" s="16"/>
      <c r="Q11" s="10"/>
      <c r="R11" s="10"/>
      <c r="S11" s="10"/>
      <c r="T11" s="10"/>
    </row>
    <row r="12" spans="1:20">
      <c r="A12" s="11">
        <v>1932</v>
      </c>
      <c r="B12" s="19">
        <v>1.0995234103919751</v>
      </c>
      <c r="C12" s="19">
        <f t="shared" si="0"/>
        <v>1.0995234103919751</v>
      </c>
      <c r="D12" s="19"/>
      <c r="E12" s="13">
        <v>93.556812882372313</v>
      </c>
      <c r="F12" s="13">
        <f t="shared" si="1"/>
        <v>8.7911577608954694</v>
      </c>
      <c r="G12" s="13"/>
      <c r="H12" s="14">
        <f t="shared" si="2"/>
        <v>7.6833745060044716E-3</v>
      </c>
      <c r="I12" s="14">
        <f t="shared" si="3"/>
        <v>8.2278002281192683E-2</v>
      </c>
      <c r="J12" s="14"/>
      <c r="K12" s="11"/>
      <c r="L12" s="11"/>
      <c r="M12" s="11"/>
      <c r="N12" s="11"/>
      <c r="O12" s="11"/>
      <c r="P12" s="16"/>
      <c r="Q12" s="10"/>
      <c r="R12" s="10"/>
      <c r="S12" s="10"/>
      <c r="T12" s="10"/>
    </row>
    <row r="13" spans="1:20">
      <c r="A13" s="11">
        <v>1933</v>
      </c>
      <c r="B13" s="19">
        <v>1.1899900000604311</v>
      </c>
      <c r="C13" s="19">
        <f t="shared" si="0"/>
        <v>1.1899900000604311</v>
      </c>
      <c r="D13" s="19"/>
      <c r="E13" s="13">
        <v>92.843461794967666</v>
      </c>
      <c r="F13" s="13">
        <f t="shared" si="1"/>
        <v>8.8587035183137974</v>
      </c>
      <c r="G13" s="13"/>
      <c r="H13" s="14">
        <f t="shared" si="2"/>
        <v>7.6833745060045193E-3</v>
      </c>
      <c r="I13" s="14">
        <f t="shared" si="3"/>
        <v>8.2278002281192975E-2</v>
      </c>
      <c r="J13" s="14"/>
      <c r="K13" s="15"/>
      <c r="L13" s="15"/>
      <c r="M13" s="15"/>
      <c r="N13" s="15"/>
      <c r="O13" s="15"/>
      <c r="P13" s="16"/>
      <c r="Q13" s="10"/>
      <c r="R13" s="10"/>
      <c r="S13" s="10"/>
      <c r="T13" s="10"/>
    </row>
    <row r="14" spans="1:20">
      <c r="A14" s="11">
        <v>1934</v>
      </c>
      <c r="B14" s="19">
        <v>1.2879</v>
      </c>
      <c r="C14" s="19">
        <f t="shared" si="0"/>
        <v>1.2879</v>
      </c>
      <c r="D14" s="19"/>
      <c r="E14" s="13">
        <v>92.135549860076054</v>
      </c>
      <c r="F14" s="13">
        <f t="shared" si="1"/>
        <v>8.9267682550826617</v>
      </c>
      <c r="G14" s="13"/>
      <c r="H14" s="14">
        <f t="shared" si="2"/>
        <v>7.683374506004462E-3</v>
      </c>
      <c r="I14" s="14">
        <f t="shared" si="3"/>
        <v>8.2278002281192947E-2</v>
      </c>
      <c r="J14" s="14"/>
      <c r="K14" s="15"/>
      <c r="L14" s="15"/>
      <c r="M14" s="15"/>
      <c r="N14" s="15"/>
      <c r="O14" s="15"/>
      <c r="P14" s="16"/>
      <c r="Q14" s="10"/>
      <c r="R14" s="10"/>
      <c r="S14" s="10"/>
      <c r="T14" s="10"/>
    </row>
    <row r="15" spans="1:20">
      <c r="A15" s="11">
        <v>1935</v>
      </c>
      <c r="B15" s="19">
        <v>1.443223999894494</v>
      </c>
      <c r="C15" s="19">
        <f t="shared" si="0"/>
        <v>1.443223999894494</v>
      </c>
      <c r="D15" s="19"/>
      <c r="E15" s="13">
        <v>91.433035605299708</v>
      </c>
      <c r="F15" s="13">
        <f t="shared" si="1"/>
        <v>8.9953559587147698</v>
      </c>
      <c r="G15" s="13"/>
      <c r="H15" s="14">
        <f t="shared" si="2"/>
        <v>7.6833745060040171E-3</v>
      </c>
      <c r="I15" s="14">
        <f t="shared" si="3"/>
        <v>0.12060253117050544</v>
      </c>
      <c r="J15" s="14"/>
      <c r="K15" s="11"/>
      <c r="L15" s="11"/>
      <c r="M15" s="11"/>
      <c r="N15" s="11"/>
      <c r="O15" s="11"/>
      <c r="P15" s="16"/>
      <c r="Q15" s="10"/>
      <c r="R15" s="10"/>
      <c r="S15" s="10"/>
      <c r="T15" s="10"/>
    </row>
    <row r="16" spans="1:20">
      <c r="A16" s="11">
        <v>1936</v>
      </c>
      <c r="B16" s="19">
        <v>1.6172804673277912</v>
      </c>
      <c r="C16" s="19">
        <f t="shared" si="0"/>
        <v>1.6172804673277912</v>
      </c>
      <c r="D16" s="19"/>
      <c r="E16" s="13">
        <v>90.735877874459149</v>
      </c>
      <c r="F16" s="13">
        <f t="shared" si="1"/>
        <v>9.0644706473603964</v>
      </c>
      <c r="G16" s="13"/>
      <c r="H16" s="14">
        <f t="shared" si="2"/>
        <v>7.6833745060047127E-3</v>
      </c>
      <c r="I16" s="14">
        <f t="shared" si="3"/>
        <v>0.12060253117050539</v>
      </c>
      <c r="J16" s="14"/>
      <c r="K16" s="15"/>
      <c r="L16" s="15"/>
      <c r="M16" s="15"/>
      <c r="N16" s="15"/>
      <c r="O16" s="15"/>
      <c r="P16" s="16"/>
      <c r="Q16" s="10"/>
      <c r="R16" s="10"/>
      <c r="S16" s="10"/>
      <c r="T16" s="10"/>
    </row>
    <row r="17" spans="1:20">
      <c r="A17" s="11">
        <v>1937</v>
      </c>
      <c r="B17" s="19">
        <v>1.812328585300141</v>
      </c>
      <c r="C17" s="19">
        <f t="shared" si="0"/>
        <v>1.812328585300141</v>
      </c>
      <c r="D17" s="19"/>
      <c r="E17" s="13">
        <v>90.044035825182206</v>
      </c>
      <c r="F17" s="13">
        <f t="shared" si="1"/>
        <v>9.134116370042749</v>
      </c>
      <c r="G17" s="13"/>
      <c r="H17" s="14">
        <f t="shared" si="2"/>
        <v>7.6833745060042365E-3</v>
      </c>
      <c r="I17" s="14">
        <f t="shared" si="3"/>
        <v>0.12060253117050558</v>
      </c>
      <c r="J17" s="14"/>
      <c r="K17" s="15"/>
      <c r="L17" s="15"/>
      <c r="M17" s="15"/>
      <c r="N17" s="15"/>
      <c r="O17" s="15"/>
      <c r="P17" s="16"/>
      <c r="Q17" s="10"/>
      <c r="R17" s="10"/>
      <c r="S17" s="10"/>
      <c r="T17" s="10"/>
    </row>
    <row r="18" spans="1:20">
      <c r="A18" s="11">
        <v>1938</v>
      </c>
      <c r="B18" s="19">
        <v>2.0308999999999999</v>
      </c>
      <c r="C18" s="19">
        <f t="shared" si="0"/>
        <v>2.0308999999999999</v>
      </c>
      <c r="D18" s="19"/>
      <c r="E18" s="13">
        <v>89.35746892651116</v>
      </c>
      <c r="F18" s="13">
        <f t="shared" si="1"/>
        <v>9.2042972068952142</v>
      </c>
      <c r="G18" s="13"/>
      <c r="H18" s="14">
        <f t="shared" si="2"/>
        <v>7.6833745060045453E-3</v>
      </c>
      <c r="I18" s="14">
        <f t="shared" si="3"/>
        <v>0.12060253117050582</v>
      </c>
      <c r="J18" s="14"/>
      <c r="K18" s="11"/>
      <c r="L18" s="11"/>
      <c r="M18" s="11"/>
      <c r="N18" s="11"/>
      <c r="O18" s="11"/>
      <c r="P18" s="16"/>
      <c r="Q18" s="10"/>
      <c r="R18" s="10"/>
      <c r="S18" s="10"/>
      <c r="T18" s="10"/>
    </row>
    <row r="19" spans="1:20">
      <c r="A19" s="11">
        <v>1939</v>
      </c>
      <c r="B19" s="19">
        <v>2.1050233781963947</v>
      </c>
      <c r="C19" s="19">
        <f t="shared" si="0"/>
        <v>2.1050233781963947</v>
      </c>
      <c r="D19" s="19"/>
      <c r="E19" s="13">
        <v>88.67613695652841</v>
      </c>
      <c r="F19" s="13">
        <f t="shared" si="1"/>
        <v>9.2750172694003616</v>
      </c>
      <c r="G19" s="13"/>
      <c r="H19" s="14">
        <f t="shared" si="2"/>
        <v>7.6833745060045306E-3</v>
      </c>
      <c r="I19" s="14">
        <f t="shared" si="3"/>
        <v>3.6497798117285346E-2</v>
      </c>
      <c r="J19" s="14"/>
      <c r="K19" s="15"/>
      <c r="L19" s="15"/>
      <c r="M19" s="15"/>
      <c r="N19" s="15"/>
      <c r="O19" s="15"/>
      <c r="P19" s="16"/>
      <c r="Q19" s="10"/>
      <c r="R19" s="10"/>
      <c r="S19" s="10"/>
      <c r="T19" s="10"/>
    </row>
    <row r="20" spans="1:20">
      <c r="A20" s="11">
        <v>1940</v>
      </c>
      <c r="B20" s="19">
        <v>2.1818520964859727</v>
      </c>
      <c r="C20" s="19">
        <f t="shared" si="0"/>
        <v>2.1818520964859727</v>
      </c>
      <c r="D20" s="19"/>
      <c r="E20" s="13">
        <v>88</v>
      </c>
      <c r="F20" s="13">
        <f t="shared" si="1"/>
        <v>9.3462807006308246</v>
      </c>
      <c r="G20" s="13"/>
      <c r="H20" s="14">
        <f t="shared" si="2"/>
        <v>7.6833745060045817E-3</v>
      </c>
      <c r="I20" s="14">
        <f t="shared" si="3"/>
        <v>3.6497798117285311E-2</v>
      </c>
      <c r="J20" s="14"/>
      <c r="K20" s="16" t="s">
        <v>16</v>
      </c>
      <c r="L20" s="17">
        <f>SUM(H20:H29)/10</f>
        <v>3.8954578301067478E-3</v>
      </c>
      <c r="M20" s="17">
        <f>SUM(I20:I29)/10</f>
        <v>5.2064235616363599E-2</v>
      </c>
      <c r="N20" s="18">
        <f>IF((M20/L20)&gt;0,(M20/L20),"---")</f>
        <v>13.365370102064967</v>
      </c>
      <c r="O20" s="11"/>
      <c r="P20" s="16"/>
      <c r="Q20" s="10"/>
      <c r="R20" s="10"/>
      <c r="S20" s="10"/>
      <c r="T20" s="10"/>
    </row>
    <row r="21" spans="1:20">
      <c r="A21" s="11">
        <v>1941</v>
      </c>
      <c r="B21" s="19">
        <v>2.2614848938252932</v>
      </c>
      <c r="C21" s="19">
        <f t="shared" si="0"/>
        <v>2.2614848938252932</v>
      </c>
      <c r="D21" s="19"/>
      <c r="E21" s="13">
        <v>87.695295836890693</v>
      </c>
      <c r="F21" s="13">
        <f t="shared" si="1"/>
        <v>9.3787550837991898</v>
      </c>
      <c r="G21" s="13"/>
      <c r="H21" s="14">
        <f t="shared" si="2"/>
        <v>3.4745781994513928E-3</v>
      </c>
      <c r="I21" s="14">
        <f t="shared" si="3"/>
        <v>3.64977981172852E-2</v>
      </c>
      <c r="J21" s="14"/>
      <c r="K21" s="15"/>
      <c r="L21" s="15"/>
      <c r="M21" s="15"/>
      <c r="N21" s="15"/>
      <c r="O21" s="15"/>
      <c r="P21" s="16"/>
      <c r="Q21" s="10"/>
      <c r="R21" s="10"/>
      <c r="S21" s="10"/>
      <c r="T21" s="10"/>
    </row>
    <row r="22" spans="1:20">
      <c r="A22" s="11">
        <v>1942</v>
      </c>
      <c r="B22" s="19">
        <v>2.3440241129254193</v>
      </c>
      <c r="C22" s="19">
        <f t="shared" si="0"/>
        <v>2.3440241129254193</v>
      </c>
      <c r="D22" s="19"/>
      <c r="E22" s="13">
        <v>87.391646726361117</v>
      </c>
      <c r="F22" s="13">
        <f t="shared" si="1"/>
        <v>9.411342301751354</v>
      </c>
      <c r="G22" s="13"/>
      <c r="H22" s="14">
        <f t="shared" si="2"/>
        <v>3.4745781994515688E-3</v>
      </c>
      <c r="I22" s="14">
        <f t="shared" si="3"/>
        <v>3.6497798117285409E-2</v>
      </c>
      <c r="J22" s="14"/>
      <c r="K22" s="11"/>
      <c r="L22" s="11"/>
      <c r="M22" s="11"/>
      <c r="N22" s="11"/>
      <c r="O22" s="11"/>
      <c r="P22" s="16"/>
      <c r="Q22" s="10"/>
      <c r="R22" s="10"/>
      <c r="S22" s="10"/>
      <c r="T22" s="10"/>
    </row>
    <row r="23" spans="1:20">
      <c r="A23" s="11">
        <v>1943</v>
      </c>
      <c r="B23" s="19">
        <v>2.4295758317810203</v>
      </c>
      <c r="C23" s="19">
        <f t="shared" si="0"/>
        <v>2.4295758317810203</v>
      </c>
      <c r="D23" s="19"/>
      <c r="E23" s="13">
        <v>87.089049015241812</v>
      </c>
      <c r="F23" s="13">
        <f t="shared" si="1"/>
        <v>9.4440427465405925</v>
      </c>
      <c r="G23" s="13"/>
      <c r="H23" s="14">
        <f t="shared" si="2"/>
        <v>3.4745781994512392E-3</v>
      </c>
      <c r="I23" s="14">
        <f t="shared" si="3"/>
        <v>3.6497798117285409E-2</v>
      </c>
      <c r="J23" s="14"/>
      <c r="K23" s="15"/>
      <c r="L23" s="15"/>
      <c r="M23" s="15"/>
      <c r="N23" s="15"/>
      <c r="O23" s="15"/>
      <c r="P23" s="16"/>
      <c r="Q23" s="10"/>
      <c r="R23" s="10"/>
      <c r="S23" s="10"/>
      <c r="T23" s="10"/>
    </row>
    <row r="24" spans="1:20">
      <c r="A24" s="11">
        <v>1944</v>
      </c>
      <c r="B24" s="19">
        <v>2.5182500000000001</v>
      </c>
      <c r="C24" s="19">
        <f t="shared" si="0"/>
        <v>2.5182500000000001</v>
      </c>
      <c r="D24" s="19"/>
      <c r="E24" s="13">
        <v>86.787499063012561</v>
      </c>
      <c r="F24" s="13">
        <f t="shared" si="1"/>
        <v>9.4768568115824099</v>
      </c>
      <c r="G24" s="13"/>
      <c r="H24" s="14">
        <f t="shared" si="2"/>
        <v>3.474578199451434E-3</v>
      </c>
      <c r="I24" s="14">
        <f t="shared" si="3"/>
        <v>3.649779811728554E-2</v>
      </c>
      <c r="J24" s="14"/>
      <c r="K24" s="15"/>
      <c r="L24" s="15"/>
      <c r="M24" s="15"/>
      <c r="N24" s="15"/>
      <c r="O24" s="15"/>
      <c r="P24" s="16"/>
      <c r="Q24" s="10"/>
      <c r="R24" s="10"/>
      <c r="S24" s="10"/>
      <c r="T24" s="10"/>
    </row>
    <row r="25" spans="1:20">
      <c r="A25" s="11">
        <v>1945</v>
      </c>
      <c r="B25" s="19">
        <v>1.9236394999999999</v>
      </c>
      <c r="C25" s="19">
        <f t="shared" si="0"/>
        <v>1.9236394999999999</v>
      </c>
      <c r="D25" s="19"/>
      <c r="E25" s="13">
        <v>86.48699324175864</v>
      </c>
      <c r="F25" s="13">
        <f t="shared" si="1"/>
        <v>9.5097848916592564</v>
      </c>
      <c r="G25" s="13"/>
      <c r="H25" s="14">
        <f t="shared" si="2"/>
        <v>3.4745781994513798E-3</v>
      </c>
      <c r="I25" s="14">
        <f t="shared" si="3"/>
        <v>-0.23612052020252164</v>
      </c>
      <c r="J25" s="14"/>
      <c r="K25" s="11"/>
      <c r="L25" s="11"/>
      <c r="M25" s="11"/>
      <c r="N25" s="11"/>
      <c r="O25" s="11"/>
      <c r="P25" s="16"/>
      <c r="Q25" s="10"/>
      <c r="R25" s="10"/>
      <c r="S25" s="10"/>
      <c r="T25" s="10"/>
    </row>
    <row r="26" spans="1:20">
      <c r="A26" s="11">
        <v>1946</v>
      </c>
      <c r="B26" s="19">
        <v>2.2389474028372778</v>
      </c>
      <c r="C26" s="19">
        <f t="shared" si="0"/>
        <v>2.2389474028372778</v>
      </c>
      <c r="D26" s="19"/>
      <c r="E26" s="13">
        <v>86.187527936127168</v>
      </c>
      <c r="F26" s="13">
        <f t="shared" si="1"/>
        <v>9.5428273829252888</v>
      </c>
      <c r="G26" s="13"/>
      <c r="H26" s="14">
        <f t="shared" si="2"/>
        <v>3.4745781994514808E-3</v>
      </c>
      <c r="I26" s="14">
        <f t="shared" si="3"/>
        <v>0.16391215861250397</v>
      </c>
      <c r="J26" s="14"/>
      <c r="K26" s="15"/>
      <c r="L26" s="15"/>
      <c r="M26" s="15"/>
      <c r="N26" s="15"/>
      <c r="O26" s="15"/>
      <c r="P26" s="16"/>
      <c r="Q26" s="10"/>
      <c r="R26" s="10"/>
      <c r="S26" s="10"/>
      <c r="T26" s="10"/>
    </row>
    <row r="27" spans="1:20">
      <c r="A27" s="11">
        <v>1947</v>
      </c>
      <c r="B27" s="19">
        <v>2.5782334999999996</v>
      </c>
      <c r="C27" s="19">
        <f t="shared" si="0"/>
        <v>2.5782334999999996</v>
      </c>
      <c r="D27" s="19"/>
      <c r="E27" s="13">
        <v>85.88909954328355</v>
      </c>
      <c r="F27" s="13">
        <f t="shared" si="1"/>
        <v>9.5759846829111304</v>
      </c>
      <c r="G27" s="13"/>
      <c r="H27" s="14">
        <f t="shared" si="2"/>
        <v>3.474578199451561E-3</v>
      </c>
      <c r="I27" s="14">
        <f t="shared" si="3"/>
        <v>0.15153821690173061</v>
      </c>
      <c r="J27" s="14"/>
      <c r="K27" s="15"/>
      <c r="L27" s="15"/>
      <c r="M27" s="15"/>
      <c r="N27" s="15"/>
      <c r="O27" s="15"/>
      <c r="P27" s="16"/>
      <c r="Q27" s="10"/>
      <c r="R27" s="10"/>
      <c r="S27" s="10"/>
      <c r="T27" s="10"/>
    </row>
    <row r="28" spans="1:20">
      <c r="A28" s="11">
        <v>1948</v>
      </c>
      <c r="B28" s="19">
        <v>2.9209960454578137</v>
      </c>
      <c r="C28" s="19">
        <f t="shared" si="0"/>
        <v>2.9209960454578137</v>
      </c>
      <c r="D28" s="19"/>
      <c r="E28" s="13">
        <v>85.591704472868244</v>
      </c>
      <c r="F28" s="13">
        <f t="shared" si="1"/>
        <v>9.6092571905286519</v>
      </c>
      <c r="G28" s="13"/>
      <c r="H28" s="14">
        <f t="shared" si="2"/>
        <v>3.4745781994511911E-3</v>
      </c>
      <c r="I28" s="14">
        <f t="shared" si="3"/>
        <v>0.13294472570378676</v>
      </c>
      <c r="J28" s="14"/>
      <c r="K28" s="11"/>
      <c r="L28" s="11"/>
      <c r="M28" s="11"/>
      <c r="N28" s="11"/>
      <c r="O28" s="11"/>
      <c r="P28" s="16"/>
      <c r="Q28" s="10"/>
      <c r="R28" s="10"/>
      <c r="S28" s="10"/>
      <c r="T28" s="10"/>
    </row>
    <row r="29" spans="1:20">
      <c r="A29" s="11">
        <v>1949</v>
      </c>
      <c r="B29" s="19">
        <v>3.2886874773696029</v>
      </c>
      <c r="C29" s="19">
        <f t="shared" si="0"/>
        <v>3.2886874773696029</v>
      </c>
      <c r="D29" s="19"/>
      <c r="E29" s="13">
        <v>85.29533914695341</v>
      </c>
      <c r="F29" s="13">
        <f t="shared" si="1"/>
        <v>9.6426453060757868</v>
      </c>
      <c r="G29" s="13"/>
      <c r="H29" s="14">
        <f t="shared" si="2"/>
        <v>3.4745781994516582E-3</v>
      </c>
      <c r="I29" s="14">
        <f t="shared" si="3"/>
        <v>0.12587878456170939</v>
      </c>
      <c r="J29" s="14"/>
      <c r="K29" s="15"/>
      <c r="L29" s="15"/>
      <c r="M29" s="15"/>
      <c r="N29" s="15"/>
      <c r="O29" s="15"/>
      <c r="P29" s="16"/>
      <c r="Q29" s="10"/>
      <c r="R29" s="10"/>
      <c r="S29" s="10"/>
      <c r="T29" s="10"/>
    </row>
    <row r="30" spans="1:20">
      <c r="A30" s="11">
        <v>1950</v>
      </c>
      <c r="B30" s="19">
        <v>3.6847495359825464</v>
      </c>
      <c r="C30" s="19">
        <f t="shared" si="0"/>
        <v>3.6847495359825464</v>
      </c>
      <c r="D30" s="19"/>
      <c r="E30" s="13">
        <v>85</v>
      </c>
      <c r="F30" s="13">
        <f t="shared" si="1"/>
        <v>9.6761494312413241</v>
      </c>
      <c r="G30" s="13"/>
      <c r="H30" s="14">
        <f t="shared" si="2"/>
        <v>3.4745781994518091E-3</v>
      </c>
      <c r="I30" s="14">
        <f t="shared" si="3"/>
        <v>0.12043164981116618</v>
      </c>
      <c r="J30" s="14"/>
      <c r="K30" s="16" t="s">
        <v>17</v>
      </c>
      <c r="L30" s="17">
        <f>SUM(H30:H39)/10</f>
        <v>5.8183541315614276E-2</v>
      </c>
      <c r="M30" s="17">
        <f>SUM(I30:I39)/10</f>
        <v>0.13189585384269184</v>
      </c>
      <c r="N30" s="18">
        <f>IF((M30/L30)&gt;0,(M30/L30),"---")</f>
        <v>2.2668928508017085</v>
      </c>
      <c r="O30" s="11"/>
      <c r="P30" s="16"/>
      <c r="Q30" s="10"/>
      <c r="R30" s="10"/>
      <c r="S30" s="10"/>
      <c r="T30" s="10"/>
    </row>
    <row r="31" spans="1:20">
      <c r="A31" s="11">
        <v>1951</v>
      </c>
      <c r="B31" s="19">
        <v>4.2480991362352754</v>
      </c>
      <c r="C31" s="19">
        <f t="shared" si="0"/>
        <v>4.2480991362352754</v>
      </c>
      <c r="D31" s="19"/>
      <c r="E31" s="13">
        <v>77.912596619645541</v>
      </c>
      <c r="F31" s="13">
        <f t="shared" si="1"/>
        <v>10.556350799995382</v>
      </c>
      <c r="G31" s="13"/>
      <c r="H31" s="14">
        <f t="shared" si="2"/>
        <v>9.0966078501449887E-2</v>
      </c>
      <c r="I31" s="14">
        <f t="shared" si="3"/>
        <v>0.1528868094700799</v>
      </c>
      <c r="J31" s="14"/>
      <c r="K31" s="15"/>
      <c r="L31" s="15"/>
      <c r="M31" s="15"/>
      <c r="N31" s="15"/>
      <c r="O31" s="15"/>
      <c r="P31" s="16"/>
      <c r="Q31" s="10"/>
      <c r="R31" s="10"/>
      <c r="S31" s="10"/>
      <c r="T31" s="10"/>
    </row>
    <row r="32" spans="1:20">
      <c r="A32" s="11">
        <v>1952</v>
      </c>
      <c r="B32" s="19">
        <v>4.8481939714848243</v>
      </c>
      <c r="C32" s="19">
        <f t="shared" si="0"/>
        <v>4.8481939714848243</v>
      </c>
      <c r="D32" s="19"/>
      <c r="E32" s="13">
        <v>71.416149553124725</v>
      </c>
      <c r="F32" s="13">
        <f t="shared" si="1"/>
        <v>11.516620635556603</v>
      </c>
      <c r="G32" s="13"/>
      <c r="H32" s="14">
        <f t="shared" si="2"/>
        <v>9.0966078501449624E-2</v>
      </c>
      <c r="I32" s="14">
        <f t="shared" si="3"/>
        <v>0.14126196588278336</v>
      </c>
      <c r="J32" s="14"/>
      <c r="K32" s="11"/>
      <c r="L32" s="11"/>
      <c r="M32" s="11"/>
      <c r="N32" s="11"/>
      <c r="O32" s="11"/>
      <c r="P32" s="16"/>
      <c r="Q32" s="10"/>
      <c r="R32" s="10"/>
      <c r="S32" s="10"/>
      <c r="T32" s="10"/>
    </row>
    <row r="33" spans="1:20">
      <c r="A33" s="11">
        <v>1953</v>
      </c>
      <c r="B33" s="19">
        <v>5.4901071746372327</v>
      </c>
      <c r="C33" s="19">
        <f t="shared" si="0"/>
        <v>5.4901071746372327</v>
      </c>
      <c r="D33" s="19"/>
      <c r="E33" s="13">
        <v>65.461384144245713</v>
      </c>
      <c r="F33" s="13">
        <f t="shared" si="1"/>
        <v>12.564242452362061</v>
      </c>
      <c r="G33" s="13"/>
      <c r="H33" s="14">
        <f t="shared" si="2"/>
        <v>9.0966078501449776E-2</v>
      </c>
      <c r="I33" s="14">
        <f t="shared" si="3"/>
        <v>0.13240254142633115</v>
      </c>
      <c r="J33" s="14"/>
      <c r="K33" s="15"/>
      <c r="L33" s="15"/>
      <c r="M33" s="15"/>
      <c r="N33" s="15"/>
      <c r="O33" s="15"/>
      <c r="P33" s="16"/>
      <c r="Q33" s="10"/>
      <c r="R33" s="10"/>
      <c r="S33" s="10"/>
      <c r="T33" s="10"/>
    </row>
    <row r="34" spans="1:20">
      <c r="A34" s="11">
        <v>1954</v>
      </c>
      <c r="B34" s="19">
        <v>6.1796122871681014</v>
      </c>
      <c r="C34" s="19">
        <f t="shared" si="0"/>
        <v>6.1796122871681014</v>
      </c>
      <c r="D34" s="19"/>
      <c r="E34" s="13">
        <v>60.003134317579722</v>
      </c>
      <c r="F34" s="13">
        <f t="shared" si="1"/>
        <v>13.707162317594875</v>
      </c>
      <c r="G34" s="13"/>
      <c r="H34" s="14">
        <f t="shared" si="2"/>
        <v>9.0966078501449721E-2</v>
      </c>
      <c r="I34" s="14">
        <f t="shared" si="3"/>
        <v>0.12559046492137538</v>
      </c>
      <c r="J34" s="14"/>
      <c r="K34" s="15"/>
      <c r="L34" s="15"/>
      <c r="M34" s="15"/>
      <c r="N34" s="15"/>
      <c r="O34" s="15"/>
      <c r="P34" s="16"/>
      <c r="Q34" s="10"/>
      <c r="R34" s="10"/>
      <c r="S34" s="10"/>
      <c r="T34" s="10"/>
    </row>
    <row r="35" spans="1:20">
      <c r="A35" s="11">
        <v>1955</v>
      </c>
      <c r="B35" s="19">
        <v>6.9232799591644421</v>
      </c>
      <c r="C35" s="19">
        <f t="shared" si="0"/>
        <v>6.9232799591644412</v>
      </c>
      <c r="D35" s="19"/>
      <c r="E35" s="13">
        <v>55</v>
      </c>
      <c r="F35" s="13">
        <f t="shared" si="1"/>
        <v>14.954049121009319</v>
      </c>
      <c r="G35" s="13"/>
      <c r="H35" s="14">
        <f t="shared" si="2"/>
        <v>9.0966078501449388E-2</v>
      </c>
      <c r="I35" s="14">
        <f t="shared" si="3"/>
        <v>0.12034212462496356</v>
      </c>
      <c r="J35" s="14"/>
      <c r="K35" s="11"/>
      <c r="L35" s="11"/>
      <c r="M35" s="11"/>
      <c r="N35" s="11"/>
      <c r="O35" s="11"/>
      <c r="P35" s="16"/>
      <c r="Q35" s="10"/>
      <c r="R35" s="10"/>
      <c r="S35" s="10"/>
      <c r="T35" s="10"/>
    </row>
    <row r="36" spans="1:20">
      <c r="A36" s="11">
        <v>1956</v>
      </c>
      <c r="B36" s="19">
        <v>7.9449879999999995</v>
      </c>
      <c r="C36" s="19">
        <f t="shared" si="0"/>
        <v>7.9449879999999995</v>
      </c>
      <c r="D36" s="19"/>
      <c r="E36" s="13">
        <v>53.280111838330534</v>
      </c>
      <c r="F36" s="13">
        <f t="shared" si="1"/>
        <v>15.436767553175688</v>
      </c>
      <c r="G36" s="13"/>
      <c r="H36" s="14">
        <f t="shared" si="2"/>
        <v>3.2280115456367296E-2</v>
      </c>
      <c r="I36" s="14">
        <f t="shared" si="3"/>
        <v>0.14757572232553001</v>
      </c>
      <c r="J36" s="14"/>
      <c r="K36" s="15"/>
      <c r="L36" s="15"/>
      <c r="M36" s="15"/>
      <c r="N36" s="15"/>
      <c r="O36" s="15"/>
      <c r="P36" s="16"/>
      <c r="Q36" s="10"/>
      <c r="R36" s="10"/>
      <c r="S36" s="10"/>
      <c r="T36" s="10"/>
    </row>
    <row r="37" spans="1:20">
      <c r="A37" s="11">
        <v>1957</v>
      </c>
      <c r="B37" s="19">
        <v>9.083957016094601</v>
      </c>
      <c r="C37" s="19">
        <f t="shared" si="0"/>
        <v>9.083957016094601</v>
      </c>
      <c r="D37" s="19"/>
      <c r="E37" s="13">
        <v>51.614005772818359</v>
      </c>
      <c r="F37" s="13">
        <f t="shared" si="1"/>
        <v>15.9350681920653</v>
      </c>
      <c r="G37" s="13"/>
      <c r="H37" s="14">
        <f t="shared" si="2"/>
        <v>3.2280115456367046E-2</v>
      </c>
      <c r="I37" s="14">
        <f t="shared" si="3"/>
        <v>0.14335692087824445</v>
      </c>
      <c r="J37" s="14"/>
      <c r="K37" s="15"/>
      <c r="L37" s="15"/>
      <c r="M37" s="15"/>
      <c r="N37" s="15"/>
      <c r="O37" s="15"/>
      <c r="P37" s="16"/>
      <c r="Q37" s="10"/>
      <c r="R37" s="10"/>
      <c r="S37" s="10"/>
      <c r="T37" s="10"/>
    </row>
    <row r="38" spans="1:20">
      <c r="A38" s="11">
        <v>1958</v>
      </c>
      <c r="B38" s="19">
        <v>10.3163</v>
      </c>
      <c r="C38" s="19">
        <f t="shared" si="0"/>
        <v>10.3163</v>
      </c>
      <c r="D38" s="19"/>
      <c r="E38" s="13">
        <v>50</v>
      </c>
      <c r="F38" s="13">
        <f t="shared" si="1"/>
        <v>16.449454033110253</v>
      </c>
      <c r="G38" s="13"/>
      <c r="H38" s="14">
        <f t="shared" si="2"/>
        <v>3.2280115456367268E-2</v>
      </c>
      <c r="I38" s="14">
        <f t="shared" si="3"/>
        <v>0.13566147238719664</v>
      </c>
      <c r="J38" s="14"/>
      <c r="K38" s="11"/>
      <c r="L38" s="11"/>
      <c r="M38" s="11"/>
      <c r="N38" s="11"/>
      <c r="O38" s="11"/>
      <c r="P38" s="16"/>
      <c r="Q38" s="10"/>
      <c r="R38" s="10"/>
      <c r="S38" s="10"/>
      <c r="T38" s="10"/>
    </row>
    <row r="39" spans="1:20">
      <c r="A39" s="11">
        <v>1959</v>
      </c>
      <c r="B39" s="19">
        <v>11.342244343529451</v>
      </c>
      <c r="C39" s="19">
        <f t="shared" si="0"/>
        <v>11.342244343529451</v>
      </c>
      <c r="D39" s="19"/>
      <c r="E39" s="13">
        <v>48.700187321264835</v>
      </c>
      <c r="F39" s="13">
        <f t="shared" si="1"/>
        <v>16.88849154172312</v>
      </c>
      <c r="G39" s="13"/>
      <c r="H39" s="14">
        <f t="shared" si="2"/>
        <v>2.6690096080341057E-2</v>
      </c>
      <c r="I39" s="14">
        <f t="shared" si="3"/>
        <v>9.9448866699247893E-2</v>
      </c>
      <c r="J39" s="14"/>
      <c r="K39" s="15"/>
      <c r="L39" s="15"/>
      <c r="M39" s="15"/>
      <c r="N39" s="15"/>
      <c r="O39" s="15"/>
      <c r="P39" s="16"/>
      <c r="Q39" s="10"/>
      <c r="R39" s="10"/>
      <c r="S39" s="10"/>
      <c r="T39" s="10"/>
    </row>
    <row r="40" spans="1:20">
      <c r="A40" s="11">
        <v>1960</v>
      </c>
      <c r="B40" s="19">
        <v>12.415635</v>
      </c>
      <c r="C40" s="19">
        <f t="shared" si="0"/>
        <v>12.415635</v>
      </c>
      <c r="D40" s="19"/>
      <c r="E40" s="13">
        <v>47.434164902525687</v>
      </c>
      <c r="F40" s="13">
        <f t="shared" si="1"/>
        <v>17.339247003623733</v>
      </c>
      <c r="G40" s="13"/>
      <c r="H40" s="14">
        <f t="shared" si="2"/>
        <v>2.6690096080340793E-2</v>
      </c>
      <c r="I40" s="14">
        <f t="shared" si="3"/>
        <v>9.4636530827595794E-2</v>
      </c>
      <c r="J40" s="14"/>
      <c r="K40" s="16" t="s">
        <v>18</v>
      </c>
      <c r="L40" s="17">
        <f>SUM(H40:H49)/10</f>
        <v>2.2166815447117252E-2</v>
      </c>
      <c r="M40" s="17">
        <f>SUM(I40:I49)/10</f>
        <v>0.10223713477269145</v>
      </c>
      <c r="N40" s="18">
        <f>IF((M40/L40)&gt;0,(M40/L40),"---")</f>
        <v>4.6121706122647925</v>
      </c>
      <c r="O40" s="11"/>
      <c r="P40" s="16"/>
      <c r="Q40" s="10"/>
      <c r="R40" s="10"/>
      <c r="S40" s="10"/>
      <c r="T40" s="10"/>
    </row>
    <row r="41" spans="1:20">
      <c r="A41" s="11">
        <v>1961</v>
      </c>
      <c r="B41" s="19">
        <v>13.73</v>
      </c>
      <c r="C41" s="19">
        <f t="shared" si="0"/>
        <v>13.73</v>
      </c>
      <c r="D41" s="19"/>
      <c r="E41" s="13">
        <v>46.201054323615345</v>
      </c>
      <c r="F41" s="13">
        <f t="shared" si="1"/>
        <v>17.802033172111212</v>
      </c>
      <c r="G41" s="13"/>
      <c r="H41" s="14">
        <f t="shared" si="2"/>
        <v>2.6690096080340842E-2</v>
      </c>
      <c r="I41" s="14">
        <f t="shared" si="3"/>
        <v>0.10586369525199479</v>
      </c>
      <c r="J41" s="14"/>
      <c r="K41" s="15"/>
      <c r="L41" s="15"/>
      <c r="M41" s="15"/>
      <c r="N41" s="15"/>
      <c r="O41" s="15"/>
      <c r="P41" s="16"/>
      <c r="Q41" s="10"/>
      <c r="R41" s="10"/>
      <c r="S41" s="10"/>
      <c r="T41" s="10"/>
    </row>
    <row r="42" spans="1:20">
      <c r="A42" s="11">
        <v>1962</v>
      </c>
      <c r="B42" s="19">
        <v>15.838000000000001</v>
      </c>
      <c r="C42" s="19">
        <f t="shared" si="0"/>
        <v>15.838000000000001</v>
      </c>
      <c r="D42" s="19"/>
      <c r="E42" s="13">
        <v>45</v>
      </c>
      <c r="F42" s="13">
        <f t="shared" si="1"/>
        <v>18.27717114790028</v>
      </c>
      <c r="G42" s="13"/>
      <c r="H42" s="14">
        <f t="shared" si="2"/>
        <v>2.6690096080341088E-2</v>
      </c>
      <c r="I42" s="14">
        <f t="shared" si="3"/>
        <v>0.1535324107793154</v>
      </c>
      <c r="J42" s="14"/>
      <c r="K42" s="11"/>
      <c r="L42" s="11"/>
      <c r="M42" s="11"/>
      <c r="N42" s="11"/>
      <c r="O42" s="11"/>
      <c r="P42" s="16"/>
      <c r="Q42" s="10"/>
      <c r="R42" s="10"/>
      <c r="S42" s="10"/>
      <c r="T42" s="10"/>
    </row>
    <row r="43" spans="1:20">
      <c r="A43" s="11">
        <v>1963</v>
      </c>
      <c r="B43" s="19">
        <v>17.946000000000002</v>
      </c>
      <c r="C43" s="19">
        <f t="shared" si="0"/>
        <v>17.946000000000002</v>
      </c>
      <c r="D43" s="19"/>
      <c r="E43" s="13">
        <v>43.694259453659107</v>
      </c>
      <c r="F43" s="13">
        <f t="shared" si="1"/>
        <v>18.823358307006067</v>
      </c>
      <c r="G43" s="13"/>
      <c r="H43" s="14">
        <f t="shared" si="2"/>
        <v>2.9883571953558851E-2</v>
      </c>
      <c r="I43" s="14">
        <f t="shared" si="3"/>
        <v>0.13309761333501707</v>
      </c>
      <c r="J43" s="14"/>
      <c r="K43" s="15"/>
      <c r="L43" s="15"/>
      <c r="M43" s="15"/>
      <c r="N43" s="15"/>
      <c r="O43" s="15"/>
      <c r="P43" s="16"/>
      <c r="Q43" s="10"/>
      <c r="R43" s="10"/>
      <c r="S43" s="10"/>
      <c r="T43" s="10"/>
    </row>
    <row r="44" spans="1:20">
      <c r="A44" s="11">
        <v>1964</v>
      </c>
      <c r="B44" s="19">
        <v>20.054000000000002</v>
      </c>
      <c r="C44" s="19">
        <f t="shared" si="0"/>
        <v>20.054000000000002</v>
      </c>
      <c r="D44" s="19"/>
      <c r="E44" s="13">
        <v>42.426406871192853</v>
      </c>
      <c r="F44" s="13">
        <f t="shared" si="1"/>
        <v>19.385867489381106</v>
      </c>
      <c r="G44" s="13"/>
      <c r="H44" s="14">
        <f t="shared" si="2"/>
        <v>2.9883571953558986E-2</v>
      </c>
      <c r="I44" s="14">
        <f t="shared" si="3"/>
        <v>0.117463501615959</v>
      </c>
      <c r="J44" s="14"/>
      <c r="K44" s="15"/>
      <c r="L44" s="15"/>
      <c r="M44" s="15"/>
      <c r="N44" s="15"/>
      <c r="O44" s="15"/>
      <c r="P44" s="16"/>
      <c r="Q44" s="10"/>
      <c r="R44" s="10"/>
      <c r="S44" s="10"/>
      <c r="T44" s="10"/>
    </row>
    <row r="45" spans="1:20">
      <c r="A45" s="11">
        <v>1965</v>
      </c>
      <c r="B45" s="19">
        <v>22.161999999999999</v>
      </c>
      <c r="C45" s="19">
        <f t="shared" si="0"/>
        <v>22.161999999999999</v>
      </c>
      <c r="D45" s="19"/>
      <c r="E45" s="13">
        <v>41.195342878142363</v>
      </c>
      <c r="F45" s="13">
        <f t="shared" si="1"/>
        <v>19.965186455382177</v>
      </c>
      <c r="G45" s="13"/>
      <c r="H45" s="14">
        <f t="shared" si="2"/>
        <v>2.9883571953558556E-2</v>
      </c>
      <c r="I45" s="14">
        <f t="shared" si="3"/>
        <v>0.10511618629699794</v>
      </c>
      <c r="J45" s="14"/>
      <c r="K45" s="11"/>
      <c r="L45" s="11"/>
      <c r="M45" s="11"/>
      <c r="N45" s="11"/>
      <c r="O45" s="11"/>
      <c r="P45" s="16"/>
      <c r="Q45" s="10"/>
      <c r="R45" s="10"/>
      <c r="S45" s="10"/>
      <c r="T45" s="10"/>
    </row>
    <row r="46" spans="1:20">
      <c r="A46" s="11">
        <v>1966</v>
      </c>
      <c r="B46" s="19">
        <v>24.107599999999998</v>
      </c>
      <c r="C46" s="19">
        <f t="shared" si="0"/>
        <v>24.107599999999998</v>
      </c>
      <c r="D46" s="19"/>
      <c r="E46" s="13">
        <v>40</v>
      </c>
      <c r="F46" s="13">
        <f t="shared" si="1"/>
        <v>20.561817541387814</v>
      </c>
      <c r="G46" s="13"/>
      <c r="H46" s="14">
        <f t="shared" si="2"/>
        <v>2.9883571953559094E-2</v>
      </c>
      <c r="I46" s="14">
        <f t="shared" si="3"/>
        <v>8.7789910657882816E-2</v>
      </c>
      <c r="J46" s="14"/>
      <c r="K46" s="15"/>
      <c r="L46" s="15"/>
      <c r="M46" s="15"/>
      <c r="N46" s="15"/>
      <c r="O46" s="15"/>
      <c r="P46" s="16"/>
      <c r="Q46" s="10"/>
      <c r="R46" s="10"/>
      <c r="S46" s="10"/>
      <c r="T46" s="10"/>
    </row>
    <row r="47" spans="1:20">
      <c r="A47" s="11">
        <v>1967</v>
      </c>
      <c r="B47" s="19">
        <v>26.053199999999997</v>
      </c>
      <c r="C47" s="19">
        <f t="shared" si="0"/>
        <v>26.053199999999997</v>
      </c>
      <c r="D47" s="19"/>
      <c r="E47" s="13">
        <v>39.707966720839416</v>
      </c>
      <c r="F47" s="13">
        <f t="shared" si="1"/>
        <v>20.713039965953861</v>
      </c>
      <c r="G47" s="13"/>
      <c r="H47" s="14">
        <f t="shared" si="2"/>
        <v>7.3545261386382399E-3</v>
      </c>
      <c r="I47" s="14">
        <f t="shared" si="3"/>
        <v>8.0704839967479097E-2</v>
      </c>
      <c r="J47" s="14"/>
      <c r="K47" s="15"/>
      <c r="L47" s="15"/>
      <c r="M47" s="15"/>
      <c r="N47" s="15"/>
      <c r="O47" s="15"/>
      <c r="P47" s="16"/>
      <c r="Q47" s="10"/>
      <c r="R47" s="10"/>
      <c r="S47" s="10"/>
      <c r="T47" s="10"/>
    </row>
    <row r="48" spans="1:20">
      <c r="A48" s="11">
        <v>1968</v>
      </c>
      <c r="B48" s="19">
        <v>27.998799999999996</v>
      </c>
      <c r="C48" s="19">
        <f t="shared" si="0"/>
        <v>27.998799999999996</v>
      </c>
      <c r="D48" s="19"/>
      <c r="E48" s="13">
        <v>39.418065527582257</v>
      </c>
      <c r="F48" s="13">
        <f t="shared" si="1"/>
        <v>20.865374559794127</v>
      </c>
      <c r="G48" s="13"/>
      <c r="H48" s="14">
        <f t="shared" si="2"/>
        <v>7.3545261386382113E-3</v>
      </c>
      <c r="I48" s="14">
        <f t="shared" si="3"/>
        <v>7.467796662214235E-2</v>
      </c>
      <c r="J48" s="14"/>
      <c r="K48" s="11"/>
      <c r="L48" s="11"/>
      <c r="M48" s="11"/>
      <c r="N48" s="11"/>
      <c r="O48" s="11"/>
      <c r="P48" s="16"/>
      <c r="Q48" s="10"/>
      <c r="R48" s="10"/>
      <c r="S48" s="10"/>
      <c r="T48" s="10"/>
    </row>
    <row r="49" spans="1:20">
      <c r="A49" s="11">
        <v>1969</v>
      </c>
      <c r="B49" s="19">
        <v>29.944399999999995</v>
      </c>
      <c r="C49" s="19">
        <f t="shared" si="0"/>
        <v>29.944399999999995</v>
      </c>
      <c r="D49" s="19"/>
      <c r="E49" s="13">
        <v>39.130280854227593</v>
      </c>
      <c r="F49" s="13">
        <f t="shared" si="1"/>
        <v>21.018829502386602</v>
      </c>
      <c r="G49" s="13"/>
      <c r="H49" s="14">
        <f t="shared" si="2"/>
        <v>7.3545261386378513E-3</v>
      </c>
      <c r="I49" s="14">
        <f t="shared" si="3"/>
        <v>6.948869237253022E-2</v>
      </c>
      <c r="J49" s="14"/>
      <c r="K49" s="15"/>
      <c r="L49" s="15"/>
      <c r="M49" s="15"/>
      <c r="N49" s="15"/>
      <c r="O49" s="15"/>
      <c r="P49" s="16"/>
      <c r="Q49" s="10"/>
      <c r="R49" s="10"/>
      <c r="S49" s="10"/>
      <c r="T49" s="10"/>
    </row>
    <row r="50" spans="1:20">
      <c r="A50" s="11">
        <v>1970</v>
      </c>
      <c r="B50" s="19">
        <v>31.89</v>
      </c>
      <c r="C50" s="19">
        <f t="shared" si="0"/>
        <v>31.89</v>
      </c>
      <c r="D50" s="19"/>
      <c r="E50" s="13">
        <v>38.84459724841922</v>
      </c>
      <c r="F50" s="13">
        <f t="shared" si="1"/>
        <v>21.173413033365485</v>
      </c>
      <c r="G50" s="13"/>
      <c r="H50" s="14">
        <f t="shared" si="2"/>
        <v>7.3545261386382364E-3</v>
      </c>
      <c r="I50" s="14">
        <f t="shared" si="3"/>
        <v>6.4973751352506853E-2</v>
      </c>
      <c r="J50" s="14"/>
      <c r="K50" s="16" t="s">
        <v>19</v>
      </c>
      <c r="L50" s="17">
        <f>SUM(H50:H59)/10</f>
        <v>2.2741176872567988E-2</v>
      </c>
      <c r="M50" s="17">
        <f>SUM(I50:I59)/10</f>
        <v>6.5026316263380318E-2</v>
      </c>
      <c r="N50" s="18">
        <f>IF((M50/L50)&gt;0,(M50/L50),"---")</f>
        <v>2.8594085797652649</v>
      </c>
      <c r="O50" s="11"/>
      <c r="P50" s="16"/>
      <c r="Q50" s="10"/>
      <c r="R50" s="10"/>
      <c r="S50" s="10"/>
      <c r="T50" s="10"/>
    </row>
    <row r="51" spans="1:20">
      <c r="A51" s="11">
        <v>1971</v>
      </c>
      <c r="B51" s="19">
        <v>34.160600000000002</v>
      </c>
      <c r="C51" s="19">
        <f t="shared" si="0"/>
        <v>34.160600000000002</v>
      </c>
      <c r="D51" s="19"/>
      <c r="E51" s="13">
        <v>38.560999370616017</v>
      </c>
      <c r="F51" s="13">
        <f t="shared" si="1"/>
        <v>21.329133452963553</v>
      </c>
      <c r="G51" s="13"/>
      <c r="H51" s="14">
        <f t="shared" si="2"/>
        <v>7.3545261386381818E-3</v>
      </c>
      <c r="I51" s="14">
        <f t="shared" si="3"/>
        <v>7.1201003449357217E-2</v>
      </c>
      <c r="J51" s="14"/>
      <c r="K51" s="15"/>
      <c r="L51" s="15"/>
      <c r="M51" s="15"/>
      <c r="N51" s="15"/>
      <c r="O51" s="15"/>
      <c r="P51" s="16"/>
      <c r="Q51" s="10"/>
      <c r="R51" s="10"/>
      <c r="S51" s="10"/>
      <c r="T51" s="10"/>
    </row>
    <row r="52" spans="1:20">
      <c r="A52" s="11">
        <v>1972</v>
      </c>
      <c r="B52" s="19">
        <v>36.431200000000004</v>
      </c>
      <c r="C52" s="19">
        <f t="shared" si="0"/>
        <v>36.431200000000004</v>
      </c>
      <c r="D52" s="19"/>
      <c r="E52" s="13">
        <v>38.27947199326826</v>
      </c>
      <c r="F52" s="13">
        <f t="shared" si="1"/>
        <v>21.485999122457876</v>
      </c>
      <c r="G52" s="13"/>
      <c r="H52" s="14">
        <f t="shared" si="2"/>
        <v>7.3545261386382E-3</v>
      </c>
      <c r="I52" s="14">
        <f t="shared" si="3"/>
        <v>6.646838755759564E-2</v>
      </c>
      <c r="J52" s="14"/>
      <c r="K52" s="11"/>
      <c r="L52" s="11"/>
      <c r="M52" s="11"/>
      <c r="N52" s="11"/>
      <c r="O52" s="11"/>
      <c r="P52" s="16"/>
      <c r="Q52" s="10"/>
      <c r="R52" s="10"/>
      <c r="S52" s="10"/>
      <c r="T52" s="10"/>
    </row>
    <row r="53" spans="1:20">
      <c r="A53" s="11">
        <v>1973</v>
      </c>
      <c r="B53" s="19">
        <v>38.701800000000006</v>
      </c>
      <c r="C53" s="19">
        <f t="shared" si="0"/>
        <v>38.701800000000006</v>
      </c>
      <c r="D53" s="19"/>
      <c r="E53" s="13">
        <v>38</v>
      </c>
      <c r="F53" s="13">
        <f t="shared" si="1"/>
        <v>21.64401846461875</v>
      </c>
      <c r="G53" s="13"/>
      <c r="H53" s="14">
        <f t="shared" si="2"/>
        <v>7.354526138638174E-3</v>
      </c>
      <c r="I53" s="14">
        <f t="shared" si="3"/>
        <v>6.2325698851533891E-2</v>
      </c>
      <c r="J53" s="14"/>
      <c r="K53" s="15"/>
      <c r="L53" s="15"/>
      <c r="M53" s="15"/>
      <c r="N53" s="15"/>
      <c r="O53" s="15"/>
      <c r="P53" s="16"/>
      <c r="Q53" s="10"/>
      <c r="R53" s="10"/>
      <c r="S53" s="10"/>
      <c r="T53" s="10"/>
    </row>
    <row r="54" spans="1:20">
      <c r="A54" s="11">
        <v>1974</v>
      </c>
      <c r="B54" s="19">
        <v>40.972400000000007</v>
      </c>
      <c r="C54" s="19">
        <f t="shared" si="0"/>
        <v>40.972400000000007</v>
      </c>
      <c r="D54" s="19"/>
      <c r="E54" s="13">
        <v>36.957911973303752</v>
      </c>
      <c r="F54" s="13">
        <f t="shared" si="1"/>
        <v>22.254306527100859</v>
      </c>
      <c r="G54" s="13"/>
      <c r="H54" s="14">
        <f t="shared" si="2"/>
        <v>2.8196615313359694E-2</v>
      </c>
      <c r="I54" s="14">
        <f t="shared" si="3"/>
        <v>5.8669105829703048E-2</v>
      </c>
      <c r="J54" s="14"/>
      <c r="K54" s="15"/>
      <c r="L54" s="15"/>
      <c r="M54" s="15"/>
      <c r="N54" s="15"/>
      <c r="O54" s="15"/>
      <c r="P54" s="16"/>
      <c r="Q54" s="10"/>
      <c r="R54" s="10"/>
      <c r="S54" s="10"/>
      <c r="T54" s="10"/>
    </row>
    <row r="55" spans="1:20">
      <c r="A55" s="11">
        <v>1975</v>
      </c>
      <c r="B55" s="19">
        <v>43.243000000000002</v>
      </c>
      <c r="C55" s="19">
        <f t="shared" si="0"/>
        <v>43.243000000000002</v>
      </c>
      <c r="D55" s="19"/>
      <c r="E55" s="13">
        <v>35.944401511222857</v>
      </c>
      <c r="F55" s="13">
        <f t="shared" si="1"/>
        <v>22.881802647311112</v>
      </c>
      <c r="G55" s="13"/>
      <c r="H55" s="14">
        <f t="shared" si="2"/>
        <v>2.8196615313359714E-2</v>
      </c>
      <c r="I55" s="14">
        <f t="shared" si="3"/>
        <v>5.5417793441438483E-2</v>
      </c>
      <c r="J55" s="14"/>
      <c r="K55" s="11"/>
      <c r="L55" s="11"/>
      <c r="M55" s="11"/>
      <c r="N55" s="11"/>
      <c r="O55" s="11"/>
      <c r="P55" s="16"/>
      <c r="Q55" s="10"/>
      <c r="R55" s="10"/>
      <c r="S55" s="10"/>
      <c r="T55" s="10"/>
    </row>
    <row r="56" spans="1:20">
      <c r="A56" s="11">
        <v>1976</v>
      </c>
      <c r="B56" s="19">
        <v>46.486200000000004</v>
      </c>
      <c r="C56" s="19">
        <f t="shared" si="0"/>
        <v>46.486200000000004</v>
      </c>
      <c r="D56" s="19"/>
      <c r="E56" s="13">
        <v>34.958684920654228</v>
      </c>
      <c r="F56" s="13">
        <f t="shared" si="1"/>
        <v>23.526992034233551</v>
      </c>
      <c r="G56" s="13"/>
      <c r="H56" s="14">
        <f t="shared" si="2"/>
        <v>2.8196615313359361E-2</v>
      </c>
      <c r="I56" s="14">
        <f t="shared" si="3"/>
        <v>7.4999421871748059E-2</v>
      </c>
      <c r="J56" s="14"/>
      <c r="K56" s="15"/>
      <c r="L56" s="15"/>
      <c r="M56" s="15"/>
      <c r="N56" s="15"/>
      <c r="O56" s="15"/>
      <c r="P56" s="16"/>
      <c r="Q56" s="10"/>
      <c r="R56" s="10"/>
      <c r="S56" s="10"/>
      <c r="T56" s="10"/>
    </row>
    <row r="57" spans="1:20">
      <c r="A57" s="11">
        <v>1977</v>
      </c>
      <c r="B57" s="19">
        <v>49.729400000000005</v>
      </c>
      <c r="C57" s="19">
        <f t="shared" si="0"/>
        <v>49.729400000000005</v>
      </c>
      <c r="D57" s="19"/>
      <c r="E57" s="13">
        <v>34</v>
      </c>
      <c r="F57" s="13">
        <f t="shared" si="1"/>
        <v>24.190373578103316</v>
      </c>
      <c r="G57" s="13"/>
      <c r="H57" s="14">
        <f t="shared" si="2"/>
        <v>2.8196615313359832E-2</v>
      </c>
      <c r="I57" s="14">
        <f t="shared" si="3"/>
        <v>6.9766941586965628E-2</v>
      </c>
      <c r="J57" s="14"/>
      <c r="K57" s="15"/>
      <c r="L57" s="15"/>
      <c r="M57" s="15"/>
      <c r="N57" s="15"/>
      <c r="O57" s="15"/>
      <c r="P57" s="16"/>
      <c r="Q57" s="10"/>
      <c r="R57" s="10"/>
      <c r="S57" s="10"/>
      <c r="T57" s="10"/>
    </row>
    <row r="58" spans="1:20">
      <c r="A58" s="11">
        <v>1978</v>
      </c>
      <c r="B58" s="19">
        <v>52.972600000000007</v>
      </c>
      <c r="C58" s="19">
        <f t="shared" si="0"/>
        <v>52.972600000000007</v>
      </c>
      <c r="D58" s="19"/>
      <c r="E58" s="13">
        <v>32.610668093248584</v>
      </c>
      <c r="F58" s="13">
        <f t="shared" si="1"/>
        <v>25.220970613165385</v>
      </c>
      <c r="G58" s="13"/>
      <c r="H58" s="14">
        <f t="shared" si="2"/>
        <v>4.2603601458844217E-2</v>
      </c>
      <c r="I58" s="14">
        <f t="shared" si="3"/>
        <v>6.521695415589171E-2</v>
      </c>
      <c r="J58" s="14"/>
      <c r="K58" s="11"/>
      <c r="L58" s="11"/>
      <c r="M58" s="11"/>
      <c r="N58" s="11"/>
      <c r="O58" s="11"/>
      <c r="P58" s="16"/>
      <c r="Q58" s="10"/>
      <c r="R58" s="10"/>
      <c r="S58" s="10"/>
      <c r="T58" s="10"/>
    </row>
    <row r="59" spans="1:20">
      <c r="A59" s="11">
        <v>1979</v>
      </c>
      <c r="B59" s="19">
        <v>56.215800000000009</v>
      </c>
      <c r="C59" s="19">
        <f t="shared" si="0"/>
        <v>56.215800000000009</v>
      </c>
      <c r="D59" s="19"/>
      <c r="E59" s="13">
        <v>31.278108043765332</v>
      </c>
      <c r="F59" s="13">
        <f t="shared" si="1"/>
        <v>26.295474793573906</v>
      </c>
      <c r="G59" s="13"/>
      <c r="H59" s="14">
        <f t="shared" si="2"/>
        <v>4.2603601458844266E-2</v>
      </c>
      <c r="I59" s="14">
        <f t="shared" si="3"/>
        <v>6.1224104537062576E-2</v>
      </c>
      <c r="J59" s="14"/>
      <c r="K59" s="15"/>
      <c r="L59" s="15"/>
      <c r="M59" s="15"/>
      <c r="N59" s="15"/>
      <c r="O59" s="15"/>
      <c r="P59" s="16"/>
      <c r="Q59" s="10"/>
      <c r="R59" s="10"/>
      <c r="S59" s="10"/>
      <c r="T59" s="10"/>
    </row>
    <row r="60" spans="1:20">
      <c r="A60" s="11">
        <v>1980</v>
      </c>
      <c r="B60" s="19">
        <v>59.459000000000003</v>
      </c>
      <c r="C60" s="19">
        <f t="shared" si="0"/>
        <v>59.459000000000003</v>
      </c>
      <c r="D60" s="19"/>
      <c r="E60" s="13">
        <v>30</v>
      </c>
      <c r="F60" s="13">
        <f t="shared" si="1"/>
        <v>27.415756721850418</v>
      </c>
      <c r="G60" s="13"/>
      <c r="H60" s="14">
        <f t="shared" si="2"/>
        <v>4.2603601458844419E-2</v>
      </c>
      <c r="I60" s="14">
        <f t="shared" si="3"/>
        <v>5.7691965603975999E-2</v>
      </c>
      <c r="J60" s="14"/>
      <c r="K60" s="16" t="s">
        <v>20</v>
      </c>
      <c r="L60" s="17">
        <f>SUM(H60:H69)/10</f>
        <v>1.0414063895835535E-2</v>
      </c>
      <c r="M60" s="17">
        <f>SUM(I60:I69)/10</f>
        <v>4.193731853514783E-2</v>
      </c>
      <c r="N60" s="18">
        <f>IF((M60/L60)&gt;0,(M60/L60),"---")</f>
        <v>4.0269887869535816</v>
      </c>
      <c r="O60" s="11"/>
      <c r="P60" s="16"/>
      <c r="Q60" s="10"/>
      <c r="R60" s="10"/>
      <c r="S60" s="10"/>
      <c r="T60" s="10"/>
    </row>
    <row r="61" spans="1:20">
      <c r="A61" s="11">
        <v>1981</v>
      </c>
      <c r="B61" s="19">
        <v>62.161999999999999</v>
      </c>
      <c r="C61" s="19">
        <f t="shared" si="0"/>
        <v>62.161999999999999</v>
      </c>
      <c r="D61" s="19"/>
      <c r="E61" s="13">
        <v>29.49576240750525</v>
      </c>
      <c r="F61" s="13">
        <f t="shared" si="1"/>
        <v>27.884436085850517</v>
      </c>
      <c r="G61" s="13"/>
      <c r="H61" s="14">
        <f t="shared" si="2"/>
        <v>1.7095255431215612E-2</v>
      </c>
      <c r="I61" s="14">
        <f t="shared" si="3"/>
        <v>4.5459896735565615E-2</v>
      </c>
      <c r="J61" s="14"/>
      <c r="K61" s="15"/>
      <c r="L61" s="15"/>
      <c r="M61" s="15"/>
      <c r="N61" s="15"/>
      <c r="O61" s="15"/>
      <c r="P61" s="16"/>
      <c r="Q61" s="10"/>
      <c r="R61" s="10"/>
      <c r="S61" s="10"/>
      <c r="T61" s="10"/>
    </row>
    <row r="62" spans="1:20">
      <c r="A62" s="11">
        <v>1982</v>
      </c>
      <c r="B62" s="19">
        <v>64.729500000000002</v>
      </c>
      <c r="C62" s="19">
        <f t="shared" si="0"/>
        <v>64.729500000000002</v>
      </c>
      <c r="D62" s="19"/>
      <c r="E62" s="13">
        <v>29</v>
      </c>
      <c r="F62" s="13">
        <f t="shared" si="1"/>
        <v>28.361127643293539</v>
      </c>
      <c r="G62" s="13"/>
      <c r="H62" s="14">
        <f t="shared" si="2"/>
        <v>1.7095255431215668E-2</v>
      </c>
      <c r="I62" s="14">
        <f t="shared" si="3"/>
        <v>4.1303368617483391E-2</v>
      </c>
      <c r="J62" s="14"/>
      <c r="K62" s="11"/>
      <c r="L62" s="11"/>
      <c r="M62" s="11"/>
      <c r="N62" s="11"/>
      <c r="O62" s="11"/>
      <c r="P62" s="16"/>
      <c r="Q62" s="10"/>
      <c r="R62" s="10"/>
      <c r="S62" s="10"/>
      <c r="T62" s="10"/>
    </row>
    <row r="63" spans="1:20">
      <c r="A63" s="11">
        <v>1983</v>
      </c>
      <c r="B63" s="19">
        <v>67.296999999999997</v>
      </c>
      <c r="C63" s="19">
        <f t="shared" si="0"/>
        <v>67.296999999999997</v>
      </c>
      <c r="D63" s="19"/>
      <c r="E63" s="13">
        <v>28.887148119212668</v>
      </c>
      <c r="F63" s="13">
        <f t="shared" si="1"/>
        <v>28.471924547944241</v>
      </c>
      <c r="G63" s="13"/>
      <c r="H63" s="14">
        <f t="shared" si="2"/>
        <v>3.9066466624397903E-3</v>
      </c>
      <c r="I63" s="14">
        <f t="shared" si="3"/>
        <v>3.9665067704833121E-2</v>
      </c>
      <c r="J63" s="14"/>
      <c r="K63" s="15"/>
      <c r="L63" s="15"/>
      <c r="M63" s="15"/>
      <c r="N63" s="15"/>
      <c r="O63" s="15"/>
      <c r="P63" s="16"/>
      <c r="Q63" s="10"/>
      <c r="R63" s="10"/>
      <c r="S63" s="10"/>
      <c r="T63" s="10"/>
    </row>
    <row r="64" spans="1:20">
      <c r="A64" s="11">
        <v>1984</v>
      </c>
      <c r="B64" s="19">
        <v>69.864499999999992</v>
      </c>
      <c r="C64" s="19">
        <f t="shared" si="0"/>
        <v>69.864499999999992</v>
      </c>
      <c r="D64" s="19"/>
      <c r="E64" s="13">
        <v>28.774735395218347</v>
      </c>
      <c r="F64" s="13">
        <f t="shared" si="1"/>
        <v>28.58315429695271</v>
      </c>
      <c r="G64" s="13"/>
      <c r="H64" s="14">
        <f t="shared" si="2"/>
        <v>3.9066466624399785E-3</v>
      </c>
      <c r="I64" s="14">
        <f t="shared" si="3"/>
        <v>3.8151774967680512E-2</v>
      </c>
      <c r="J64" s="14"/>
      <c r="K64" s="15"/>
      <c r="L64" s="15"/>
      <c r="M64" s="15"/>
      <c r="N64" s="15"/>
      <c r="O64" s="15"/>
      <c r="P64" s="16"/>
      <c r="Q64" s="10"/>
      <c r="R64" s="10"/>
      <c r="S64" s="10"/>
      <c r="T64" s="10"/>
    </row>
    <row r="65" spans="1:20">
      <c r="A65" s="11">
        <v>1985</v>
      </c>
      <c r="B65" s="19">
        <v>72.716000000000008</v>
      </c>
      <c r="C65" s="19">
        <f t="shared" si="0"/>
        <v>72.716000000000008</v>
      </c>
      <c r="D65" s="19"/>
      <c r="E65" s="13">
        <v>28.662760119062892</v>
      </c>
      <c r="F65" s="13">
        <f t="shared" si="1"/>
        <v>28.69481858128891</v>
      </c>
      <c r="G65" s="13"/>
      <c r="H65" s="14">
        <f t="shared" si="2"/>
        <v>3.90664666244008E-3</v>
      </c>
      <c r="I65" s="14">
        <f t="shared" si="3"/>
        <v>4.0814719922135222E-2</v>
      </c>
      <c r="J65" s="14"/>
      <c r="K65" s="11"/>
      <c r="L65" s="11"/>
      <c r="M65" s="11"/>
      <c r="N65" s="11"/>
      <c r="O65" s="11"/>
      <c r="P65" s="16"/>
      <c r="Q65" s="10"/>
      <c r="R65" s="10"/>
      <c r="S65" s="10"/>
      <c r="T65" s="10"/>
    </row>
    <row r="66" spans="1:20">
      <c r="A66" s="11">
        <v>1986</v>
      </c>
      <c r="B66" s="19">
        <v>77.153800000000004</v>
      </c>
      <c r="C66" s="19">
        <f t="shared" si="0"/>
        <v>77.153800000000004</v>
      </c>
      <c r="D66" s="19"/>
      <c r="E66" s="13">
        <v>28.551220588442465</v>
      </c>
      <c r="F66" s="13">
        <f t="shared" si="1"/>
        <v>28.806919098528823</v>
      </c>
      <c r="G66" s="13"/>
      <c r="H66" s="14">
        <f t="shared" si="2"/>
        <v>3.9066466624399785E-3</v>
      </c>
      <c r="I66" s="14">
        <f t="shared" si="3"/>
        <v>6.1029209527476695E-2</v>
      </c>
      <c r="J66" s="14"/>
      <c r="K66" s="15"/>
      <c r="L66" s="15"/>
      <c r="M66" s="15"/>
      <c r="N66" s="15"/>
      <c r="O66" s="15"/>
      <c r="P66" s="16"/>
      <c r="Q66" s="10"/>
      <c r="R66" s="10"/>
      <c r="S66" s="10"/>
      <c r="T66" s="10"/>
    </row>
    <row r="67" spans="1:20">
      <c r="A67" s="11">
        <v>1987</v>
      </c>
      <c r="B67" s="19">
        <v>81.923000000000002</v>
      </c>
      <c r="C67" s="19">
        <f t="shared" si="0"/>
        <v>81.923000000000002</v>
      </c>
      <c r="D67" s="19"/>
      <c r="E67" s="13">
        <v>28.440115107677649</v>
      </c>
      <c r="F67" s="13">
        <f t="shared" si="1"/>
        <v>28.919457552880264</v>
      </c>
      <c r="G67" s="13"/>
      <c r="H67" s="14">
        <f t="shared" si="2"/>
        <v>3.906646662439792E-3</v>
      </c>
      <c r="I67" s="14">
        <f t="shared" si="3"/>
        <v>6.1814194505001668E-2</v>
      </c>
      <c r="J67" s="14"/>
      <c r="K67" s="15"/>
      <c r="L67" s="15"/>
      <c r="M67" s="15"/>
      <c r="N67" s="15"/>
      <c r="O67" s="15"/>
      <c r="P67" s="16"/>
      <c r="Q67" s="10"/>
      <c r="R67" s="10"/>
      <c r="S67" s="10"/>
      <c r="T67" s="10"/>
    </row>
    <row r="68" spans="1:20">
      <c r="A68" s="11">
        <v>1988</v>
      </c>
      <c r="B68" s="19">
        <v>85.692300000000003</v>
      </c>
      <c r="C68" s="19">
        <f t="shared" ref="C68:C80" si="4">B68*$B$85/1000</f>
        <v>85.692300000000003</v>
      </c>
      <c r="D68" s="19"/>
      <c r="E68" s="13">
        <v>28.329441987687662</v>
      </c>
      <c r="F68" s="13">
        <f t="shared" ref="F68:F80" si="5">1/((E68)*($A$88/$A$91)*(1/$B$85))</f>
        <v>29.032435655208801</v>
      </c>
      <c r="G68" s="13"/>
      <c r="H68" s="14">
        <f t="shared" si="2"/>
        <v>3.9066466624400635E-3</v>
      </c>
      <c r="I68" s="14">
        <f t="shared" si="3"/>
        <v>4.6010277943922963E-2</v>
      </c>
      <c r="J68" s="14"/>
      <c r="K68" s="11"/>
      <c r="L68" s="11"/>
      <c r="M68" s="11"/>
      <c r="N68" s="11"/>
      <c r="O68" s="11"/>
      <c r="P68" s="16"/>
      <c r="Q68" s="10"/>
      <c r="R68" s="10"/>
      <c r="S68" s="10"/>
      <c r="T68" s="10"/>
    </row>
    <row r="69" spans="1:20">
      <c r="A69" s="11">
        <v>1989</v>
      </c>
      <c r="B69" s="19">
        <v>84.615380000000002</v>
      </c>
      <c r="C69" s="19">
        <f t="shared" si="4"/>
        <v>84.615380000000002</v>
      </c>
      <c r="D69" s="19"/>
      <c r="E69" s="13">
        <v>28.219199545964692</v>
      </c>
      <c r="F69" s="13">
        <f t="shared" si="5"/>
        <v>29.145855123063726</v>
      </c>
      <c r="G69" s="13"/>
      <c r="H69" s="14">
        <f t="shared" ref="H69:H80" si="6">(F69-F68)/F68</f>
        <v>3.9066466624399811E-3</v>
      </c>
      <c r="I69" s="14">
        <f t="shared" ref="I69:I80" si="7">(C69-C68)/C68</f>
        <v>-1.2567290176596977E-2</v>
      </c>
      <c r="J69" s="14"/>
      <c r="K69" s="15"/>
      <c r="L69" s="15"/>
      <c r="M69" s="15"/>
      <c r="N69" s="15"/>
      <c r="O69" s="15"/>
      <c r="P69" s="16"/>
      <c r="Q69" s="10"/>
      <c r="R69" s="10"/>
      <c r="S69" s="10"/>
      <c r="T69" s="10"/>
    </row>
    <row r="70" spans="1:20">
      <c r="A70" s="11">
        <v>1990</v>
      </c>
      <c r="B70" s="19">
        <v>81.923100000000005</v>
      </c>
      <c r="C70" s="19">
        <f t="shared" si="4"/>
        <v>81.923100000000005</v>
      </c>
      <c r="D70" s="19"/>
      <c r="E70" s="13">
        <v>28.109386106548307</v>
      </c>
      <c r="F70" s="13">
        <f t="shared" si="5"/>
        <v>29.259717680704203</v>
      </c>
      <c r="G70" s="13"/>
      <c r="H70" s="14">
        <f t="shared" si="6"/>
        <v>3.9066466624400123E-3</v>
      </c>
      <c r="I70" s="14">
        <f t="shared" si="7"/>
        <v>-3.1817856280973937E-2</v>
      </c>
      <c r="J70" s="14"/>
      <c r="K70" s="16" t="s">
        <v>21</v>
      </c>
      <c r="L70" s="17">
        <f>SUM(H70:H79)/10</f>
        <v>7.2752717398073957E-3</v>
      </c>
      <c r="M70" s="17">
        <f>SUM(I70:I79)/10</f>
        <v>5.7021942056010178E-3</v>
      </c>
      <c r="N70" s="18">
        <f>IF((M70/L70)&gt;0,(M70/L70),"---")</f>
        <v>0.78377748756804189</v>
      </c>
      <c r="O70" s="11"/>
      <c r="P70" s="20"/>
      <c r="Q70" s="10"/>
      <c r="R70" s="10"/>
      <c r="S70" s="10"/>
      <c r="T70" s="10"/>
    </row>
    <row r="71" spans="1:20">
      <c r="A71" s="11">
        <v>1991</v>
      </c>
      <c r="B71" s="19">
        <v>80.605999999999995</v>
      </c>
      <c r="C71" s="19">
        <f t="shared" si="4"/>
        <v>80.605999999999995</v>
      </c>
      <c r="D71" s="19"/>
      <c r="E71" s="13">
        <v>28</v>
      </c>
      <c r="F71" s="13">
        <f t="shared" si="5"/>
        <v>29.374025059125451</v>
      </c>
      <c r="G71" s="13"/>
      <c r="H71" s="14">
        <f t="shared" si="6"/>
        <v>3.9066466624396081E-3</v>
      </c>
      <c r="I71" s="14">
        <f t="shared" si="7"/>
        <v>-1.6077272466496147E-2</v>
      </c>
      <c r="J71" s="14"/>
      <c r="K71" s="15"/>
      <c r="L71" s="15"/>
      <c r="M71" s="15"/>
      <c r="N71" s="15"/>
      <c r="O71" s="15"/>
      <c r="P71" s="20"/>
      <c r="Q71" s="10"/>
      <c r="R71" s="10"/>
      <c r="S71" s="10"/>
      <c r="T71" s="10"/>
    </row>
    <row r="72" spans="1:20">
      <c r="A72" s="11">
        <v>1992</v>
      </c>
      <c r="B72" s="19">
        <v>80.307689999999994</v>
      </c>
      <c r="C72" s="19">
        <f t="shared" si="4"/>
        <v>80.307689999999994</v>
      </c>
      <c r="D72" s="19"/>
      <c r="E72" s="13">
        <v>27.797080059272396</v>
      </c>
      <c r="F72" s="13">
        <f t="shared" si="5"/>
        <v>29.588456769622344</v>
      </c>
      <c r="G72" s="13"/>
      <c r="H72" s="14">
        <f t="shared" si="6"/>
        <v>7.3000451952115594E-3</v>
      </c>
      <c r="I72" s="14">
        <f t="shared" si="7"/>
        <v>-3.7008411284519859E-3</v>
      </c>
      <c r="J72" s="14"/>
      <c r="K72" s="11"/>
      <c r="L72" s="11"/>
      <c r="M72" s="11"/>
      <c r="N72" s="11"/>
      <c r="O72" s="11"/>
      <c r="P72" s="20"/>
      <c r="Q72" s="10"/>
      <c r="R72" s="10"/>
      <c r="S72" s="10"/>
      <c r="T72" s="10"/>
    </row>
    <row r="73" spans="1:20">
      <c r="A73" s="11">
        <v>1993</v>
      </c>
      <c r="B73" s="19">
        <v>79.538460000000001</v>
      </c>
      <c r="C73" s="19">
        <f t="shared" si="4"/>
        <v>79.538460000000001</v>
      </c>
      <c r="D73" s="19"/>
      <c r="E73" s="13">
        <v>27.595630707914253</v>
      </c>
      <c r="F73" s="13">
        <f t="shared" si="5"/>
        <v>29.804453841297146</v>
      </c>
      <c r="G73" s="13"/>
      <c r="H73" s="14">
        <f t="shared" si="6"/>
        <v>7.3000451952114319E-3</v>
      </c>
      <c r="I73" s="14">
        <f t="shared" si="7"/>
        <v>-9.5785347580037879E-3</v>
      </c>
      <c r="J73" s="14"/>
      <c r="K73" s="15"/>
      <c r="L73" s="15"/>
      <c r="M73" s="15"/>
      <c r="N73" s="15"/>
      <c r="O73" s="15"/>
      <c r="P73" s="20"/>
      <c r="Q73" s="10"/>
      <c r="R73" s="10"/>
      <c r="S73" s="10"/>
      <c r="T73" s="10"/>
    </row>
    <row r="74" spans="1:20">
      <c r="A74" s="11">
        <v>1994</v>
      </c>
      <c r="B74" s="19">
        <v>80.846149999999994</v>
      </c>
      <c r="C74" s="19">
        <f t="shared" si="4"/>
        <v>80.846149999999994</v>
      </c>
      <c r="D74" s="19"/>
      <c r="E74" s="13">
        <v>27.395641288357439</v>
      </c>
      <c r="F74" s="13">
        <f t="shared" si="5"/>
        <v>30.022027701357217</v>
      </c>
      <c r="G74" s="13"/>
      <c r="H74" s="14">
        <f t="shared" si="6"/>
        <v>7.3000451952117277E-3</v>
      </c>
      <c r="I74" s="14">
        <f t="shared" si="7"/>
        <v>1.6440977107175493E-2</v>
      </c>
      <c r="J74" s="14"/>
      <c r="K74" s="15"/>
      <c r="L74" s="15"/>
      <c r="M74" s="15"/>
      <c r="N74" s="15"/>
      <c r="O74" s="15"/>
      <c r="P74" s="20"/>
      <c r="Q74" s="10"/>
      <c r="R74" s="10"/>
      <c r="S74" s="10"/>
      <c r="T74" s="10"/>
    </row>
    <row r="75" spans="1:20">
      <c r="A75" s="11">
        <v>1995</v>
      </c>
      <c r="B75" s="19">
        <v>86.692300000000003</v>
      </c>
      <c r="C75" s="19">
        <f t="shared" si="4"/>
        <v>86.692300000000003</v>
      </c>
      <c r="D75" s="19"/>
      <c r="E75" s="13">
        <v>27.197101220270717</v>
      </c>
      <c r="F75" s="13">
        <f t="shared" si="5"/>
        <v>30.241189860429024</v>
      </c>
      <c r="G75" s="13"/>
      <c r="H75" s="14">
        <f t="shared" si="6"/>
        <v>7.3000451952117606E-3</v>
      </c>
      <c r="I75" s="14">
        <f t="shared" si="7"/>
        <v>7.2312039596196101E-2</v>
      </c>
      <c r="J75" s="14"/>
      <c r="K75" s="11"/>
      <c r="L75" s="11"/>
      <c r="M75" s="11"/>
      <c r="N75" s="11"/>
      <c r="O75" s="11"/>
      <c r="P75" s="20"/>
      <c r="Q75" s="10"/>
      <c r="R75" s="10"/>
      <c r="S75" s="10"/>
      <c r="T75" s="10"/>
    </row>
    <row r="76" spans="1:20">
      <c r="A76" s="11">
        <v>1996</v>
      </c>
      <c r="B76" s="19">
        <v>88.461500000000001</v>
      </c>
      <c r="C76" s="19">
        <f t="shared" si="4"/>
        <v>88.461500000000001</v>
      </c>
      <c r="D76" s="19"/>
      <c r="E76" s="13">
        <v>27</v>
      </c>
      <c r="F76" s="13">
        <f t="shared" si="5"/>
        <v>30.46195191316713</v>
      </c>
      <c r="G76" s="13"/>
      <c r="H76" s="14">
        <f t="shared" si="6"/>
        <v>7.3000451952115785E-3</v>
      </c>
      <c r="I76" s="14">
        <f t="shared" si="7"/>
        <v>2.0407810151535925E-2</v>
      </c>
      <c r="J76" s="14"/>
      <c r="K76" s="15"/>
      <c r="L76" s="15"/>
      <c r="M76" s="15"/>
      <c r="N76" s="15"/>
      <c r="O76" s="15"/>
      <c r="P76" s="20"/>
      <c r="Q76" s="10"/>
      <c r="R76" s="10"/>
      <c r="S76" s="10"/>
      <c r="T76" s="10"/>
    </row>
    <row r="77" spans="1:20">
      <c r="A77" s="11">
        <v>1997</v>
      </c>
      <c r="B77" s="19">
        <v>90</v>
      </c>
      <c r="C77" s="19">
        <f t="shared" si="4"/>
        <v>90</v>
      </c>
      <c r="D77" s="19"/>
      <c r="E77" s="13">
        <v>26.746450795807576</v>
      </c>
      <c r="F77" s="13">
        <f t="shared" si="5"/>
        <v>30.750723074795125</v>
      </c>
      <c r="G77" s="13"/>
      <c r="H77" s="14">
        <f t="shared" si="6"/>
        <v>9.4797326990452707E-3</v>
      </c>
      <c r="I77" s="14">
        <f t="shared" si="7"/>
        <v>1.7391746692063767E-2</v>
      </c>
      <c r="J77" s="14"/>
      <c r="K77" s="15"/>
      <c r="L77" s="15"/>
      <c r="M77" s="15"/>
      <c r="N77" s="15"/>
      <c r="O77" s="15"/>
      <c r="P77" s="20"/>
      <c r="Q77" s="10"/>
      <c r="R77" s="10"/>
      <c r="S77" s="10"/>
      <c r="T77" s="10"/>
    </row>
    <row r="78" spans="1:20">
      <c r="A78" s="11">
        <v>1998</v>
      </c>
      <c r="B78" s="19">
        <v>90.923000000000002</v>
      </c>
      <c r="C78" s="19">
        <f t="shared" si="4"/>
        <v>90.923000000000002</v>
      </c>
      <c r="D78" s="19"/>
      <c r="E78" s="13">
        <v>26.495282598983543</v>
      </c>
      <c r="F78" s="13">
        <f t="shared" si="5"/>
        <v>31.042231709846558</v>
      </c>
      <c r="G78" s="13"/>
      <c r="H78" s="14">
        <f t="shared" si="6"/>
        <v>9.4797326990456263E-3</v>
      </c>
      <c r="I78" s="14">
        <f t="shared" si="7"/>
        <v>1.0255555555555575E-2</v>
      </c>
      <c r="J78" s="14"/>
      <c r="K78" s="11"/>
      <c r="L78" s="11"/>
      <c r="M78" s="11"/>
      <c r="N78" s="11"/>
      <c r="O78" s="11"/>
      <c r="P78" s="20"/>
      <c r="Q78" s="10"/>
      <c r="R78" s="10"/>
      <c r="S78" s="10"/>
      <c r="T78" s="10"/>
    </row>
    <row r="79" spans="1:20">
      <c r="A79" s="11">
        <v>1999</v>
      </c>
      <c r="B79" s="19">
        <v>89.230770000000007</v>
      </c>
      <c r="C79" s="19">
        <f t="shared" si="4"/>
        <v>89.230770000000007</v>
      </c>
      <c r="D79" s="19"/>
      <c r="E79" s="13">
        <v>26.246473050175183</v>
      </c>
      <c r="F79" s="13">
        <f t="shared" si="5"/>
        <v>31.336503768837733</v>
      </c>
      <c r="G79" s="13"/>
      <c r="H79" s="14">
        <f t="shared" si="6"/>
        <v>9.47973269904538E-3</v>
      </c>
      <c r="I79" s="14">
        <f t="shared" si="7"/>
        <v>-1.861168241259082E-2</v>
      </c>
      <c r="J79" s="14"/>
      <c r="K79" s="15"/>
      <c r="L79" s="15"/>
      <c r="M79" s="15"/>
      <c r="N79" s="15"/>
      <c r="O79" s="15"/>
      <c r="P79" s="20"/>
      <c r="Q79" s="10"/>
      <c r="R79" s="10"/>
      <c r="S79" s="10"/>
      <c r="T79" s="10"/>
    </row>
    <row r="80" spans="1:20">
      <c r="A80" s="11">
        <v>2000</v>
      </c>
      <c r="B80" s="19">
        <v>86.537999999999997</v>
      </c>
      <c r="C80" s="19">
        <f t="shared" si="4"/>
        <v>86.537999999999997</v>
      </c>
      <c r="D80" s="19"/>
      <c r="E80" s="13">
        <v>26</v>
      </c>
      <c r="F80" s="13">
        <f t="shared" si="5"/>
        <v>31.633565448288945</v>
      </c>
      <c r="G80" s="13"/>
      <c r="H80" s="14">
        <f t="shared" si="6"/>
        <v>9.4797326990454199E-3</v>
      </c>
      <c r="I80" s="14">
        <f t="shared" si="7"/>
        <v>-3.0177594567434639E-2</v>
      </c>
      <c r="J80" s="14"/>
      <c r="K80" s="16"/>
      <c r="L80" s="16"/>
      <c r="M80" s="16"/>
      <c r="N80" s="16"/>
      <c r="O80" s="16"/>
      <c r="P80" s="20"/>
      <c r="Q80" s="10"/>
      <c r="R80" s="10"/>
      <c r="S80" s="10"/>
      <c r="T80" s="10"/>
    </row>
    <row r="81" spans="1:16">
      <c r="A81" s="11"/>
      <c r="B81" s="11"/>
      <c r="C81" s="11"/>
      <c r="D81" s="11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</row>
    <row r="82" spans="1:16">
      <c r="A82" s="11"/>
      <c r="B82" s="11"/>
      <c r="C82" s="11"/>
      <c r="D82" s="11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</row>
    <row r="83" spans="1:16">
      <c r="A83" s="21" t="s">
        <v>22</v>
      </c>
      <c r="B83" s="21"/>
      <c r="C83" s="21"/>
      <c r="D83" s="21"/>
      <c r="E83" s="20"/>
      <c r="F83" s="20"/>
      <c r="G83" s="20"/>
      <c r="H83" s="20"/>
      <c r="I83" s="22"/>
      <c r="J83" s="22"/>
      <c r="K83" s="21" t="s">
        <v>23</v>
      </c>
      <c r="L83" s="23"/>
      <c r="M83" s="23"/>
      <c r="N83" s="24"/>
      <c r="O83" s="20"/>
      <c r="P83" s="20"/>
    </row>
    <row r="84" spans="1:16">
      <c r="A84" s="25" t="s">
        <v>24</v>
      </c>
      <c r="B84" s="25" t="s">
        <v>25</v>
      </c>
      <c r="C84" s="25"/>
      <c r="D84" s="25"/>
      <c r="E84" s="20"/>
      <c r="F84" s="20"/>
      <c r="G84" s="20"/>
      <c r="H84" s="20"/>
      <c r="I84" s="20"/>
      <c r="J84" s="20"/>
      <c r="K84" s="16" t="str">
        <f>K10</f>
        <v>1930-1939</v>
      </c>
      <c r="L84" s="26">
        <f>L10</f>
        <v>7.4292877524039149E-3</v>
      </c>
      <c r="M84" s="26">
        <f>M10</f>
        <v>0.10021935821153613</v>
      </c>
      <c r="N84" s="27">
        <f>N10</f>
        <v>13.489766657524859</v>
      </c>
      <c r="O84" s="20"/>
      <c r="P84" s="20"/>
    </row>
    <row r="85" spans="1:16">
      <c r="A85" s="25">
        <v>1</v>
      </c>
      <c r="B85" s="28">
        <v>1000</v>
      </c>
      <c r="C85" s="25"/>
      <c r="D85" s="25"/>
      <c r="E85" s="20"/>
      <c r="F85" s="20"/>
      <c r="G85" s="20"/>
      <c r="H85" s="20"/>
      <c r="I85" s="20"/>
      <c r="J85" s="20"/>
      <c r="K85" s="16" t="str">
        <f>K20</f>
        <v>1940-1949</v>
      </c>
      <c r="L85" s="26">
        <f>L20</f>
        <v>3.8954578301067478E-3</v>
      </c>
      <c r="M85" s="26">
        <f>M20</f>
        <v>5.2064235616363599E-2</v>
      </c>
      <c r="N85" s="27">
        <f>N20</f>
        <v>13.365370102064967</v>
      </c>
      <c r="O85" s="20"/>
      <c r="P85" s="20"/>
    </row>
    <row r="86" spans="1:16">
      <c r="A86" s="25"/>
      <c r="B86" s="25"/>
      <c r="C86" s="25"/>
      <c r="D86" s="25"/>
      <c r="E86" s="20"/>
      <c r="F86" s="20"/>
      <c r="G86" s="20"/>
      <c r="H86" s="20"/>
      <c r="I86" s="20"/>
      <c r="J86" s="20"/>
      <c r="K86" s="16" t="str">
        <f>K30</f>
        <v>1950-1959</v>
      </c>
      <c r="L86" s="26">
        <f>L30</f>
        <v>5.8183541315614276E-2</v>
      </c>
      <c r="M86" s="26">
        <f>M30</f>
        <v>0.13189585384269184</v>
      </c>
      <c r="N86" s="27">
        <f>N30</f>
        <v>2.2668928508017085</v>
      </c>
      <c r="O86" s="20"/>
      <c r="P86" s="20"/>
    </row>
    <row r="87" spans="1:16" ht="13.8">
      <c r="A87" s="29" t="s">
        <v>26</v>
      </c>
      <c r="B87" s="29"/>
      <c r="C87" s="29"/>
      <c r="D87" s="29"/>
      <c r="E87" s="20"/>
      <c r="F87" s="20"/>
      <c r="G87" s="20"/>
      <c r="H87" s="20"/>
      <c r="I87" s="20"/>
      <c r="J87" s="20"/>
      <c r="K87" s="16" t="str">
        <f>K40</f>
        <v>1960-1969</v>
      </c>
      <c r="L87" s="26">
        <f>L40</f>
        <v>2.2166815447117252E-2</v>
      </c>
      <c r="M87" s="26">
        <f>M40</f>
        <v>0.10223713477269145</v>
      </c>
      <c r="N87" s="27">
        <f>N40</f>
        <v>4.6121706122647925</v>
      </c>
      <c r="O87" s="20"/>
      <c r="P87" s="20"/>
    </row>
    <row r="88" spans="1:16">
      <c r="A88" s="25">
        <v>17.033999999999999</v>
      </c>
      <c r="B88" s="25"/>
      <c r="C88" s="25"/>
      <c r="D88" s="25"/>
      <c r="E88" s="20"/>
      <c r="F88" s="20"/>
      <c r="G88" s="20"/>
      <c r="H88" s="20"/>
      <c r="I88" s="20"/>
      <c r="J88" s="20"/>
      <c r="K88" s="16" t="str">
        <f>K50</f>
        <v>1970-1979</v>
      </c>
      <c r="L88" s="26">
        <f>L50</f>
        <v>2.2741176872567988E-2</v>
      </c>
      <c r="M88" s="26">
        <f>M50</f>
        <v>6.5026316263380318E-2</v>
      </c>
      <c r="N88" s="27">
        <f>N50</f>
        <v>2.8594085797652649</v>
      </c>
      <c r="O88" s="20"/>
      <c r="P88" s="20"/>
    </row>
    <row r="89" spans="1:16">
      <c r="A89" s="25"/>
      <c r="B89" s="25"/>
      <c r="C89" s="25"/>
      <c r="D89" s="25"/>
      <c r="E89" s="20"/>
      <c r="F89" s="20"/>
      <c r="G89" s="20"/>
      <c r="H89" s="20"/>
      <c r="I89" s="20"/>
      <c r="J89" s="20"/>
      <c r="K89" s="16" t="str">
        <f>K60</f>
        <v>1980-1989</v>
      </c>
      <c r="L89" s="26">
        <f>L60</f>
        <v>1.0414063895835535E-2</v>
      </c>
      <c r="M89" s="26">
        <f>M60</f>
        <v>4.193731853514783E-2</v>
      </c>
      <c r="N89" s="27">
        <f>N60</f>
        <v>4.0269887869535816</v>
      </c>
      <c r="O89" s="20"/>
      <c r="P89" s="20"/>
    </row>
    <row r="90" spans="1:16">
      <c r="A90" s="29" t="s">
        <v>27</v>
      </c>
      <c r="B90" s="29"/>
      <c r="C90" s="29"/>
      <c r="D90" s="29"/>
      <c r="E90" s="20"/>
      <c r="F90" s="20"/>
      <c r="G90" s="20"/>
      <c r="H90" s="20"/>
      <c r="I90" s="20"/>
      <c r="J90" s="20"/>
      <c r="K90" s="16" t="str">
        <f>K70</f>
        <v>1990-1999</v>
      </c>
      <c r="L90" s="26">
        <f>L70</f>
        <v>7.2752717398073957E-3</v>
      </c>
      <c r="M90" s="26">
        <f>M70</f>
        <v>5.7021942056010178E-3</v>
      </c>
      <c r="N90" s="27">
        <f>N70</f>
        <v>0.78377748756804189</v>
      </c>
      <c r="O90" s="20"/>
      <c r="P90" s="20"/>
    </row>
    <row r="91" spans="1:16">
      <c r="A91" s="25">
        <v>14.01</v>
      </c>
      <c r="B91" s="25"/>
      <c r="C91" s="25"/>
      <c r="D91" s="25"/>
      <c r="E91" s="20"/>
      <c r="F91" s="20"/>
      <c r="G91" s="20"/>
      <c r="H91" s="20"/>
      <c r="I91" s="20"/>
      <c r="J91" s="20"/>
      <c r="K91" s="16"/>
      <c r="L91" s="16"/>
      <c r="M91" s="16"/>
      <c r="N91" s="16"/>
      <c r="O91" s="20"/>
      <c r="P91" s="20"/>
    </row>
    <row r="92" spans="1:16">
      <c r="A92" s="11"/>
      <c r="B92" s="11"/>
      <c r="C92" s="11"/>
      <c r="D92" s="11"/>
      <c r="E92" s="20"/>
      <c r="F92" s="20"/>
      <c r="G92" s="20"/>
      <c r="H92" s="20"/>
      <c r="I92" s="20"/>
      <c r="J92" s="20"/>
      <c r="K92" s="30" t="s">
        <v>28</v>
      </c>
      <c r="L92" s="31">
        <f>AVERAGE(H5:H80)</f>
        <v>1.7845373895836521E-2</v>
      </c>
      <c r="M92" s="31">
        <f>AVERAGE(I5:I80)</f>
        <v>7.5414668037672355E-2</v>
      </c>
      <c r="N92" s="32">
        <f>IF((M92/L92)&gt;0,(M92/L92),"---")</f>
        <v>4.2260066097728135</v>
      </c>
      <c r="O92" s="20"/>
      <c r="P92" s="20"/>
    </row>
    <row r="93" spans="1:16">
      <c r="A93" s="11"/>
      <c r="B93" s="11"/>
      <c r="C93" s="11"/>
      <c r="D93" s="11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</row>
    <row r="94" spans="1:16">
      <c r="A94" s="11"/>
      <c r="B94" s="11"/>
      <c r="C94" s="11"/>
      <c r="D94" s="11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</row>
    <row r="95" spans="1:16">
      <c r="A95" s="30" t="s">
        <v>29</v>
      </c>
      <c r="B95" s="11"/>
      <c r="C95" s="11"/>
      <c r="D95" s="11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</row>
    <row r="96" spans="1:16">
      <c r="A96" s="11" t="s">
        <v>30</v>
      </c>
      <c r="B96" s="11"/>
      <c r="C96" s="11"/>
      <c r="D96" s="11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</row>
    <row r="97" spans="1:16">
      <c r="A97" s="11"/>
      <c r="B97" s="11" t="s">
        <v>31</v>
      </c>
      <c r="C97" s="11"/>
      <c r="D97" s="11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</row>
    <row r="98" spans="1:16">
      <c r="A98" s="11"/>
      <c r="B98" s="11"/>
      <c r="C98" s="11"/>
      <c r="D98" s="11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</row>
    <row r="99" spans="1:16">
      <c r="A99" s="11"/>
      <c r="B99" s="11"/>
      <c r="C99" s="11"/>
      <c r="D99" s="11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</row>
    <row r="100" spans="1:16">
      <c r="A100" s="11"/>
      <c r="B100" s="11"/>
      <c r="C100" s="11"/>
      <c r="D100" s="11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65"/>
  <sheetViews>
    <sheetView workbookViewId="0">
      <selection activeCell="C5" sqref="C5"/>
    </sheetView>
  </sheetViews>
  <sheetFormatPr defaultColWidth="8.6640625" defaultRowHeight="14.4"/>
  <cols>
    <col min="2" max="2" width="26" customWidth="1"/>
    <col min="3" max="3" width="24.44140625" customWidth="1"/>
    <col min="13" max="16" width="9.109375" style="74"/>
    <col min="17" max="17" width="23.44140625" style="74" bestFit="1" customWidth="1"/>
  </cols>
  <sheetData>
    <row r="1" spans="1:17">
      <c r="A1" t="s">
        <v>100</v>
      </c>
    </row>
    <row r="2" spans="1:17">
      <c r="A2" s="1" t="s">
        <v>99</v>
      </c>
    </row>
    <row r="3" spans="1:17">
      <c r="A3" s="72" t="s">
        <v>107</v>
      </c>
    </row>
    <row r="4" spans="1:17">
      <c r="A4" s="75" t="s">
        <v>4</v>
      </c>
      <c r="B4" s="75" t="s">
        <v>101</v>
      </c>
      <c r="C4" s="75" t="s">
        <v>102</v>
      </c>
      <c r="M4" s="75" t="s">
        <v>105</v>
      </c>
      <c r="N4" s="75" t="s">
        <v>106</v>
      </c>
      <c r="P4" s="75" t="s">
        <v>4</v>
      </c>
      <c r="Q4" s="75" t="s">
        <v>102</v>
      </c>
    </row>
    <row r="5" spans="1:17">
      <c r="A5" s="74">
        <v>1976</v>
      </c>
      <c r="B5" s="74">
        <v>16.89</v>
      </c>
      <c r="C5" s="74">
        <f>B5*4.184</f>
        <v>70.667760000000001</v>
      </c>
      <c r="M5" s="74">
        <f>SLOPE(C5:C32,A5:A32)</f>
        <v>-0.52070734906665173</v>
      </c>
      <c r="N5" s="74">
        <f>INTERCEPT(C5:C32,A5:A32)</f>
        <v>1053.4810560300466</v>
      </c>
      <c r="P5" s="74">
        <v>1960</v>
      </c>
      <c r="Q5" s="74">
        <f>(P5*$M$5)+$N$5</f>
        <v>32.894651859409237</v>
      </c>
    </row>
    <row r="6" spans="1:17">
      <c r="A6" s="74">
        <v>1987</v>
      </c>
      <c r="B6" s="74">
        <v>11.54</v>
      </c>
      <c r="C6" s="74">
        <f t="shared" ref="C6:C32" si="0">B6*4.184</f>
        <v>48.283360000000002</v>
      </c>
      <c r="P6" s="74">
        <v>1961</v>
      </c>
      <c r="Q6" s="74">
        <f t="shared" ref="Q6:Q65" si="1">(P6*$M$5)+$N$5</f>
        <v>32.37394451034254</v>
      </c>
    </row>
    <row r="7" spans="1:17">
      <c r="A7" s="74">
        <v>1977</v>
      </c>
      <c r="B7" s="74">
        <v>7.58</v>
      </c>
      <c r="C7" s="74">
        <f t="shared" si="0"/>
        <v>31.71472</v>
      </c>
      <c r="P7" s="74">
        <v>1962</v>
      </c>
      <c r="Q7" s="74">
        <f t="shared" si="1"/>
        <v>31.853237161275956</v>
      </c>
    </row>
    <row r="8" spans="1:17">
      <c r="A8" s="74">
        <v>1977</v>
      </c>
      <c r="B8" s="74">
        <v>7.14</v>
      </c>
      <c r="C8" s="74">
        <f t="shared" si="0"/>
        <v>29.873760000000001</v>
      </c>
      <c r="P8" s="74">
        <v>1963</v>
      </c>
      <c r="Q8" s="74">
        <f t="shared" si="1"/>
        <v>31.332529812209259</v>
      </c>
    </row>
    <row r="9" spans="1:17">
      <c r="A9" s="74">
        <v>1974</v>
      </c>
      <c r="B9" s="74">
        <v>7.04</v>
      </c>
      <c r="C9" s="74">
        <f t="shared" si="0"/>
        <v>29.455360000000002</v>
      </c>
      <c r="P9" s="74">
        <v>1964</v>
      </c>
      <c r="Q9" s="74">
        <f t="shared" si="1"/>
        <v>30.811822463142562</v>
      </c>
    </row>
    <row r="10" spans="1:17">
      <c r="A10" s="74">
        <v>1982</v>
      </c>
      <c r="B10" s="74">
        <v>5.45</v>
      </c>
      <c r="C10" s="74">
        <f t="shared" si="0"/>
        <v>22.802800000000001</v>
      </c>
      <c r="P10" s="74">
        <v>1965</v>
      </c>
      <c r="Q10" s="74">
        <f t="shared" si="1"/>
        <v>30.291115114075978</v>
      </c>
    </row>
    <row r="11" spans="1:17">
      <c r="A11" s="74">
        <v>1971</v>
      </c>
      <c r="B11" s="74">
        <v>5.32</v>
      </c>
      <c r="C11" s="74">
        <f t="shared" si="0"/>
        <v>22.258880000000001</v>
      </c>
      <c r="P11" s="74">
        <v>1966</v>
      </c>
      <c r="Q11" s="74">
        <f t="shared" si="1"/>
        <v>29.770407765009281</v>
      </c>
    </row>
    <row r="12" spans="1:17">
      <c r="A12" s="74">
        <v>1969</v>
      </c>
      <c r="B12" s="74">
        <v>5.12</v>
      </c>
      <c r="C12" s="74">
        <f t="shared" si="0"/>
        <v>21.422080000000001</v>
      </c>
      <c r="P12" s="74">
        <v>1967</v>
      </c>
      <c r="Q12" s="74">
        <f t="shared" si="1"/>
        <v>29.249700415942698</v>
      </c>
    </row>
    <row r="13" spans="1:17">
      <c r="A13" s="74">
        <v>1982</v>
      </c>
      <c r="B13" s="74">
        <v>4.97</v>
      </c>
      <c r="C13" s="74">
        <f t="shared" si="0"/>
        <v>20.79448</v>
      </c>
      <c r="P13" s="74">
        <v>1968</v>
      </c>
      <c r="Q13" s="74">
        <f t="shared" si="1"/>
        <v>28.728993066876001</v>
      </c>
    </row>
    <row r="14" spans="1:17">
      <c r="A14" s="74">
        <v>1973</v>
      </c>
      <c r="B14" s="74">
        <v>4.3499999999999996</v>
      </c>
      <c r="C14" s="74">
        <f t="shared" si="0"/>
        <v>18.200399999999998</v>
      </c>
      <c r="P14" s="74">
        <v>1969</v>
      </c>
      <c r="Q14" s="74">
        <f t="shared" si="1"/>
        <v>28.208285717809304</v>
      </c>
    </row>
    <row r="15" spans="1:17">
      <c r="A15" s="74">
        <v>1981</v>
      </c>
      <c r="B15" s="74">
        <v>4.28</v>
      </c>
      <c r="C15" s="74">
        <f t="shared" si="0"/>
        <v>17.907520000000002</v>
      </c>
      <c r="P15" s="74">
        <v>1970</v>
      </c>
      <c r="Q15" s="74">
        <f t="shared" si="1"/>
        <v>27.687578368742606</v>
      </c>
    </row>
    <row r="16" spans="1:17">
      <c r="A16" s="74">
        <v>1976</v>
      </c>
      <c r="B16" s="74">
        <v>4.2</v>
      </c>
      <c r="C16" s="74">
        <f t="shared" si="0"/>
        <v>17.572800000000001</v>
      </c>
      <c r="P16" s="74">
        <v>1971</v>
      </c>
      <c r="Q16" s="74">
        <f t="shared" si="1"/>
        <v>27.166871019676137</v>
      </c>
    </row>
    <row r="17" spans="1:17">
      <c r="A17" s="74">
        <v>1967</v>
      </c>
      <c r="B17" s="74">
        <v>3.99</v>
      </c>
      <c r="C17" s="74">
        <f t="shared" si="0"/>
        <v>16.69416</v>
      </c>
      <c r="P17" s="74">
        <v>1972</v>
      </c>
      <c r="Q17" s="74">
        <f t="shared" si="1"/>
        <v>26.64616367060944</v>
      </c>
    </row>
    <row r="18" spans="1:17">
      <c r="A18" s="74">
        <v>1985</v>
      </c>
      <c r="B18" s="74">
        <v>3.91</v>
      </c>
      <c r="C18" s="74">
        <f t="shared" si="0"/>
        <v>16.359440000000003</v>
      </c>
      <c r="P18" s="74">
        <v>1973</v>
      </c>
      <c r="Q18" s="74">
        <f t="shared" si="1"/>
        <v>26.125456321542742</v>
      </c>
    </row>
    <row r="19" spans="1:17">
      <c r="A19" s="74">
        <v>1986</v>
      </c>
      <c r="B19" s="74">
        <v>3.4</v>
      </c>
      <c r="C19" s="74">
        <f t="shared" si="0"/>
        <v>14.2256</v>
      </c>
      <c r="P19" s="74">
        <v>1974</v>
      </c>
      <c r="Q19" s="74">
        <f t="shared" si="1"/>
        <v>25.604748972476045</v>
      </c>
    </row>
    <row r="20" spans="1:17">
      <c r="A20" s="74">
        <v>1975</v>
      </c>
      <c r="B20" s="74">
        <v>3.37</v>
      </c>
      <c r="C20" s="74">
        <f t="shared" si="0"/>
        <v>14.10008</v>
      </c>
      <c r="P20" s="74">
        <v>1975</v>
      </c>
      <c r="Q20" s="74">
        <f t="shared" si="1"/>
        <v>25.084041623409348</v>
      </c>
    </row>
    <row r="21" spans="1:17">
      <c r="A21" s="74">
        <v>1987</v>
      </c>
      <c r="B21" s="74">
        <v>3.28</v>
      </c>
      <c r="C21" s="74">
        <f t="shared" si="0"/>
        <v>13.723520000000001</v>
      </c>
      <c r="P21" s="74">
        <v>1976</v>
      </c>
      <c r="Q21" s="74">
        <f t="shared" si="1"/>
        <v>24.563334274342878</v>
      </c>
    </row>
    <row r="22" spans="1:17">
      <c r="A22" s="74">
        <v>1997</v>
      </c>
      <c r="B22" s="74">
        <v>3.28</v>
      </c>
      <c r="C22" s="74">
        <f t="shared" si="0"/>
        <v>13.723520000000001</v>
      </c>
      <c r="P22" s="74">
        <v>1977</v>
      </c>
      <c r="Q22" s="74">
        <f t="shared" si="1"/>
        <v>24.042626925276181</v>
      </c>
    </row>
    <row r="23" spans="1:17">
      <c r="A23" s="74">
        <v>1995</v>
      </c>
      <c r="B23" s="74">
        <v>3.23</v>
      </c>
      <c r="C23" s="74">
        <f t="shared" si="0"/>
        <v>13.51432</v>
      </c>
      <c r="P23" s="74">
        <v>1978</v>
      </c>
      <c r="Q23" s="74">
        <f t="shared" si="1"/>
        <v>23.521919576209484</v>
      </c>
    </row>
    <row r="24" spans="1:17">
      <c r="A24" s="74">
        <v>1988</v>
      </c>
      <c r="B24" s="74">
        <v>3.17</v>
      </c>
      <c r="C24" s="74">
        <f t="shared" si="0"/>
        <v>13.26328</v>
      </c>
      <c r="P24" s="74">
        <v>1979</v>
      </c>
      <c r="Q24" s="74">
        <f t="shared" si="1"/>
        <v>23.001212227142787</v>
      </c>
    </row>
    <row r="25" spans="1:17">
      <c r="A25" s="74">
        <v>1998</v>
      </c>
      <c r="B25" s="74">
        <v>3.12</v>
      </c>
      <c r="C25" s="74">
        <f t="shared" si="0"/>
        <v>13.054080000000001</v>
      </c>
      <c r="P25" s="74">
        <v>1980</v>
      </c>
      <c r="Q25" s="74">
        <f t="shared" si="1"/>
        <v>22.48050487807609</v>
      </c>
    </row>
    <row r="26" spans="1:17">
      <c r="A26" s="74">
        <v>1993</v>
      </c>
      <c r="B26" s="74">
        <v>3.12</v>
      </c>
      <c r="C26" s="74">
        <f t="shared" si="0"/>
        <v>13.054080000000001</v>
      </c>
      <c r="P26" s="74">
        <v>1981</v>
      </c>
      <c r="Q26" s="74">
        <f t="shared" si="1"/>
        <v>21.95979752900962</v>
      </c>
    </row>
    <row r="27" spans="1:17">
      <c r="A27" s="74">
        <v>1992</v>
      </c>
      <c r="B27" s="74">
        <v>3.04</v>
      </c>
      <c r="C27" s="74">
        <f t="shared" si="0"/>
        <v>12.71936</v>
      </c>
      <c r="P27" s="74">
        <v>1982</v>
      </c>
      <c r="Q27" s="74">
        <f t="shared" si="1"/>
        <v>21.439090179942923</v>
      </c>
    </row>
    <row r="28" spans="1:17">
      <c r="A28" s="74">
        <v>1996</v>
      </c>
      <c r="B28" s="74">
        <v>3</v>
      </c>
      <c r="C28" s="74">
        <f t="shared" si="0"/>
        <v>12.552</v>
      </c>
      <c r="P28" s="74">
        <v>1983</v>
      </c>
      <c r="Q28" s="74">
        <f t="shared" si="1"/>
        <v>20.918382830876226</v>
      </c>
    </row>
    <row r="29" spans="1:17">
      <c r="A29" s="74">
        <v>1999</v>
      </c>
      <c r="B29" s="74">
        <v>2.99</v>
      </c>
      <c r="C29" s="74">
        <f t="shared" si="0"/>
        <v>12.510160000000001</v>
      </c>
      <c r="P29" s="74">
        <v>1984</v>
      </c>
      <c r="Q29" s="74">
        <f t="shared" si="1"/>
        <v>20.397675481809529</v>
      </c>
    </row>
    <row r="30" spans="1:17">
      <c r="A30" s="74">
        <v>1988</v>
      </c>
      <c r="B30" s="74">
        <v>2.91</v>
      </c>
      <c r="C30" s="74">
        <f t="shared" si="0"/>
        <v>12.175440000000002</v>
      </c>
      <c r="P30" s="74">
        <v>1985</v>
      </c>
      <c r="Q30" s="74">
        <f t="shared" si="1"/>
        <v>19.876968132742832</v>
      </c>
    </row>
    <row r="31" spans="1:17">
      <c r="A31" s="74">
        <v>1997</v>
      </c>
      <c r="B31" s="74">
        <v>2.89</v>
      </c>
      <c r="C31" s="74">
        <f t="shared" si="0"/>
        <v>12.091760000000001</v>
      </c>
      <c r="P31" s="74">
        <v>1986</v>
      </c>
      <c r="Q31" s="74">
        <f t="shared" si="1"/>
        <v>19.356260783676362</v>
      </c>
    </row>
    <row r="32" spans="1:17">
      <c r="A32" s="74">
        <v>1994</v>
      </c>
      <c r="B32" s="74">
        <v>2.68</v>
      </c>
      <c r="C32" s="74">
        <f t="shared" si="0"/>
        <v>11.213120000000002</v>
      </c>
      <c r="P32" s="74">
        <v>1987</v>
      </c>
      <c r="Q32" s="74">
        <f t="shared" si="1"/>
        <v>18.835553434609665</v>
      </c>
    </row>
    <row r="33" spans="1:17">
      <c r="A33" s="74"/>
      <c r="B33" s="74"/>
      <c r="C33" s="74"/>
      <c r="P33" s="74">
        <v>1988</v>
      </c>
      <c r="Q33" s="74">
        <f t="shared" si="1"/>
        <v>18.314846085542968</v>
      </c>
    </row>
    <row r="34" spans="1:17">
      <c r="A34" s="74"/>
      <c r="B34" s="74"/>
      <c r="C34" s="74"/>
      <c r="P34" s="74">
        <v>1989</v>
      </c>
      <c r="Q34" s="74">
        <f t="shared" si="1"/>
        <v>17.79413873647627</v>
      </c>
    </row>
    <row r="35" spans="1:17">
      <c r="A35" s="74"/>
      <c r="B35" s="74"/>
      <c r="C35" s="74"/>
      <c r="P35" s="74">
        <v>1990</v>
      </c>
      <c r="Q35" s="74">
        <f t="shared" si="1"/>
        <v>17.273431387409573</v>
      </c>
    </row>
    <row r="36" spans="1:17">
      <c r="A36" s="74"/>
      <c r="B36" s="74"/>
      <c r="C36" s="74"/>
      <c r="P36" s="74">
        <v>1991</v>
      </c>
      <c r="Q36" s="74">
        <f t="shared" si="1"/>
        <v>16.752724038343104</v>
      </c>
    </row>
    <row r="37" spans="1:17">
      <c r="A37" s="74"/>
      <c r="B37" s="74"/>
      <c r="C37" s="74"/>
      <c r="P37" s="74">
        <v>1992</v>
      </c>
      <c r="Q37" s="74">
        <f t="shared" si="1"/>
        <v>16.232016689276406</v>
      </c>
    </row>
    <row r="38" spans="1:17">
      <c r="A38" s="74"/>
      <c r="B38" s="74"/>
      <c r="C38" s="74"/>
      <c r="P38" s="74">
        <v>1993</v>
      </c>
      <c r="Q38" s="74">
        <f t="shared" si="1"/>
        <v>15.711309340209709</v>
      </c>
    </row>
    <row r="39" spans="1:17">
      <c r="P39" s="74">
        <v>1994</v>
      </c>
      <c r="Q39" s="74">
        <f t="shared" si="1"/>
        <v>15.190601991143012</v>
      </c>
    </row>
    <row r="40" spans="1:17">
      <c r="P40" s="74">
        <v>1995</v>
      </c>
      <c r="Q40" s="74">
        <f t="shared" si="1"/>
        <v>14.669894642076315</v>
      </c>
    </row>
    <row r="41" spans="1:17">
      <c r="P41" s="74">
        <v>1996</v>
      </c>
      <c r="Q41" s="74">
        <f t="shared" si="1"/>
        <v>14.149187293009845</v>
      </c>
    </row>
    <row r="42" spans="1:17">
      <c r="P42" s="74">
        <v>1997</v>
      </c>
      <c r="Q42" s="74">
        <f t="shared" si="1"/>
        <v>13.628479943943148</v>
      </c>
    </row>
    <row r="43" spans="1:17">
      <c r="P43" s="74">
        <v>1998</v>
      </c>
      <c r="Q43" s="74">
        <f t="shared" si="1"/>
        <v>13.107772594876451</v>
      </c>
    </row>
    <row r="44" spans="1:17">
      <c r="P44" s="74">
        <v>1999</v>
      </c>
      <c r="Q44" s="74">
        <f t="shared" si="1"/>
        <v>12.587065245809754</v>
      </c>
    </row>
    <row r="45" spans="1:17">
      <c r="P45" s="74">
        <v>2000</v>
      </c>
      <c r="Q45" s="74">
        <f t="shared" si="1"/>
        <v>12.066357896743057</v>
      </c>
    </row>
    <row r="46" spans="1:17">
      <c r="P46" s="74">
        <v>2001</v>
      </c>
      <c r="Q46" s="74">
        <f t="shared" si="1"/>
        <v>11.545650547676587</v>
      </c>
    </row>
    <row r="47" spans="1:17">
      <c r="P47" s="74">
        <v>2002</v>
      </c>
      <c r="Q47" s="74">
        <f t="shared" si="1"/>
        <v>11.02494319860989</v>
      </c>
    </row>
    <row r="48" spans="1:17">
      <c r="P48" s="74">
        <v>2003</v>
      </c>
      <c r="Q48" s="74">
        <f t="shared" si="1"/>
        <v>10.504235849543193</v>
      </c>
    </row>
    <row r="49" spans="16:17">
      <c r="P49" s="74">
        <v>2004</v>
      </c>
      <c r="Q49" s="74">
        <f t="shared" si="1"/>
        <v>9.9835285004764955</v>
      </c>
    </row>
    <row r="50" spans="16:17">
      <c r="P50" s="74">
        <v>2005</v>
      </c>
      <c r="Q50" s="74">
        <f t="shared" si="1"/>
        <v>9.4628211514097984</v>
      </c>
    </row>
    <row r="51" spans="16:17">
      <c r="P51" s="74">
        <v>2006</v>
      </c>
      <c r="Q51" s="74">
        <f t="shared" si="1"/>
        <v>8.9421138023433286</v>
      </c>
    </row>
    <row r="52" spans="16:17">
      <c r="P52" s="74">
        <v>2007</v>
      </c>
      <c r="Q52" s="74">
        <f t="shared" si="1"/>
        <v>8.4214064532766315</v>
      </c>
    </row>
    <row r="53" spans="16:17">
      <c r="P53" s="74">
        <v>2008</v>
      </c>
      <c r="Q53" s="74">
        <f t="shared" si="1"/>
        <v>7.9006991042099344</v>
      </c>
    </row>
    <row r="54" spans="16:17">
      <c r="P54" s="74">
        <v>2009</v>
      </c>
      <c r="Q54" s="74">
        <f t="shared" si="1"/>
        <v>7.3799917551432372</v>
      </c>
    </row>
    <row r="55" spans="16:17">
      <c r="P55" s="74">
        <v>2010</v>
      </c>
      <c r="Q55" s="74">
        <f t="shared" si="1"/>
        <v>6.8592844060765401</v>
      </c>
    </row>
    <row r="56" spans="16:17">
      <c r="P56" s="74">
        <v>2011</v>
      </c>
      <c r="Q56" s="74">
        <f t="shared" si="1"/>
        <v>6.3385770570100703</v>
      </c>
    </row>
    <row r="57" spans="16:17">
      <c r="P57" s="74">
        <v>2012</v>
      </c>
      <c r="Q57" s="74">
        <f t="shared" si="1"/>
        <v>5.8178697079433732</v>
      </c>
    </row>
    <row r="58" spans="16:17">
      <c r="P58" s="74">
        <v>2013</v>
      </c>
      <c r="Q58" s="74">
        <f t="shared" si="1"/>
        <v>5.2971623588766761</v>
      </c>
    </row>
    <row r="59" spans="16:17">
      <c r="P59" s="74">
        <v>2014</v>
      </c>
      <c r="Q59" s="74">
        <f t="shared" si="1"/>
        <v>4.7764550098099789</v>
      </c>
    </row>
    <row r="60" spans="16:17">
      <c r="P60" s="74">
        <v>2015</v>
      </c>
      <c r="Q60" s="74">
        <f t="shared" si="1"/>
        <v>4.2557476607432818</v>
      </c>
    </row>
    <row r="61" spans="16:17">
      <c r="P61" s="74">
        <v>2016</v>
      </c>
      <c r="Q61" s="74">
        <f t="shared" si="1"/>
        <v>3.7350403116768121</v>
      </c>
    </row>
    <row r="62" spans="16:17">
      <c r="P62" s="74">
        <v>2017</v>
      </c>
      <c r="Q62" s="74">
        <f t="shared" si="1"/>
        <v>3.2143329626101149</v>
      </c>
    </row>
    <row r="63" spans="16:17">
      <c r="P63" s="74">
        <v>2018</v>
      </c>
      <c r="Q63" s="74">
        <f t="shared" si="1"/>
        <v>2.6936256135434178</v>
      </c>
    </row>
    <row r="64" spans="16:17">
      <c r="P64" s="74">
        <v>2019</v>
      </c>
      <c r="Q64" s="74">
        <f t="shared" si="1"/>
        <v>2.1729182644767207</v>
      </c>
    </row>
    <row r="65" spans="16:17">
      <c r="P65" s="74">
        <v>2020</v>
      </c>
      <c r="Q65" s="74">
        <f t="shared" si="1"/>
        <v>1.6522109154100235</v>
      </c>
    </row>
  </sheetData>
  <hyperlinks>
    <hyperlink ref="A2" r:id="rId1" xr:uid="{00000000-0004-0000-1700-00000000000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124"/>
  <sheetViews>
    <sheetView topLeftCell="H1" zoomScale="80" zoomScaleNormal="80" workbookViewId="0">
      <selection activeCell="AJ30" sqref="AJ30"/>
    </sheetView>
  </sheetViews>
  <sheetFormatPr defaultColWidth="10.6640625" defaultRowHeight="14.4"/>
  <cols>
    <col min="1" max="1" width="20.109375" customWidth="1"/>
  </cols>
  <sheetData>
    <row r="1" spans="1:25">
      <c r="A1" s="33" t="s">
        <v>111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1:25">
      <c r="A2" s="80" t="s">
        <v>112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3" spans="1:25">
      <c r="A3" s="36" t="s">
        <v>32</v>
      </c>
      <c r="B3" s="37"/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</row>
    <row r="4" spans="1:25">
      <c r="A4" s="40"/>
      <c r="B4" s="41"/>
      <c r="C4" s="42"/>
      <c r="D4" s="42"/>
      <c r="E4" s="42"/>
      <c r="F4" s="43"/>
      <c r="G4" s="43"/>
      <c r="H4" s="43"/>
      <c r="I4" s="43"/>
      <c r="J4" s="43"/>
      <c r="K4" s="43"/>
      <c r="L4" s="43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</row>
    <row r="5" spans="1:25">
      <c r="A5" s="40"/>
      <c r="B5" s="41"/>
      <c r="C5" s="42"/>
      <c r="D5" s="42"/>
      <c r="E5" s="42"/>
      <c r="F5" s="43"/>
      <c r="G5" s="43"/>
      <c r="H5" s="43"/>
      <c r="I5" s="43"/>
      <c r="J5" s="43"/>
      <c r="K5" s="43"/>
      <c r="L5" s="43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</row>
    <row r="6" spans="1:25">
      <c r="A6" s="39" t="s">
        <v>33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44"/>
      <c r="N6" s="39" t="s">
        <v>34</v>
      </c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</row>
    <row r="7" spans="1:25">
      <c r="A7" s="40"/>
      <c r="B7" s="41"/>
      <c r="C7" s="42"/>
      <c r="D7" s="42"/>
      <c r="E7" s="42"/>
      <c r="F7" s="43"/>
      <c r="G7" s="43"/>
      <c r="H7" s="43"/>
      <c r="I7" s="43"/>
      <c r="J7" s="43"/>
      <c r="K7" s="43"/>
      <c r="L7" s="43"/>
      <c r="M7" s="35"/>
      <c r="N7" s="45"/>
      <c r="O7" s="41"/>
      <c r="P7" s="42"/>
      <c r="Q7" s="42"/>
      <c r="R7" s="42"/>
      <c r="S7" s="43"/>
      <c r="T7" s="43"/>
      <c r="U7" s="43"/>
      <c r="V7" s="43"/>
      <c r="W7" s="43"/>
      <c r="X7" s="43"/>
      <c r="Y7" s="43"/>
    </row>
    <row r="8" spans="1:25">
      <c r="A8" s="41" t="s">
        <v>35</v>
      </c>
      <c r="B8" s="41"/>
      <c r="C8" s="46"/>
      <c r="D8" s="46"/>
      <c r="E8" s="46"/>
      <c r="F8" s="46"/>
      <c r="G8" s="46"/>
      <c r="H8" s="46"/>
      <c r="I8" s="46"/>
      <c r="J8" s="46"/>
      <c r="K8" s="46"/>
      <c r="L8" s="46"/>
      <c r="M8" s="44"/>
      <c r="N8" s="41" t="s">
        <v>36</v>
      </c>
      <c r="O8" s="41"/>
      <c r="P8" s="46"/>
      <c r="Q8" s="46"/>
      <c r="R8" s="46"/>
      <c r="S8" s="46"/>
      <c r="T8" s="46"/>
      <c r="U8" s="46"/>
      <c r="V8" s="46"/>
      <c r="W8" s="46"/>
      <c r="X8" s="46"/>
      <c r="Y8" s="46"/>
    </row>
    <row r="9" spans="1:25">
      <c r="A9" s="47"/>
      <c r="B9" s="48">
        <v>1910</v>
      </c>
      <c r="C9" s="48">
        <v>1920</v>
      </c>
      <c r="D9" s="48">
        <v>1930</v>
      </c>
      <c r="E9" s="48">
        <v>1940</v>
      </c>
      <c r="F9" s="48">
        <v>1950</v>
      </c>
      <c r="G9" s="48">
        <v>1960</v>
      </c>
      <c r="H9" s="48">
        <v>1970</v>
      </c>
      <c r="I9" s="48">
        <v>1980</v>
      </c>
      <c r="J9" s="48">
        <v>1990</v>
      </c>
      <c r="K9" s="48">
        <v>2000</v>
      </c>
      <c r="L9" s="48">
        <v>2010</v>
      </c>
      <c r="M9" s="49"/>
      <c r="N9" s="47"/>
      <c r="O9" s="48">
        <v>1910</v>
      </c>
      <c r="P9" s="48">
        <v>1920</v>
      </c>
      <c r="Q9" s="48">
        <v>1930</v>
      </c>
      <c r="R9" s="48">
        <v>1940</v>
      </c>
      <c r="S9" s="48">
        <v>1950</v>
      </c>
      <c r="T9" s="48">
        <v>1960</v>
      </c>
      <c r="U9" s="48">
        <v>1970</v>
      </c>
      <c r="V9" s="48">
        <v>1980</v>
      </c>
      <c r="W9" s="48">
        <v>1990</v>
      </c>
      <c r="X9" s="48">
        <v>2000</v>
      </c>
      <c r="Y9" s="48">
        <v>2010</v>
      </c>
    </row>
    <row r="10" spans="1:25">
      <c r="A10" s="50" t="s">
        <v>37</v>
      </c>
      <c r="B10" s="51"/>
      <c r="C10" s="51"/>
      <c r="D10" s="51"/>
      <c r="E10" s="51"/>
      <c r="F10" s="51">
        <v>105.78103113430163</v>
      </c>
      <c r="G10" s="51">
        <v>89.051246968085877</v>
      </c>
      <c r="H10" s="51">
        <v>76.329640258359333</v>
      </c>
      <c r="I10" s="51">
        <v>70.055971196028423</v>
      </c>
      <c r="J10" s="51">
        <v>64.47937647395652</v>
      </c>
      <c r="K10" s="51">
        <v>60.994004772661562</v>
      </c>
      <c r="L10" s="51">
        <v>57.697031541706878</v>
      </c>
      <c r="M10" s="35"/>
      <c r="N10" s="50" t="s">
        <v>37</v>
      </c>
      <c r="O10" s="51"/>
      <c r="P10" s="51"/>
      <c r="Q10" s="51"/>
      <c r="R10" s="51"/>
      <c r="S10" s="51">
        <v>105.78103113430163</v>
      </c>
      <c r="T10" s="51">
        <v>89.051246968085877</v>
      </c>
      <c r="U10" s="51">
        <v>76.329640258359333</v>
      </c>
      <c r="V10" s="51">
        <v>70.055971196028423</v>
      </c>
      <c r="W10" s="51">
        <v>64.47937647395652</v>
      </c>
      <c r="X10" s="51">
        <v>60.994004772661562</v>
      </c>
      <c r="Y10" s="51">
        <v>57.697031541706878</v>
      </c>
    </row>
    <row r="11" spans="1:25">
      <c r="A11" s="50" t="s">
        <v>38</v>
      </c>
      <c r="B11" s="51">
        <v>243.16916488222697</v>
      </c>
      <c r="C11" s="51">
        <v>117.93704496788008</v>
      </c>
      <c r="D11" s="51">
        <v>100.30728051391863</v>
      </c>
      <c r="E11" s="51">
        <v>85.595546038543901</v>
      </c>
      <c r="F11" s="51">
        <v>73.801841541755891</v>
      </c>
      <c r="G11" s="51">
        <v>62.129721627408991</v>
      </c>
      <c r="H11" s="51">
        <v>53.254047109207704</v>
      </c>
      <c r="I11" s="51">
        <v>48.877002141327623</v>
      </c>
      <c r="J11" s="51">
        <v>44.986295503211991</v>
      </c>
      <c r="K11" s="51">
        <v>42.554603854389718</v>
      </c>
      <c r="L11" s="51">
        <v>40.254354997395673</v>
      </c>
      <c r="M11" s="35"/>
      <c r="N11" s="50" t="s">
        <v>38</v>
      </c>
      <c r="O11" s="51">
        <v>243.16916488222697</v>
      </c>
      <c r="P11" s="51">
        <v>117.93704496788008</v>
      </c>
      <c r="Q11" s="51">
        <v>100.30728051391863</v>
      </c>
      <c r="R11" s="51">
        <v>85.595546038543901</v>
      </c>
      <c r="S11" s="51">
        <v>73.801841541755891</v>
      </c>
      <c r="T11" s="51">
        <v>62.129721627408991</v>
      </c>
      <c r="U11" s="51">
        <v>53.254047109207704</v>
      </c>
      <c r="V11" s="51">
        <v>48.877002141327623</v>
      </c>
      <c r="W11" s="51">
        <v>44.986295503211991</v>
      </c>
      <c r="X11" s="51">
        <v>42.554603854389718</v>
      </c>
      <c r="Y11" s="51">
        <v>40.254354997395673</v>
      </c>
    </row>
    <row r="12" spans="1:25">
      <c r="A12" s="50" t="s">
        <v>39</v>
      </c>
      <c r="B12" s="52">
        <v>243.16916488222697</v>
      </c>
      <c r="C12" s="52">
        <v>117.93704496788008</v>
      </c>
      <c r="D12" s="52">
        <v>100.30728051391863</v>
      </c>
      <c r="E12" s="52">
        <v>85.595546038543901</v>
      </c>
      <c r="F12" s="52">
        <v>73.869000909658936</v>
      </c>
      <c r="G12" s="52">
        <v>62.929844481328693</v>
      </c>
      <c r="H12" s="52">
        <v>56.77899871731789</v>
      </c>
      <c r="I12" s="52">
        <v>53.205501985410493</v>
      </c>
      <c r="J12" s="52">
        <v>49.273320140775255</v>
      </c>
      <c r="K12" s="52">
        <v>48.787446696497078</v>
      </c>
      <c r="L12" s="52">
        <v>46.526530945670785</v>
      </c>
      <c r="M12" s="35"/>
      <c r="N12" s="50" t="s">
        <v>39</v>
      </c>
      <c r="O12" s="51">
        <v>243.16916488222697</v>
      </c>
      <c r="P12" s="51">
        <v>117.93704496788008</v>
      </c>
      <c r="Q12" s="51">
        <v>100.30728051391863</v>
      </c>
      <c r="R12" s="51">
        <v>85.595546038543901</v>
      </c>
      <c r="S12" s="51">
        <v>73.869000909658936</v>
      </c>
      <c r="T12" s="51">
        <v>62.929844481328693</v>
      </c>
      <c r="U12" s="51">
        <v>56.77899871731789</v>
      </c>
      <c r="V12" s="51">
        <v>53.205501985410493</v>
      </c>
      <c r="W12" s="51">
        <v>49.273320140775255</v>
      </c>
      <c r="X12" s="51">
        <v>48.787446696497078</v>
      </c>
      <c r="Y12" s="51">
        <v>46.526530945670785</v>
      </c>
    </row>
    <row r="13" spans="1:25">
      <c r="A13" s="45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35"/>
      <c r="N13" s="45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>
      <c r="A14" s="41" t="s">
        <v>40</v>
      </c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44"/>
      <c r="N14" s="41" t="s">
        <v>41</v>
      </c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</row>
    <row r="15" spans="1:25">
      <c r="A15" s="47"/>
      <c r="B15" s="47">
        <v>1910</v>
      </c>
      <c r="C15" s="47">
        <v>1920</v>
      </c>
      <c r="D15" s="47">
        <v>1930</v>
      </c>
      <c r="E15" s="47">
        <v>1940</v>
      </c>
      <c r="F15" s="47">
        <v>1950</v>
      </c>
      <c r="G15" s="47">
        <v>1960</v>
      </c>
      <c r="H15" s="47">
        <v>1970</v>
      </c>
      <c r="I15" s="47">
        <v>1980</v>
      </c>
      <c r="J15" s="47">
        <v>1990</v>
      </c>
      <c r="K15" s="47">
        <v>2000</v>
      </c>
      <c r="L15" s="47">
        <v>2010</v>
      </c>
      <c r="M15" s="49"/>
      <c r="N15" s="47"/>
      <c r="O15" s="47">
        <v>1910</v>
      </c>
      <c r="P15" s="47">
        <v>1920</v>
      </c>
      <c r="Q15" s="47">
        <v>1930</v>
      </c>
      <c r="R15" s="47">
        <v>1940</v>
      </c>
      <c r="S15" s="47">
        <v>1950</v>
      </c>
      <c r="T15" s="47">
        <v>1960</v>
      </c>
      <c r="U15" s="47">
        <v>1970</v>
      </c>
      <c r="V15" s="47">
        <v>1980</v>
      </c>
      <c r="W15" s="47">
        <v>1990</v>
      </c>
      <c r="X15" s="47">
        <v>2000</v>
      </c>
      <c r="Y15" s="47">
        <v>2010</v>
      </c>
    </row>
    <row r="16" spans="1:25">
      <c r="A16" s="50" t="s">
        <v>37</v>
      </c>
      <c r="B16" s="55"/>
      <c r="C16" s="55"/>
      <c r="D16" s="55"/>
      <c r="E16" s="55"/>
      <c r="F16" s="52">
        <v>9.451425622399757</v>
      </c>
      <c r="G16" s="52">
        <v>5.7606797174712083</v>
      </c>
      <c r="H16" s="52">
        <v>4.7771306550503594</v>
      </c>
      <c r="I16" s="52">
        <v>4.0991276861258852</v>
      </c>
      <c r="J16" s="52">
        <v>3.9158031312249504</v>
      </c>
      <c r="K16" s="52">
        <v>3.926424577153834</v>
      </c>
      <c r="L16" s="52">
        <v>4.2130970652171866</v>
      </c>
      <c r="M16" s="35"/>
      <c r="N16" s="50" t="s">
        <v>37</v>
      </c>
      <c r="O16" s="55"/>
      <c r="P16" s="55"/>
      <c r="Q16" s="55"/>
      <c r="R16" s="55"/>
      <c r="S16" s="52">
        <v>8.4143739222367611</v>
      </c>
      <c r="T16" s="52">
        <v>4.9648850233710089</v>
      </c>
      <c r="U16" s="52">
        <v>4.1370351213177274</v>
      </c>
      <c r="V16" s="52">
        <v>3.7083496459972047</v>
      </c>
      <c r="W16" s="52">
        <v>3.597548424867921</v>
      </c>
      <c r="X16" s="52">
        <v>3.644962763477924</v>
      </c>
      <c r="Y16" s="52">
        <v>3.9577461434286771</v>
      </c>
    </row>
    <row r="17" spans="1:25">
      <c r="A17" s="50" t="s">
        <v>38</v>
      </c>
      <c r="B17" s="52">
        <v>24.209340549134939</v>
      </c>
      <c r="C17" s="52">
        <v>11.741530166330467</v>
      </c>
      <c r="D17" s="52">
        <v>4.6364643959349534</v>
      </c>
      <c r="E17" s="52">
        <v>3.7719433556312536</v>
      </c>
      <c r="F17" s="52">
        <v>3.1407652512321276</v>
      </c>
      <c r="G17" s="52">
        <v>2.6004863492386461</v>
      </c>
      <c r="H17" s="52">
        <v>2.4934178029720924</v>
      </c>
      <c r="I17" s="52">
        <v>2.65890941565993</v>
      </c>
      <c r="J17" s="52">
        <v>2.9620956323332619</v>
      </c>
      <c r="K17" s="52">
        <v>3.3225104081443702</v>
      </c>
      <c r="L17" s="52">
        <v>3.8324816251635481</v>
      </c>
      <c r="M17" s="35"/>
      <c r="N17" s="50" t="s">
        <v>38</v>
      </c>
      <c r="O17" s="52">
        <v>22.132610546562265</v>
      </c>
      <c r="P17" s="52">
        <v>10.91026788936586</v>
      </c>
      <c r="Q17" s="52">
        <v>4.6364643959349534</v>
      </c>
      <c r="R17" s="52">
        <v>3.7719433556312536</v>
      </c>
      <c r="S17" s="52">
        <v>3.1407652512321276</v>
      </c>
      <c r="T17" s="52">
        <v>2.6004863492386461</v>
      </c>
      <c r="U17" s="52">
        <v>2.4934178029720919</v>
      </c>
      <c r="V17" s="52">
        <v>2.65890941565993</v>
      </c>
      <c r="W17" s="52">
        <v>2.9620956323332623</v>
      </c>
      <c r="X17" s="52">
        <v>3.3225104081443702</v>
      </c>
      <c r="Y17" s="52">
        <v>3.8324816251635481</v>
      </c>
    </row>
    <row r="18" spans="1:25">
      <c r="A18" s="50" t="s">
        <v>39</v>
      </c>
      <c r="B18" s="52">
        <v>24.209340549134939</v>
      </c>
      <c r="C18" s="52">
        <v>11.741530166330467</v>
      </c>
      <c r="D18" s="52">
        <v>4.6364643959349534</v>
      </c>
      <c r="E18" s="52">
        <v>3.7719433556312536</v>
      </c>
      <c r="F18" s="52">
        <v>3.1540182437869246</v>
      </c>
      <c r="G18" s="52">
        <v>2.6944090711026929</v>
      </c>
      <c r="H18" s="52">
        <v>2.8422702566604228</v>
      </c>
      <c r="I18" s="52">
        <v>2.9532572917560769</v>
      </c>
      <c r="J18" s="52">
        <v>3.1718401848190139</v>
      </c>
      <c r="K18" s="52">
        <v>3.5266440523034914</v>
      </c>
      <c r="L18" s="52">
        <v>3.9693463432922043</v>
      </c>
      <c r="M18" s="35"/>
      <c r="N18" s="50" t="s">
        <v>39</v>
      </c>
      <c r="O18" s="52">
        <v>22.132610546562265</v>
      </c>
      <c r="P18" s="52">
        <v>10.91026788936586</v>
      </c>
      <c r="Q18" s="52">
        <v>4.6364643959349534</v>
      </c>
      <c r="R18" s="52">
        <v>3.7719433556312536</v>
      </c>
      <c r="S18" s="52">
        <v>3.1518403356675138</v>
      </c>
      <c r="T18" s="52">
        <v>2.6707576058264864</v>
      </c>
      <c r="U18" s="52">
        <v>2.7444913711344427</v>
      </c>
      <c r="V18" s="52">
        <v>2.8733911433425603</v>
      </c>
      <c r="W18" s="52">
        <v>3.1018478747670248</v>
      </c>
      <c r="X18" s="52">
        <v>3.4315049933681161</v>
      </c>
      <c r="Y18" s="52">
        <v>3.8775252339605624</v>
      </c>
    </row>
    <row r="19" spans="1:25">
      <c r="A19" s="45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35"/>
      <c r="N19" s="45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>
      <c r="A20" s="41" t="s">
        <v>42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44"/>
      <c r="N20" s="41" t="s">
        <v>43</v>
      </c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</row>
    <row r="21" spans="1:25">
      <c r="A21" s="47"/>
      <c r="B21" s="47">
        <v>1910</v>
      </c>
      <c r="C21" s="47">
        <v>1920</v>
      </c>
      <c r="D21" s="47">
        <v>1930</v>
      </c>
      <c r="E21" s="47">
        <v>1940</v>
      </c>
      <c r="F21" s="47">
        <v>1950</v>
      </c>
      <c r="G21" s="47">
        <v>1960</v>
      </c>
      <c r="H21" s="47">
        <v>1970</v>
      </c>
      <c r="I21" s="47">
        <v>1980</v>
      </c>
      <c r="J21" s="47">
        <v>1990</v>
      </c>
      <c r="K21" s="47">
        <v>2000</v>
      </c>
      <c r="L21" s="47">
        <v>2010</v>
      </c>
      <c r="M21" s="56"/>
      <c r="N21" s="47"/>
      <c r="O21" s="47">
        <v>1910</v>
      </c>
      <c r="P21" s="47">
        <v>1920</v>
      </c>
      <c r="Q21" s="47">
        <v>1930</v>
      </c>
      <c r="R21" s="47">
        <v>1940</v>
      </c>
      <c r="S21" s="47">
        <v>1950</v>
      </c>
      <c r="T21" s="47">
        <v>1960</v>
      </c>
      <c r="U21" s="47">
        <v>1970</v>
      </c>
      <c r="V21" s="47">
        <v>1980</v>
      </c>
      <c r="W21" s="47">
        <v>1990</v>
      </c>
      <c r="X21" s="47">
        <v>2000</v>
      </c>
      <c r="Y21" s="47">
        <v>2010</v>
      </c>
    </row>
    <row r="22" spans="1:25">
      <c r="A22" s="50" t="s">
        <v>37</v>
      </c>
      <c r="B22" s="55"/>
      <c r="C22" s="55"/>
      <c r="D22" s="55"/>
      <c r="E22" s="55"/>
      <c r="F22" s="52">
        <v>1.3280000000000001</v>
      </c>
      <c r="G22" s="52">
        <v>1.3280000000000001</v>
      </c>
      <c r="H22" s="52">
        <v>1.3280000000000001</v>
      </c>
      <c r="I22" s="52">
        <v>1.3280000000000001</v>
      </c>
      <c r="J22" s="52">
        <v>1.3280000000000001</v>
      </c>
      <c r="K22" s="52">
        <v>1.3280000000000001</v>
      </c>
      <c r="L22" s="52">
        <v>1.3280000000000001</v>
      </c>
      <c r="M22" s="35"/>
      <c r="N22" s="50" t="s">
        <v>37</v>
      </c>
      <c r="O22" s="55"/>
      <c r="P22" s="55"/>
      <c r="Q22" s="55"/>
      <c r="R22" s="55"/>
      <c r="S22" s="52">
        <v>0.93032305436870244</v>
      </c>
      <c r="T22" s="52">
        <v>1.0217139925384831</v>
      </c>
      <c r="U22" s="52">
        <v>1.1023476954236076</v>
      </c>
      <c r="V22" s="52">
        <v>1.1266732560671797</v>
      </c>
      <c r="W22" s="52">
        <v>1.137742459774099</v>
      </c>
      <c r="X22" s="52">
        <v>1.1423488898164389</v>
      </c>
      <c r="Y22" s="52">
        <v>1.1428127710842664</v>
      </c>
    </row>
    <row r="23" spans="1:25">
      <c r="A23" s="50" t="s">
        <v>38</v>
      </c>
      <c r="B23" s="52">
        <v>1.3280000000000001</v>
      </c>
      <c r="C23" s="52">
        <v>1.3280000000000001</v>
      </c>
      <c r="D23" s="52">
        <v>1.3280000000000001</v>
      </c>
      <c r="E23" s="52">
        <v>1.3280000000000001</v>
      </c>
      <c r="F23" s="52">
        <v>1.3280000000000001</v>
      </c>
      <c r="G23" s="52">
        <v>1.3280000000000001</v>
      </c>
      <c r="H23" s="52">
        <v>1.3280000000000001</v>
      </c>
      <c r="I23" s="52">
        <v>1.3280000000000001</v>
      </c>
      <c r="J23" s="52">
        <v>1.3280000000000001</v>
      </c>
      <c r="K23" s="52">
        <v>1.3280000000000001</v>
      </c>
      <c r="L23" s="52">
        <v>1.3280000000000001</v>
      </c>
      <c r="M23" s="35"/>
      <c r="N23" s="50" t="s">
        <v>38</v>
      </c>
      <c r="O23" s="52">
        <v>0.73845323912051641</v>
      </c>
      <c r="P23" s="52">
        <v>0.81558007467107996</v>
      </c>
      <c r="Q23" s="52">
        <v>0.8262324106493748</v>
      </c>
      <c r="R23" s="52">
        <v>0.84376556020228499</v>
      </c>
      <c r="S23" s="52">
        <v>0.93032305436870244</v>
      </c>
      <c r="T23" s="52">
        <v>1.0217139925384831</v>
      </c>
      <c r="U23" s="52">
        <v>1.1023476954236076</v>
      </c>
      <c r="V23" s="52">
        <v>1.1266732560671797</v>
      </c>
      <c r="W23" s="52">
        <v>1.137742459774099</v>
      </c>
      <c r="X23" s="52">
        <v>1.1423488898164389</v>
      </c>
      <c r="Y23" s="52">
        <v>1.1428127710842664</v>
      </c>
    </row>
    <row r="24" spans="1:25">
      <c r="A24" s="50" t="s">
        <v>39</v>
      </c>
      <c r="B24" s="52">
        <v>1.3280000000000001</v>
      </c>
      <c r="C24" s="52">
        <v>1.3280000000000001</v>
      </c>
      <c r="D24" s="52">
        <v>1.3280000000000001</v>
      </c>
      <c r="E24" s="52">
        <v>1.3280000000000001</v>
      </c>
      <c r="F24" s="52">
        <v>1.3280000000000001</v>
      </c>
      <c r="G24" s="52">
        <v>1.3280000000000001</v>
      </c>
      <c r="H24" s="52">
        <v>1.3280000000000001</v>
      </c>
      <c r="I24" s="52">
        <v>1.3280000000000001</v>
      </c>
      <c r="J24" s="52">
        <v>1.3280000000000001</v>
      </c>
      <c r="K24" s="52">
        <v>1.3280000000000001</v>
      </c>
      <c r="L24" s="52">
        <v>1.3280000000000001</v>
      </c>
      <c r="M24" s="35"/>
      <c r="N24" s="50" t="s">
        <v>39</v>
      </c>
      <c r="O24" s="52">
        <v>0.73845323912051641</v>
      </c>
      <c r="P24" s="52">
        <v>0.81558007467107996</v>
      </c>
      <c r="Q24" s="52">
        <v>0.8262324106493748</v>
      </c>
      <c r="R24" s="52">
        <v>0.84376556020228499</v>
      </c>
      <c r="S24" s="52">
        <v>0.93032305436870244</v>
      </c>
      <c r="T24" s="52">
        <v>1.0217139925384831</v>
      </c>
      <c r="U24" s="52">
        <v>1.1023476954236076</v>
      </c>
      <c r="V24" s="52">
        <v>1.1266732560671797</v>
      </c>
      <c r="W24" s="52">
        <v>1.137742459774099</v>
      </c>
      <c r="X24" s="52">
        <v>1.1423488898164389</v>
      </c>
      <c r="Y24" s="52">
        <v>1.1428127710842664</v>
      </c>
    </row>
    <row r="25" spans="1:25">
      <c r="A25" s="45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35"/>
      <c r="N25" s="45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>
      <c r="A26" s="41" t="s">
        <v>44</v>
      </c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44"/>
      <c r="N26" s="41" t="s">
        <v>45</v>
      </c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</row>
    <row r="27" spans="1:25">
      <c r="A27" s="47"/>
      <c r="B27" s="47">
        <v>1910</v>
      </c>
      <c r="C27" s="47">
        <v>1920</v>
      </c>
      <c r="D27" s="47">
        <v>1930</v>
      </c>
      <c r="E27" s="47">
        <v>1940</v>
      </c>
      <c r="F27" s="47">
        <v>1950</v>
      </c>
      <c r="G27" s="47">
        <v>1960</v>
      </c>
      <c r="H27" s="47">
        <v>1970</v>
      </c>
      <c r="I27" s="47">
        <v>1980</v>
      </c>
      <c r="J27" s="47">
        <v>1990</v>
      </c>
      <c r="K27" s="47">
        <v>2000</v>
      </c>
      <c r="L27" s="47">
        <v>2010</v>
      </c>
      <c r="M27" s="49"/>
      <c r="N27" s="47"/>
      <c r="O27" s="47">
        <v>1910</v>
      </c>
      <c r="P27" s="47">
        <v>1920</v>
      </c>
      <c r="Q27" s="47">
        <v>1930</v>
      </c>
      <c r="R27" s="47">
        <v>1940</v>
      </c>
      <c r="S27" s="47">
        <v>1950</v>
      </c>
      <c r="T27" s="47">
        <v>1960</v>
      </c>
      <c r="U27" s="47">
        <v>1970</v>
      </c>
      <c r="V27" s="47">
        <v>1980</v>
      </c>
      <c r="W27" s="47">
        <v>1990</v>
      </c>
      <c r="X27" s="47">
        <v>2000</v>
      </c>
      <c r="Y27" s="47">
        <v>2010</v>
      </c>
    </row>
    <row r="28" spans="1:25">
      <c r="A28" s="50" t="s">
        <v>37</v>
      </c>
      <c r="B28" s="52"/>
      <c r="C28" s="52"/>
      <c r="D28" s="52"/>
      <c r="E28" s="52"/>
      <c r="F28" s="52">
        <v>116.56045675670138</v>
      </c>
      <c r="G28" s="52">
        <v>96.139926685557086</v>
      </c>
      <c r="H28" s="52">
        <v>82.434770913409693</v>
      </c>
      <c r="I28" s="52">
        <v>75.483098882154309</v>
      </c>
      <c r="J28" s="52">
        <v>69.723179605181471</v>
      </c>
      <c r="K28" s="52">
        <v>66.248429349815396</v>
      </c>
      <c r="L28" s="52">
        <v>63.238128606924064</v>
      </c>
      <c r="M28" s="35"/>
      <c r="N28" s="50" t="s">
        <v>37</v>
      </c>
      <c r="O28" s="52"/>
      <c r="P28" s="52"/>
      <c r="Q28" s="52"/>
      <c r="R28" s="52"/>
      <c r="S28" s="52">
        <v>115.12572811090709</v>
      </c>
      <c r="T28" s="52">
        <v>95.037845983995368</v>
      </c>
      <c r="U28" s="52">
        <v>81.56902307510066</v>
      </c>
      <c r="V28" s="52">
        <v>74.890994098092804</v>
      </c>
      <c r="W28" s="52">
        <v>69.214667358598547</v>
      </c>
      <c r="X28" s="52">
        <v>65.781316425955922</v>
      </c>
      <c r="Y28" s="52">
        <v>62.797590456219822</v>
      </c>
    </row>
    <row r="29" spans="1:25">
      <c r="A29" s="50" t="s">
        <v>38</v>
      </c>
      <c r="B29" s="52">
        <v>268.7065054313619</v>
      </c>
      <c r="C29" s="52">
        <v>131.00657513421055</v>
      </c>
      <c r="D29" s="52">
        <v>106.27174490985358</v>
      </c>
      <c r="E29" s="52">
        <v>90.695489394175155</v>
      </c>
      <c r="F29" s="52">
        <v>78.270606792988019</v>
      </c>
      <c r="G29" s="52">
        <v>66.058207976647637</v>
      </c>
      <c r="H29" s="52">
        <v>57.075464912179797</v>
      </c>
      <c r="I29" s="52">
        <v>52.863911556987553</v>
      </c>
      <c r="J29" s="52">
        <v>49.276391135545254</v>
      </c>
      <c r="K29" s="52">
        <v>47.205114262534089</v>
      </c>
      <c r="L29" s="52">
        <v>45.414836622559221</v>
      </c>
      <c r="M29" s="35"/>
      <c r="N29" s="50" t="s">
        <v>38</v>
      </c>
      <c r="O29" s="52">
        <v>266.04022866790979</v>
      </c>
      <c r="P29" s="52">
        <v>129.66289293191704</v>
      </c>
      <c r="Q29" s="52">
        <v>105.76997732050295</v>
      </c>
      <c r="R29" s="52">
        <v>90.211254954377438</v>
      </c>
      <c r="S29" s="52">
        <v>77.872929847356716</v>
      </c>
      <c r="T29" s="52">
        <v>65.751921969186114</v>
      </c>
      <c r="U29" s="52">
        <v>56.849812607603404</v>
      </c>
      <c r="V29" s="52">
        <v>52.662584813054728</v>
      </c>
      <c r="W29" s="52">
        <v>49.086133595319353</v>
      </c>
      <c r="X29" s="52">
        <v>47.019463152350525</v>
      </c>
      <c r="Y29" s="52">
        <v>45.229649393643484</v>
      </c>
    </row>
    <row r="30" spans="1:25">
      <c r="A30" s="50" t="s">
        <v>39</v>
      </c>
      <c r="B30" s="52">
        <v>268.7065054313619</v>
      </c>
      <c r="C30" s="52">
        <v>131.00657513421055</v>
      </c>
      <c r="D30" s="52">
        <v>106.27174490985358</v>
      </c>
      <c r="E30" s="52">
        <v>90.695489394175155</v>
      </c>
      <c r="F30" s="52">
        <v>78.351019153445861</v>
      </c>
      <c r="G30" s="52">
        <v>66.952253552431387</v>
      </c>
      <c r="H30" s="52">
        <v>60.949268973978313</v>
      </c>
      <c r="I30" s="52">
        <v>57.48675927716657</v>
      </c>
      <c r="J30" s="52">
        <v>53.773160325594269</v>
      </c>
      <c r="K30" s="52">
        <v>53.64209074880057</v>
      </c>
      <c r="L30" s="52">
        <v>51.82387728896299</v>
      </c>
      <c r="M30" s="35"/>
      <c r="N30" s="50" t="s">
        <v>39</v>
      </c>
      <c r="O30" s="52">
        <v>266.04022866790979</v>
      </c>
      <c r="P30" s="52">
        <v>129.66289293191704</v>
      </c>
      <c r="Q30" s="52">
        <v>105.76997732050295</v>
      </c>
      <c r="R30" s="52">
        <v>90.211254954377438</v>
      </c>
      <c r="S30" s="52">
        <v>77.951164299695151</v>
      </c>
      <c r="T30" s="52">
        <v>66.622316079693661</v>
      </c>
      <c r="U30" s="52">
        <v>60.625837783875944</v>
      </c>
      <c r="V30" s="52">
        <v>57.20556638482023</v>
      </c>
      <c r="W30" s="52">
        <v>53.512910475316374</v>
      </c>
      <c r="X30" s="52">
        <v>53.361300579681632</v>
      </c>
      <c r="Y30" s="52">
        <v>51.546868950715613</v>
      </c>
    </row>
    <row r="31" spans="1:25">
      <c r="A31" s="33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</row>
    <row r="32" spans="1:25">
      <c r="A32" s="33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</row>
    <row r="33" spans="1:25">
      <c r="A33" s="33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</row>
    <row r="34" spans="1:25">
      <c r="A34" s="57" t="s">
        <v>46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</row>
    <row r="35" spans="1:25">
      <c r="A35" s="33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</row>
    <row r="36" spans="1:25">
      <c r="A36" s="33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</row>
    <row r="37" spans="1:25">
      <c r="A37" s="59" t="s">
        <v>33</v>
      </c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49"/>
      <c r="N37" s="59" t="s">
        <v>34</v>
      </c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</row>
    <row r="38" spans="1:25">
      <c r="A38" s="33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5"/>
      <c r="N38" s="33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</row>
    <row r="39" spans="1:25">
      <c r="A39" s="60" t="s">
        <v>47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5"/>
      <c r="N39" s="60" t="s">
        <v>48</v>
      </c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</row>
    <row r="40" spans="1:25">
      <c r="A40" s="59"/>
      <c r="B40" s="59">
        <v>1910</v>
      </c>
      <c r="C40" s="59">
        <v>1920</v>
      </c>
      <c r="D40" s="59">
        <v>1930</v>
      </c>
      <c r="E40" s="59">
        <v>1940</v>
      </c>
      <c r="F40" s="59">
        <v>1950</v>
      </c>
      <c r="G40" s="59">
        <v>1960</v>
      </c>
      <c r="H40" s="59">
        <v>1970</v>
      </c>
      <c r="I40" s="59">
        <v>1980</v>
      </c>
      <c r="J40" s="59">
        <v>1990</v>
      </c>
      <c r="K40" s="59">
        <v>2000</v>
      </c>
      <c r="L40" s="59">
        <v>2010</v>
      </c>
      <c r="M40" s="49"/>
      <c r="N40" s="59"/>
      <c r="O40" s="59">
        <v>1910</v>
      </c>
      <c r="P40" s="59">
        <v>1920</v>
      </c>
      <c r="Q40" s="59">
        <v>1930</v>
      </c>
      <c r="R40" s="59">
        <v>1940</v>
      </c>
      <c r="S40" s="59">
        <v>1950</v>
      </c>
      <c r="T40" s="59">
        <v>1960</v>
      </c>
      <c r="U40" s="59">
        <v>1970</v>
      </c>
      <c r="V40" s="59">
        <v>1980</v>
      </c>
      <c r="W40" s="59">
        <v>1990</v>
      </c>
      <c r="X40" s="59">
        <v>2000</v>
      </c>
      <c r="Y40" s="59">
        <v>2010</v>
      </c>
    </row>
    <row r="41" spans="1:25">
      <c r="A41" s="61" t="s">
        <v>49</v>
      </c>
      <c r="B41" s="62"/>
      <c r="C41" s="62"/>
      <c r="D41" s="62"/>
      <c r="E41" s="62"/>
      <c r="F41" s="62"/>
      <c r="G41" s="63">
        <v>38.399999999999991</v>
      </c>
      <c r="H41" s="63">
        <v>17.799999999999997</v>
      </c>
      <c r="I41" s="63">
        <v>7.1000000000000014</v>
      </c>
      <c r="J41" s="63">
        <v>1.2000000000000028</v>
      </c>
      <c r="K41" s="63">
        <v>-1.7999999999999972</v>
      </c>
      <c r="L41" s="63">
        <v>-4.7999999999999972</v>
      </c>
      <c r="M41" s="35"/>
      <c r="N41" s="61" t="s">
        <v>49</v>
      </c>
      <c r="O41" s="62"/>
      <c r="P41" s="62"/>
      <c r="Q41" s="62"/>
      <c r="R41" s="62"/>
      <c r="S41" s="62"/>
      <c r="T41" s="63">
        <v>29.543537133642879</v>
      </c>
      <c r="U41" s="63">
        <v>14.775443507936906</v>
      </c>
      <c r="V41" s="63">
        <v>6.0236296069856765</v>
      </c>
      <c r="W41" s="63">
        <v>1.0280805359404535</v>
      </c>
      <c r="X41" s="63">
        <v>-1.7999999999999972</v>
      </c>
      <c r="Y41" s="63">
        <v>-4.7999999999999972</v>
      </c>
    </row>
    <row r="42" spans="1:25">
      <c r="A42" s="61" t="s">
        <v>50</v>
      </c>
      <c r="B42" s="62"/>
      <c r="C42" s="62"/>
      <c r="D42" s="62"/>
      <c r="E42" s="62"/>
      <c r="F42" s="62"/>
      <c r="G42" s="63">
        <v>11.712928607826328</v>
      </c>
      <c r="H42" s="63">
        <v>9.422691170541853</v>
      </c>
      <c r="I42" s="63">
        <v>7.672295414903</v>
      </c>
      <c r="J42" s="63">
        <v>6.3799471467210456</v>
      </c>
      <c r="K42" s="63">
        <v>5.3820579776185227</v>
      </c>
      <c r="L42" s="63">
        <v>4.3147300242511353</v>
      </c>
      <c r="M42" s="35"/>
      <c r="N42" s="61" t="s">
        <v>50</v>
      </c>
      <c r="O42" s="62"/>
      <c r="P42" s="62"/>
      <c r="Q42" s="62"/>
      <c r="R42" s="62"/>
      <c r="S42" s="62"/>
      <c r="T42" s="63">
        <v>9.0114932622141968</v>
      </c>
      <c r="U42" s="63">
        <v>7.8215978136560143</v>
      </c>
      <c r="V42" s="63">
        <v>6.5091641992605851</v>
      </c>
      <c r="W42" s="63">
        <v>5.4659162348939363</v>
      </c>
      <c r="X42" s="63">
        <v>4.6296596051658341</v>
      </c>
      <c r="Y42" s="63">
        <v>3.7130486261256959</v>
      </c>
    </row>
    <row r="43" spans="1:25">
      <c r="A43" s="61" t="s">
        <v>51</v>
      </c>
      <c r="B43" s="62"/>
      <c r="C43" s="62"/>
      <c r="D43" s="62"/>
      <c r="E43" s="62"/>
      <c r="F43" s="62"/>
      <c r="G43" s="63">
        <v>-0.79342111209600552</v>
      </c>
      <c r="H43" s="63">
        <v>-3.5703950044320258</v>
      </c>
      <c r="I43" s="63">
        <v>-6.3473688967680459</v>
      </c>
      <c r="J43" s="63">
        <v>-9.124342789104066</v>
      </c>
      <c r="K43" s="63">
        <v>-11.901316681440086</v>
      </c>
      <c r="L43" s="63">
        <v>-14.678290573776106</v>
      </c>
      <c r="M43" s="35"/>
      <c r="N43" s="61" t="s">
        <v>51</v>
      </c>
      <c r="O43" s="62"/>
      <c r="P43" s="62"/>
      <c r="Q43" s="62"/>
      <c r="R43" s="62"/>
      <c r="S43" s="62"/>
      <c r="T43" s="63">
        <v>-0.79342111209600552</v>
      </c>
      <c r="U43" s="63">
        <v>-3.5703950044320258</v>
      </c>
      <c r="V43" s="63">
        <v>-6.3473688967680459</v>
      </c>
      <c r="W43" s="63">
        <v>-9.124342789104066</v>
      </c>
      <c r="X43" s="63">
        <v>-11.901316681440086</v>
      </c>
      <c r="Y43" s="63">
        <v>-14.678290573776106</v>
      </c>
    </row>
    <row r="44" spans="1:25">
      <c r="A44" s="61" t="s">
        <v>52</v>
      </c>
      <c r="B44" s="62"/>
      <c r="C44" s="62"/>
      <c r="D44" s="62"/>
      <c r="E44" s="62"/>
      <c r="F44" s="62"/>
      <c r="G44" s="63">
        <v>50.899999999999991</v>
      </c>
      <c r="H44" s="63">
        <v>27.200000000000003</v>
      </c>
      <c r="I44" s="63">
        <v>13.600000000000001</v>
      </c>
      <c r="J44" s="63">
        <v>6.6000000000000014</v>
      </c>
      <c r="K44" s="63">
        <v>1.5</v>
      </c>
      <c r="L44" s="63">
        <v>0.34090909090909083</v>
      </c>
      <c r="M44" s="35"/>
      <c r="N44" s="61" t="s">
        <v>52</v>
      </c>
      <c r="O44" s="62"/>
      <c r="P44" s="62"/>
      <c r="Q44" s="62"/>
      <c r="R44" s="62"/>
      <c r="S44" s="62"/>
      <c r="T44" s="63">
        <v>39.160573961000587</v>
      </c>
      <c r="U44" s="63">
        <v>22.578205809881119</v>
      </c>
      <c r="V44" s="63">
        <v>11.538220092254251</v>
      </c>
      <c r="W44" s="63">
        <v>5.6544429476724813</v>
      </c>
      <c r="X44" s="63">
        <v>1.2903037159071222</v>
      </c>
      <c r="Y44" s="63">
        <v>0.29336992685966579</v>
      </c>
    </row>
    <row r="45" spans="1:25">
      <c r="A45" s="61" t="s">
        <v>53</v>
      </c>
      <c r="B45" s="62"/>
      <c r="C45" s="62"/>
      <c r="D45" s="62"/>
      <c r="E45" s="62"/>
      <c r="F45" s="62"/>
      <c r="G45" s="63">
        <v>57.905986012747832</v>
      </c>
      <c r="H45" s="63">
        <v>49.143858317293251</v>
      </c>
      <c r="I45" s="63">
        <v>51.229430209651255</v>
      </c>
      <c r="J45" s="63">
        <v>52.577438266175264</v>
      </c>
      <c r="K45" s="63">
        <v>49.078883947578412</v>
      </c>
      <c r="L45" s="63">
        <v>45.813126865282953</v>
      </c>
      <c r="M45" s="35"/>
      <c r="N45" s="61" t="s">
        <v>53</v>
      </c>
      <c r="O45" s="62"/>
      <c r="P45" s="62"/>
      <c r="Q45" s="62"/>
      <c r="R45" s="62"/>
      <c r="S45" s="62"/>
      <c r="T45" s="63">
        <v>44.550720000724503</v>
      </c>
      <c r="U45" s="63">
        <v>40.793498803267525</v>
      </c>
      <c r="V45" s="63">
        <v>43.463558806302622</v>
      </c>
      <c r="W45" s="63">
        <v>45.045740842591108</v>
      </c>
      <c r="X45" s="63">
        <v>42.218333758907349</v>
      </c>
      <c r="Y45" s="63">
        <v>39.424842494928214</v>
      </c>
    </row>
    <row r="46" spans="1:25">
      <c r="A46" s="61" t="s">
        <v>54</v>
      </c>
      <c r="B46" s="62"/>
      <c r="C46" s="62"/>
      <c r="D46" s="62"/>
      <c r="E46" s="62"/>
      <c r="F46" s="62"/>
      <c r="G46" s="63">
        <v>21.799999999999997</v>
      </c>
      <c r="H46" s="63">
        <v>17.799999999999997</v>
      </c>
      <c r="I46" s="63">
        <v>13.600000000000001</v>
      </c>
      <c r="J46" s="63">
        <v>11.200000000000003</v>
      </c>
      <c r="K46" s="63">
        <v>8</v>
      </c>
      <c r="L46" s="63">
        <v>5.7142857142857126</v>
      </c>
      <c r="M46" s="35"/>
      <c r="N46" s="61" t="s">
        <v>54</v>
      </c>
      <c r="O46" s="62"/>
      <c r="P46" s="62"/>
      <c r="Q46" s="62"/>
      <c r="R46" s="62"/>
      <c r="S46" s="62"/>
      <c r="T46" s="63">
        <v>16.772112226911844</v>
      </c>
      <c r="U46" s="63">
        <v>14.775443507936906</v>
      </c>
      <c r="V46" s="63">
        <v>11.538220092254251</v>
      </c>
      <c r="W46" s="63">
        <v>9.5954183354442115</v>
      </c>
      <c r="X46" s="63">
        <v>6.881619818171318</v>
      </c>
      <c r="Y46" s="63">
        <v>4.9174387740286836</v>
      </c>
    </row>
    <row r="47" spans="1:25">
      <c r="A47" s="61" t="s">
        <v>55</v>
      </c>
      <c r="B47" s="63">
        <v>73.59901510347953</v>
      </c>
      <c r="C47" s="63">
        <v>65.031724491931087</v>
      </c>
      <c r="D47" s="63">
        <v>56.464433880382643</v>
      </c>
      <c r="E47" s="63">
        <v>47.897143268834199</v>
      </c>
      <c r="F47" s="63">
        <v>39.329852657285755</v>
      </c>
      <c r="G47" s="63">
        <v>30.762562045737315</v>
      </c>
      <c r="H47" s="63">
        <v>22.195271434188871</v>
      </c>
      <c r="I47" s="63">
        <v>16.772958833852329</v>
      </c>
      <c r="J47" s="63">
        <v>14.171976772764941</v>
      </c>
      <c r="K47" s="63">
        <v>10.299118825888796</v>
      </c>
      <c r="L47" s="63">
        <v>8.0323644199257522</v>
      </c>
      <c r="M47" s="35"/>
      <c r="N47" s="61" t="s">
        <v>55</v>
      </c>
      <c r="O47" s="63">
        <v>66.503879737970422</v>
      </c>
      <c r="P47" s="63">
        <v>57.936618863940055</v>
      </c>
      <c r="Q47" s="63">
        <v>49.369357989909687</v>
      </c>
      <c r="R47" s="63">
        <v>40.80209711587932</v>
      </c>
      <c r="S47" s="63">
        <v>32.234836241848953</v>
      </c>
      <c r="T47" s="63">
        <v>23.667575367818582</v>
      </c>
      <c r="U47" s="63">
        <v>18.423899921584372</v>
      </c>
      <c r="V47" s="63">
        <v>14.230262776248441</v>
      </c>
      <c r="W47" s="63">
        <v>12.14174102042039</v>
      </c>
      <c r="X47" s="63">
        <v>8.8593873594556989</v>
      </c>
      <c r="Y47" s="63">
        <v>6.9122933289350792</v>
      </c>
    </row>
    <row r="48" spans="1:25">
      <c r="A48" s="64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35"/>
      <c r="N48" s="64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</row>
    <row r="49" spans="1:25">
      <c r="A49" s="66" t="s">
        <v>56</v>
      </c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44"/>
      <c r="N49" s="66" t="s">
        <v>57</v>
      </c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</row>
    <row r="50" spans="1:25">
      <c r="A50" s="59"/>
      <c r="B50" s="59">
        <v>1910</v>
      </c>
      <c r="C50" s="59">
        <v>1920</v>
      </c>
      <c r="D50" s="59">
        <v>1930</v>
      </c>
      <c r="E50" s="59">
        <v>1940</v>
      </c>
      <c r="F50" s="59">
        <v>1950</v>
      </c>
      <c r="G50" s="59">
        <v>1960</v>
      </c>
      <c r="H50" s="59">
        <v>1970</v>
      </c>
      <c r="I50" s="59">
        <v>1980</v>
      </c>
      <c r="J50" s="59">
        <v>1990</v>
      </c>
      <c r="K50" s="59">
        <v>2000</v>
      </c>
      <c r="L50" s="59">
        <v>2010</v>
      </c>
      <c r="M50" s="56"/>
      <c r="N50" s="59"/>
      <c r="O50" s="59">
        <v>1910</v>
      </c>
      <c r="P50" s="59">
        <v>1920</v>
      </c>
      <c r="Q50" s="59">
        <v>1930</v>
      </c>
      <c r="R50" s="59">
        <v>1940</v>
      </c>
      <c r="S50" s="59">
        <v>1950</v>
      </c>
      <c r="T50" s="59">
        <v>1960</v>
      </c>
      <c r="U50" s="59">
        <v>1970</v>
      </c>
      <c r="V50" s="59">
        <v>1980</v>
      </c>
      <c r="W50" s="59">
        <v>1990</v>
      </c>
      <c r="X50" s="59">
        <v>2000</v>
      </c>
      <c r="Y50" s="59">
        <v>2010</v>
      </c>
    </row>
    <row r="51" spans="1:25">
      <c r="A51" s="61" t="s">
        <v>49</v>
      </c>
      <c r="B51" s="62"/>
      <c r="C51" s="62"/>
      <c r="D51" s="62"/>
      <c r="E51" s="62"/>
      <c r="F51" s="62"/>
      <c r="G51" s="63">
        <v>1.1627921331798228</v>
      </c>
      <c r="H51" s="63">
        <v>0.61916716296928365</v>
      </c>
      <c r="I51" s="63">
        <v>0.30566623038783369</v>
      </c>
      <c r="J51" s="63">
        <v>6.5787878100307007E-2</v>
      </c>
      <c r="K51" s="63">
        <v>0</v>
      </c>
      <c r="L51" s="63">
        <v>0</v>
      </c>
      <c r="M51" s="35"/>
      <c r="N51" s="61" t="s">
        <v>49</v>
      </c>
      <c r="O51" s="62"/>
      <c r="P51" s="62"/>
      <c r="Q51" s="62"/>
      <c r="R51" s="62"/>
      <c r="S51" s="62"/>
      <c r="T51" s="63">
        <v>0.89460918138817491</v>
      </c>
      <c r="U51" s="63">
        <v>0.51395895721473117</v>
      </c>
      <c r="V51" s="63">
        <v>0.2593267824253323</v>
      </c>
      <c r="W51" s="63">
        <v>5.6362697479790572E-2</v>
      </c>
      <c r="X51" s="63">
        <v>0</v>
      </c>
      <c r="Y51" s="63">
        <v>0</v>
      </c>
    </row>
    <row r="52" spans="1:25">
      <c r="A52" s="61" t="s">
        <v>50</v>
      </c>
      <c r="B52" s="62"/>
      <c r="C52" s="62"/>
      <c r="D52" s="62"/>
      <c r="E52" s="62"/>
      <c r="F52" s="62"/>
      <c r="G52" s="63">
        <v>0.35467971983534763</v>
      </c>
      <c r="H52" s="63">
        <v>0.32776522244944484</v>
      </c>
      <c r="I52" s="63">
        <v>0.33030445322468449</v>
      </c>
      <c r="J52" s="63">
        <v>0.34976932097907054</v>
      </c>
      <c r="K52" s="63">
        <v>0.3572607652930378</v>
      </c>
      <c r="L52" s="63">
        <v>0.35570992754026082</v>
      </c>
      <c r="M52" s="35"/>
      <c r="N52" s="61" t="s">
        <v>50</v>
      </c>
      <c r="O52" s="62"/>
      <c r="P52" s="62"/>
      <c r="Q52" s="62"/>
      <c r="R52" s="62"/>
      <c r="S52" s="62"/>
      <c r="T52" s="63">
        <v>0.27287743420587623</v>
      </c>
      <c r="U52" s="63">
        <v>0.27207171506562622</v>
      </c>
      <c r="V52" s="63">
        <v>0.28022981461456681</v>
      </c>
      <c r="W52" s="63">
        <v>0.29965919247307538</v>
      </c>
      <c r="X52" s="63">
        <v>0.3073165953369526</v>
      </c>
      <c r="Y52" s="63">
        <v>0.3061068132488472</v>
      </c>
    </row>
    <row r="53" spans="1:25">
      <c r="A53" s="61" t="s">
        <v>51</v>
      </c>
      <c r="B53" s="62"/>
      <c r="C53" s="62"/>
      <c r="D53" s="62"/>
      <c r="E53" s="62"/>
      <c r="F53" s="62"/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35"/>
      <c r="N53" s="61" t="s">
        <v>51</v>
      </c>
      <c r="O53" s="62"/>
      <c r="P53" s="62"/>
      <c r="Q53" s="62"/>
      <c r="R53" s="62"/>
      <c r="S53" s="62"/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</row>
    <row r="54" spans="1:25">
      <c r="A54" s="61" t="s">
        <v>52</v>
      </c>
      <c r="B54" s="62"/>
      <c r="C54" s="62"/>
      <c r="D54" s="62"/>
      <c r="E54" s="62"/>
      <c r="F54" s="62"/>
      <c r="G54" s="63">
        <v>1.5413051973659631</v>
      </c>
      <c r="H54" s="63">
        <v>0.94614308049238871</v>
      </c>
      <c r="I54" s="63">
        <v>0.58550151172880804</v>
      </c>
      <c r="J54" s="63">
        <v>0.36183332955168779</v>
      </c>
      <c r="K54" s="63">
        <v>9.9569932202157402E-2</v>
      </c>
      <c r="L54" s="63">
        <v>2.8104828655214784E-2</v>
      </c>
      <c r="M54" s="35"/>
      <c r="N54" s="61" t="s">
        <v>52</v>
      </c>
      <c r="O54" s="62"/>
      <c r="P54" s="62"/>
      <c r="Q54" s="62"/>
      <c r="R54" s="62"/>
      <c r="S54" s="62"/>
      <c r="T54" s="63">
        <v>1.1858231076213048</v>
      </c>
      <c r="U54" s="63">
        <v>0.78537548518206135</v>
      </c>
      <c r="V54" s="63">
        <v>0.49673862549077724</v>
      </c>
      <c r="W54" s="63">
        <v>0.30999483613884748</v>
      </c>
      <c r="X54" s="63">
        <v>8.5650302342042614E-2</v>
      </c>
      <c r="Y54" s="63">
        <v>2.4185660479152486E-2</v>
      </c>
    </row>
    <row r="55" spans="1:25">
      <c r="A55" s="61" t="s">
        <v>53</v>
      </c>
      <c r="B55" s="62"/>
      <c r="C55" s="62"/>
      <c r="D55" s="62"/>
      <c r="E55" s="62"/>
      <c r="F55" s="62"/>
      <c r="G55" s="63">
        <v>1.7534537760323969</v>
      </c>
      <c r="H55" s="63">
        <v>1.7094529961619607</v>
      </c>
      <c r="I55" s="63">
        <v>2.2055080024085498</v>
      </c>
      <c r="J55" s="63">
        <v>2.8824650829012892</v>
      </c>
      <c r="K55" s="63">
        <v>3.2578540981452893</v>
      </c>
      <c r="L55" s="63">
        <v>3.7768722367446248</v>
      </c>
      <c r="M55" s="35"/>
      <c r="N55" s="61" t="s">
        <v>53</v>
      </c>
      <c r="O55" s="62"/>
      <c r="P55" s="62"/>
      <c r="Q55" s="62"/>
      <c r="R55" s="62"/>
      <c r="S55" s="62"/>
      <c r="T55" s="63">
        <v>1.34904236313384</v>
      </c>
      <c r="U55" s="63">
        <v>1.4189884787421361</v>
      </c>
      <c r="V55" s="63">
        <v>1.8711749548679508</v>
      </c>
      <c r="W55" s="63">
        <v>2.4695530895753315</v>
      </c>
      <c r="X55" s="63">
        <v>2.8024510867083054</v>
      </c>
      <c r="Y55" s="63">
        <v>3.2502167663644452</v>
      </c>
    </row>
    <row r="56" spans="1:25">
      <c r="A56" s="61" t="s">
        <v>54</v>
      </c>
      <c r="B56" s="62"/>
      <c r="C56" s="62"/>
      <c r="D56" s="62"/>
      <c r="E56" s="62"/>
      <c r="F56" s="62"/>
      <c r="G56" s="63">
        <v>0.66012678394062851</v>
      </c>
      <c r="H56" s="63">
        <v>0.61916716296928365</v>
      </c>
      <c r="I56" s="63">
        <v>0.58550151172880804</v>
      </c>
      <c r="J56" s="63">
        <v>0.61402019560286414</v>
      </c>
      <c r="K56" s="63">
        <v>0.53103963841150614</v>
      </c>
      <c r="L56" s="63">
        <v>0.47109046126836207</v>
      </c>
      <c r="M56" s="35"/>
      <c r="N56" s="61" t="s">
        <v>54</v>
      </c>
      <c r="O56" s="62"/>
      <c r="P56" s="62"/>
      <c r="Q56" s="62"/>
      <c r="R56" s="62"/>
      <c r="S56" s="62"/>
      <c r="T56" s="63">
        <v>0.50787708735057846</v>
      </c>
      <c r="U56" s="63">
        <v>0.51395895721473117</v>
      </c>
      <c r="V56" s="63">
        <v>0.49673862549077724</v>
      </c>
      <c r="W56" s="63">
        <v>0.52605184314471087</v>
      </c>
      <c r="X56" s="63">
        <v>0.4568016124908939</v>
      </c>
      <c r="Y56" s="63">
        <v>0.40539773755531788</v>
      </c>
    </row>
    <row r="57" spans="1:25">
      <c r="A57" s="61" t="s">
        <v>55</v>
      </c>
      <c r="B57" s="63">
        <v>1.7288589861480599</v>
      </c>
      <c r="C57" s="63">
        <v>1.5693916948728206</v>
      </c>
      <c r="D57" s="63">
        <v>1.4099244035975813</v>
      </c>
      <c r="E57" s="63">
        <v>1.250457112322342</v>
      </c>
      <c r="F57" s="63">
        <v>1.0909898210471027</v>
      </c>
      <c r="G57" s="63">
        <v>0.93152252977186334</v>
      </c>
      <c r="H57" s="63">
        <v>0.77205523849662405</v>
      </c>
      <c r="I57" s="63">
        <v>0.72210240833717676</v>
      </c>
      <c r="J57" s="63">
        <v>0.77695356697253337</v>
      </c>
      <c r="K57" s="63">
        <v>0.68365504215714024</v>
      </c>
      <c r="L57" s="63">
        <v>0.66219479544022053</v>
      </c>
      <c r="M57" s="35"/>
      <c r="N57" s="61" t="s">
        <v>55</v>
      </c>
      <c r="O57" s="63">
        <v>1.5140102022734776</v>
      </c>
      <c r="P57" s="63">
        <v>1.354543945408053</v>
      </c>
      <c r="Q57" s="63">
        <v>1.1950776885426284</v>
      </c>
      <c r="R57" s="63">
        <v>1.0356114316772038</v>
      </c>
      <c r="S57" s="63">
        <v>0.876145174811779</v>
      </c>
      <c r="T57" s="63">
        <v>0.7166789179463543</v>
      </c>
      <c r="U57" s="63">
        <v>0.64086931715041595</v>
      </c>
      <c r="V57" s="63">
        <v>0.6126353211611506</v>
      </c>
      <c r="W57" s="63">
        <v>0.66564948181409334</v>
      </c>
      <c r="X57" s="63">
        <v>0.5880857324891029</v>
      </c>
      <c r="Y57" s="63">
        <v>0.56985520423129365</v>
      </c>
    </row>
    <row r="58" spans="1:25">
      <c r="A58" s="64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35"/>
      <c r="N58" s="64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</row>
    <row r="59" spans="1:25">
      <c r="A59" s="66" t="s">
        <v>58</v>
      </c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44"/>
      <c r="N59" s="66" t="s">
        <v>59</v>
      </c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</row>
    <row r="60" spans="1:25">
      <c r="A60" s="67"/>
      <c r="B60" s="59">
        <v>1910</v>
      </c>
      <c r="C60" s="59">
        <v>1920</v>
      </c>
      <c r="D60" s="59">
        <v>1930</v>
      </c>
      <c r="E60" s="59">
        <v>1940</v>
      </c>
      <c r="F60" s="59">
        <v>1950</v>
      </c>
      <c r="G60" s="59">
        <v>1960</v>
      </c>
      <c r="H60" s="59">
        <v>1970</v>
      </c>
      <c r="I60" s="59">
        <v>1980</v>
      </c>
      <c r="J60" s="59">
        <v>1990</v>
      </c>
      <c r="K60" s="59">
        <v>2000</v>
      </c>
      <c r="L60" s="59">
        <v>2010</v>
      </c>
      <c r="M60" s="56"/>
      <c r="N60" s="67"/>
      <c r="O60" s="59">
        <v>1910</v>
      </c>
      <c r="P60" s="59">
        <v>1920</v>
      </c>
      <c r="Q60" s="59">
        <v>1930</v>
      </c>
      <c r="R60" s="59">
        <v>1940</v>
      </c>
      <c r="S60" s="59">
        <v>1950</v>
      </c>
      <c r="T60" s="59">
        <v>1960</v>
      </c>
      <c r="U60" s="59">
        <v>1970</v>
      </c>
      <c r="V60" s="59">
        <v>1980</v>
      </c>
      <c r="W60" s="59">
        <v>1990</v>
      </c>
      <c r="X60" s="59">
        <v>2000</v>
      </c>
      <c r="Y60" s="59">
        <v>2010</v>
      </c>
    </row>
    <row r="61" spans="1:25">
      <c r="A61" s="61" t="s">
        <v>49</v>
      </c>
      <c r="B61" s="63"/>
      <c r="C61" s="63"/>
      <c r="D61" s="63"/>
      <c r="E61" s="63"/>
      <c r="F61" s="63"/>
      <c r="G61" s="63">
        <v>9.3719999999999999</v>
      </c>
      <c r="H61" s="63">
        <v>9.3719999999999999</v>
      </c>
      <c r="I61" s="63">
        <v>9.3719999999999999</v>
      </c>
      <c r="J61" s="63">
        <v>9.3719999999999999</v>
      </c>
      <c r="K61" s="63">
        <v>9.3719999999999999</v>
      </c>
      <c r="L61" s="63">
        <v>9.3719999999999999</v>
      </c>
      <c r="M61" s="35"/>
      <c r="N61" s="61" t="s">
        <v>49</v>
      </c>
      <c r="O61" s="62"/>
      <c r="P61" s="62"/>
      <c r="Q61" s="62"/>
      <c r="R61" s="62"/>
      <c r="S61" s="62"/>
      <c r="T61" s="63">
        <v>7.210469531679716</v>
      </c>
      <c r="U61" s="63">
        <v>7.7795200312575679</v>
      </c>
      <c r="V61" s="63">
        <v>7.9511910812210909</v>
      </c>
      <c r="W61" s="63">
        <v>8.0293089856949216</v>
      </c>
      <c r="X61" s="63">
        <v>8.0618176169876996</v>
      </c>
      <c r="Y61" s="63">
        <v>8.0650913332844461</v>
      </c>
    </row>
    <row r="62" spans="1:25">
      <c r="A62" s="61" t="s">
        <v>50</v>
      </c>
      <c r="B62" s="63"/>
      <c r="C62" s="63"/>
      <c r="D62" s="63"/>
      <c r="E62" s="63"/>
      <c r="F62" s="63"/>
      <c r="G62" s="63">
        <v>7.0719999999999992</v>
      </c>
      <c r="H62" s="63">
        <v>7.0719999999999992</v>
      </c>
      <c r="I62" s="63">
        <v>7.0719999999999992</v>
      </c>
      <c r="J62" s="63">
        <v>7.0719999999999992</v>
      </c>
      <c r="K62" s="63">
        <v>7.0719999999999992</v>
      </c>
      <c r="L62" s="63">
        <v>7.0719999999999992</v>
      </c>
      <c r="M62" s="35"/>
      <c r="N62" s="61" t="s">
        <v>50</v>
      </c>
      <c r="O62" s="62"/>
      <c r="P62" s="62"/>
      <c r="Q62" s="62"/>
      <c r="R62" s="62"/>
      <c r="S62" s="62"/>
      <c r="T62" s="63">
        <v>5.4409347554458973</v>
      </c>
      <c r="U62" s="63">
        <v>5.8703335105690897</v>
      </c>
      <c r="V62" s="63">
        <v>5.9998744479722097</v>
      </c>
      <c r="W62" s="63">
        <v>6.0588212918090569</v>
      </c>
      <c r="X62" s="63">
        <v>6.0833519192634444</v>
      </c>
      <c r="Y62" s="63">
        <v>6.0858222267378999</v>
      </c>
    </row>
    <row r="63" spans="1:25">
      <c r="A63" s="61" t="s">
        <v>51</v>
      </c>
      <c r="B63" s="63"/>
      <c r="C63" s="63"/>
      <c r="D63" s="63"/>
      <c r="E63" s="63"/>
      <c r="F63" s="63"/>
      <c r="G63" s="63">
        <v>2.6</v>
      </c>
      <c r="H63" s="63">
        <v>2.6</v>
      </c>
      <c r="I63" s="63">
        <v>2.6</v>
      </c>
      <c r="J63" s="63">
        <v>2.6</v>
      </c>
      <c r="K63" s="63">
        <v>2.6</v>
      </c>
      <c r="L63" s="63">
        <v>2.6</v>
      </c>
      <c r="M63" s="35"/>
      <c r="N63" s="61" t="s">
        <v>51</v>
      </c>
      <c r="O63" s="62"/>
      <c r="P63" s="62"/>
      <c r="Q63" s="62"/>
      <c r="R63" s="62"/>
      <c r="S63" s="62"/>
      <c r="T63" s="63">
        <v>2.0003436600904037</v>
      </c>
      <c r="U63" s="63">
        <v>2.1582108494739303</v>
      </c>
      <c r="V63" s="63">
        <v>2.2058361941074303</v>
      </c>
      <c r="W63" s="63">
        <v>2.2275078278709772</v>
      </c>
      <c r="X63" s="63">
        <v>2.2365264409056782</v>
      </c>
      <c r="Y63" s="63">
        <v>2.2374346421830515</v>
      </c>
    </row>
    <row r="64" spans="1:25">
      <c r="A64" s="61" t="s">
        <v>52</v>
      </c>
      <c r="B64" s="63"/>
      <c r="C64" s="63"/>
      <c r="D64" s="63"/>
      <c r="E64" s="63"/>
      <c r="F64" s="63"/>
      <c r="G64" s="63">
        <v>10.572000000000001</v>
      </c>
      <c r="H64" s="63">
        <v>10.572000000000001</v>
      </c>
      <c r="I64" s="63">
        <v>10.572000000000001</v>
      </c>
      <c r="J64" s="63">
        <v>10.572000000000001</v>
      </c>
      <c r="K64" s="63">
        <v>10.572000000000001</v>
      </c>
      <c r="L64" s="63">
        <v>10.572000000000001</v>
      </c>
      <c r="M64" s="35"/>
      <c r="N64" s="61" t="s">
        <v>52</v>
      </c>
      <c r="O64" s="62"/>
      <c r="P64" s="62"/>
      <c r="Q64" s="62"/>
      <c r="R64" s="62"/>
      <c r="S64" s="62"/>
      <c r="T64" s="63">
        <v>8.1337050671060567</v>
      </c>
      <c r="U64" s="63">
        <v>8.7756173463993825</v>
      </c>
      <c r="V64" s="63">
        <v>8.9692693246552899</v>
      </c>
      <c r="W64" s="63">
        <v>9.0573895216353737</v>
      </c>
      <c r="X64" s="63">
        <v>9.094060589713397</v>
      </c>
      <c r="Y64" s="63">
        <v>9.097753475830471</v>
      </c>
    </row>
    <row r="65" spans="1:25">
      <c r="A65" s="61" t="s">
        <v>53</v>
      </c>
      <c r="B65" s="63"/>
      <c r="C65" s="63"/>
      <c r="D65" s="63"/>
      <c r="E65" s="63"/>
      <c r="F65" s="63"/>
      <c r="G65" s="63">
        <v>8.1470000000000002</v>
      </c>
      <c r="H65" s="63">
        <v>8.1470000000000002</v>
      </c>
      <c r="I65" s="63">
        <v>8.1470000000000002</v>
      </c>
      <c r="J65" s="63">
        <v>8.1470000000000002</v>
      </c>
      <c r="K65" s="63">
        <v>8.1470000000000002</v>
      </c>
      <c r="L65" s="63">
        <v>8.1470000000000002</v>
      </c>
      <c r="M65" s="35"/>
      <c r="N65" s="61" t="s">
        <v>53</v>
      </c>
      <c r="O65" s="62"/>
      <c r="P65" s="62"/>
      <c r="Q65" s="62"/>
      <c r="R65" s="62"/>
      <c r="S65" s="62"/>
      <c r="T65" s="63">
        <v>6.2679999225986611</v>
      </c>
      <c r="U65" s="63">
        <v>6.7626706887169661</v>
      </c>
      <c r="V65" s="63">
        <v>6.9119028743820135</v>
      </c>
      <c r="W65" s="63">
        <v>6.9798101052557122</v>
      </c>
      <c r="X65" s="63">
        <v>7.0080695823302159</v>
      </c>
      <c r="Y65" s="63">
        <v>7.0109153961020469</v>
      </c>
    </row>
    <row r="66" spans="1:25">
      <c r="A66" s="61" t="s">
        <v>54</v>
      </c>
      <c r="B66" s="63"/>
      <c r="C66" s="63"/>
      <c r="D66" s="63"/>
      <c r="E66" s="63"/>
      <c r="F66" s="63"/>
      <c r="G66" s="63">
        <v>5.5719999999999992</v>
      </c>
      <c r="H66" s="63">
        <v>5.5719999999999992</v>
      </c>
      <c r="I66" s="63">
        <v>5.5719999999999992</v>
      </c>
      <c r="J66" s="63">
        <v>5.5719999999999992</v>
      </c>
      <c r="K66" s="63">
        <v>5.5719999999999992</v>
      </c>
      <c r="L66" s="63">
        <v>5.5719999999999992</v>
      </c>
      <c r="M66" s="35"/>
      <c r="N66" s="61" t="s">
        <v>54</v>
      </c>
      <c r="O66" s="62"/>
      <c r="P66" s="62"/>
      <c r="Q66" s="62"/>
      <c r="R66" s="62"/>
      <c r="S66" s="62"/>
      <c r="T66" s="63">
        <v>4.2868903361629718</v>
      </c>
      <c r="U66" s="63">
        <v>4.6252118666418225</v>
      </c>
      <c r="V66" s="63">
        <v>4.7272766436794615</v>
      </c>
      <c r="W66" s="63">
        <v>4.7737206218834931</v>
      </c>
      <c r="X66" s="63">
        <v>4.7930482033563226</v>
      </c>
      <c r="Y66" s="63">
        <v>4.79499454855537</v>
      </c>
    </row>
    <row r="67" spans="1:25">
      <c r="A67" s="61" t="s">
        <v>55</v>
      </c>
      <c r="B67" s="63">
        <v>8.1470000000000002</v>
      </c>
      <c r="C67" s="63">
        <v>8.1470000000000002</v>
      </c>
      <c r="D67" s="63">
        <v>8.1470000000000002</v>
      </c>
      <c r="E67" s="63">
        <v>8.1470000000000002</v>
      </c>
      <c r="F67" s="63">
        <v>8.1470000000000002</v>
      </c>
      <c r="G67" s="63">
        <v>8.1470000000000002</v>
      </c>
      <c r="H67" s="63">
        <v>8.1470000000000002</v>
      </c>
      <c r="I67" s="63">
        <v>8.1470000000000002</v>
      </c>
      <c r="J67" s="63">
        <v>8.1470000000000002</v>
      </c>
      <c r="K67" s="63">
        <v>8.1470000000000002</v>
      </c>
      <c r="L67" s="63">
        <v>8.1470000000000002</v>
      </c>
      <c r="M67" s="35"/>
      <c r="N67" s="61" t="s">
        <v>55</v>
      </c>
      <c r="O67" s="63">
        <v>6.2679999225986602</v>
      </c>
      <c r="P67" s="63">
        <v>6.2679999225986602</v>
      </c>
      <c r="Q67" s="63">
        <v>6.2679999225986602</v>
      </c>
      <c r="R67" s="63">
        <v>6.2679999225986602</v>
      </c>
      <c r="S67" s="63">
        <v>6.2679999225986602</v>
      </c>
      <c r="T67" s="63">
        <v>6.2679999225986611</v>
      </c>
      <c r="U67" s="63">
        <v>6.7626706887169661</v>
      </c>
      <c r="V67" s="63">
        <v>6.9119028743820135</v>
      </c>
      <c r="W67" s="63">
        <v>6.9798101052557122</v>
      </c>
      <c r="X67" s="63">
        <v>7.0080695823302159</v>
      </c>
      <c r="Y67" s="63">
        <v>7.0109153961020469</v>
      </c>
    </row>
    <row r="68" spans="1:25">
      <c r="A68" s="64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35"/>
      <c r="N68" s="64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</row>
    <row r="69" spans="1:25">
      <c r="A69" s="66" t="s">
        <v>60</v>
      </c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44"/>
      <c r="N69" s="66" t="s">
        <v>61</v>
      </c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</row>
    <row r="70" spans="1:25">
      <c r="A70" s="67"/>
      <c r="B70" s="59">
        <v>1910</v>
      </c>
      <c r="C70" s="59">
        <v>1920</v>
      </c>
      <c r="D70" s="59">
        <v>1930</v>
      </c>
      <c r="E70" s="59">
        <v>1940</v>
      </c>
      <c r="F70" s="59">
        <v>1950</v>
      </c>
      <c r="G70" s="59">
        <v>1960</v>
      </c>
      <c r="H70" s="59">
        <v>1970</v>
      </c>
      <c r="I70" s="59">
        <v>1980</v>
      </c>
      <c r="J70" s="59">
        <v>1990</v>
      </c>
      <c r="K70" s="59">
        <v>2000</v>
      </c>
      <c r="L70" s="59">
        <v>2010</v>
      </c>
      <c r="M70" s="56"/>
      <c r="N70" s="67"/>
      <c r="O70" s="59">
        <v>1910</v>
      </c>
      <c r="P70" s="59">
        <v>1920</v>
      </c>
      <c r="Q70" s="59">
        <v>1930</v>
      </c>
      <c r="R70" s="59">
        <v>1940</v>
      </c>
      <c r="S70" s="59">
        <v>1950</v>
      </c>
      <c r="T70" s="59">
        <v>1960</v>
      </c>
      <c r="U70" s="59">
        <v>1970</v>
      </c>
      <c r="V70" s="59">
        <v>1980</v>
      </c>
      <c r="W70" s="59">
        <v>1990</v>
      </c>
      <c r="X70" s="59">
        <v>2000</v>
      </c>
      <c r="Y70" s="59">
        <v>2010</v>
      </c>
    </row>
    <row r="71" spans="1:25">
      <c r="A71" s="61" t="s">
        <v>49</v>
      </c>
      <c r="B71" s="63"/>
      <c r="C71" s="63"/>
      <c r="D71" s="63"/>
      <c r="E71" s="63"/>
      <c r="F71" s="63"/>
      <c r="G71" s="63">
        <v>6.4496669343862401</v>
      </c>
      <c r="H71" s="63">
        <v>5.6019336111560625</v>
      </c>
      <c r="I71" s="63">
        <v>4.5493240253319103</v>
      </c>
      <c r="J71" s="63">
        <v>4.8700134060655493</v>
      </c>
      <c r="K71" s="63">
        <v>5.2269639589611465</v>
      </c>
      <c r="L71" s="63">
        <v>5.5740610006965881</v>
      </c>
      <c r="M71" s="35"/>
      <c r="N71" s="61" t="s">
        <v>49</v>
      </c>
      <c r="O71" s="63"/>
      <c r="P71" s="63"/>
      <c r="Q71" s="63"/>
      <c r="R71" s="63"/>
      <c r="S71" s="63"/>
      <c r="T71" s="63">
        <v>6.3414863424268448</v>
      </c>
      <c r="U71" s="63">
        <v>5.4422852512597517</v>
      </c>
      <c r="V71" s="63">
        <v>4.4568473006436804</v>
      </c>
      <c r="W71" s="63">
        <v>4.7977365675684274</v>
      </c>
      <c r="X71" s="63">
        <v>5.1714923538318045</v>
      </c>
      <c r="Y71" s="63">
        <v>5.5204918085188419</v>
      </c>
    </row>
    <row r="72" spans="1:25">
      <c r="A72" s="61" t="s">
        <v>50</v>
      </c>
      <c r="B72" s="63"/>
      <c r="C72" s="63"/>
      <c r="D72" s="63"/>
      <c r="E72" s="63"/>
      <c r="F72" s="63"/>
      <c r="G72" s="63">
        <v>3.8282364505966946</v>
      </c>
      <c r="H72" s="63">
        <v>3.3250595204713771</v>
      </c>
      <c r="I72" s="63">
        <v>2.7002771207453398</v>
      </c>
      <c r="J72" s="63">
        <v>2.8906241245725419</v>
      </c>
      <c r="K72" s="63">
        <v>3.1024941531425685</v>
      </c>
      <c r="L72" s="63">
        <v>3.3085155741839558</v>
      </c>
      <c r="M72" s="35"/>
      <c r="N72" s="61" t="s">
        <v>50</v>
      </c>
      <c r="O72" s="63"/>
      <c r="P72" s="63"/>
      <c r="Q72" s="63"/>
      <c r="R72" s="63"/>
      <c r="S72" s="63"/>
      <c r="T72" s="63">
        <v>3.7640252456462342</v>
      </c>
      <c r="U72" s="63">
        <v>3.2302993294645219</v>
      </c>
      <c r="V72" s="63">
        <v>2.6453870354301099</v>
      </c>
      <c r="W72" s="63">
        <v>2.8477237964651496</v>
      </c>
      <c r="X72" s="63">
        <v>3.0695686667741069</v>
      </c>
      <c r="Y72" s="63">
        <v>3.2767192758308554</v>
      </c>
    </row>
    <row r="73" spans="1:25">
      <c r="A73" s="61" t="s">
        <v>51</v>
      </c>
      <c r="B73" s="63"/>
      <c r="C73" s="63"/>
      <c r="D73" s="63"/>
      <c r="E73" s="63"/>
      <c r="F73" s="63"/>
      <c r="G73" s="63">
        <v>10.749444890643733</v>
      </c>
      <c r="H73" s="63">
        <v>9.3365560185934378</v>
      </c>
      <c r="I73" s="63">
        <v>7.5822067088865168</v>
      </c>
      <c r="J73" s="63">
        <v>8.1166890101092477</v>
      </c>
      <c r="K73" s="63">
        <v>8.7116065982685758</v>
      </c>
      <c r="L73" s="63">
        <v>9.2901016678276456</v>
      </c>
      <c r="M73" s="35"/>
      <c r="N73" s="61" t="s">
        <v>51</v>
      </c>
      <c r="O73" s="63"/>
      <c r="P73" s="63"/>
      <c r="Q73" s="63"/>
      <c r="R73" s="63"/>
      <c r="S73" s="63"/>
      <c r="T73" s="63">
        <v>10.569143904044742</v>
      </c>
      <c r="U73" s="63">
        <v>9.0704754187662537</v>
      </c>
      <c r="V73" s="63">
        <v>7.4280788344061337</v>
      </c>
      <c r="W73" s="63">
        <v>7.9962276126140468</v>
      </c>
      <c r="X73" s="63">
        <v>8.6191539230530072</v>
      </c>
      <c r="Y73" s="63">
        <v>9.2008196808647362</v>
      </c>
    </row>
    <row r="74" spans="1:25">
      <c r="A74" s="61" t="s">
        <v>52</v>
      </c>
      <c r="B74" s="63"/>
      <c r="C74" s="63"/>
      <c r="D74" s="63"/>
      <c r="E74" s="63"/>
      <c r="F74" s="63"/>
      <c r="G74" s="63">
        <v>9.0295337081407361</v>
      </c>
      <c r="H74" s="63">
        <v>7.8427070556184875</v>
      </c>
      <c r="I74" s="63">
        <v>6.3690536354646738</v>
      </c>
      <c r="J74" s="63">
        <v>6.8180187684917684</v>
      </c>
      <c r="K74" s="63">
        <v>7.3177495425456041</v>
      </c>
      <c r="L74" s="63">
        <v>7.8036854009752226</v>
      </c>
      <c r="M74" s="35"/>
      <c r="N74" s="61" t="s">
        <v>52</v>
      </c>
      <c r="O74" s="63"/>
      <c r="P74" s="63"/>
      <c r="Q74" s="63"/>
      <c r="R74" s="63"/>
      <c r="S74" s="63"/>
      <c r="T74" s="63">
        <v>8.8780808793975829</v>
      </c>
      <c r="U74" s="63">
        <v>7.6191993517636529</v>
      </c>
      <c r="V74" s="63">
        <v>6.2395862209011526</v>
      </c>
      <c r="W74" s="63">
        <v>6.7168311945957981</v>
      </c>
      <c r="X74" s="63">
        <v>7.2400892953645268</v>
      </c>
      <c r="Y74" s="63">
        <v>7.7286885319263776</v>
      </c>
    </row>
    <row r="75" spans="1:25">
      <c r="A75" s="61" t="s">
        <v>53</v>
      </c>
      <c r="B75" s="63"/>
      <c r="C75" s="63"/>
      <c r="D75" s="63"/>
      <c r="E75" s="63"/>
      <c r="F75" s="63"/>
      <c r="G75" s="63">
        <v>5.0164076156337423</v>
      </c>
      <c r="H75" s="63">
        <v>4.357059475343604</v>
      </c>
      <c r="I75" s="63">
        <v>3.5383631308137078</v>
      </c>
      <c r="J75" s="63">
        <v>3.787788204717649</v>
      </c>
      <c r="K75" s="63">
        <v>4.0654164125253356</v>
      </c>
      <c r="L75" s="63">
        <v>4.3353807783195677</v>
      </c>
      <c r="M75" s="35"/>
      <c r="N75" s="61" t="s">
        <v>53</v>
      </c>
      <c r="O75" s="63"/>
      <c r="P75" s="63"/>
      <c r="Q75" s="63"/>
      <c r="R75" s="63"/>
      <c r="S75" s="63"/>
      <c r="T75" s="63">
        <v>4.9322671552208792</v>
      </c>
      <c r="U75" s="63">
        <v>4.2328885287575853</v>
      </c>
      <c r="V75" s="63">
        <v>3.4664367893895287</v>
      </c>
      <c r="W75" s="63">
        <v>3.7315728858865542</v>
      </c>
      <c r="X75" s="63">
        <v>4.0222718307580703</v>
      </c>
      <c r="Y75" s="63">
        <v>4.2937158510702096</v>
      </c>
    </row>
    <row r="76" spans="1:25">
      <c r="A76" s="61" t="s">
        <v>54</v>
      </c>
      <c r="B76" s="63"/>
      <c r="C76" s="63"/>
      <c r="D76" s="63"/>
      <c r="E76" s="63"/>
      <c r="F76" s="63"/>
      <c r="G76" s="63">
        <v>4.9073552761634431</v>
      </c>
      <c r="H76" s="63">
        <v>4.2623407910970039</v>
      </c>
      <c r="I76" s="63">
        <v>3.4614421931873225</v>
      </c>
      <c r="J76" s="63">
        <v>3.705444982875961</v>
      </c>
      <c r="K76" s="63">
        <v>3.977037794861741</v>
      </c>
      <c r="L76" s="63">
        <v>4.2411333700952296</v>
      </c>
      <c r="M76" s="35"/>
      <c r="N76" s="61" t="s">
        <v>54</v>
      </c>
      <c r="O76" s="63"/>
      <c r="P76" s="63"/>
      <c r="Q76" s="63"/>
      <c r="R76" s="63"/>
      <c r="S76" s="63"/>
      <c r="T76" s="63">
        <v>4.8250439561943379</v>
      </c>
      <c r="U76" s="63">
        <v>4.1408692129150282</v>
      </c>
      <c r="V76" s="63">
        <v>3.3910794678810605</v>
      </c>
      <c r="W76" s="63">
        <v>3.6504517361933684</v>
      </c>
      <c r="X76" s="63">
        <v>3.9348311387850687</v>
      </c>
      <c r="Y76" s="63">
        <v>4.2003742021339008</v>
      </c>
    </row>
    <row r="77" spans="1:25">
      <c r="A77" s="61" t="s">
        <v>55</v>
      </c>
      <c r="B77" s="63">
        <v>13.376148097834296</v>
      </c>
      <c r="C77" s="63">
        <v>13.376148097834296</v>
      </c>
      <c r="D77" s="63">
        <v>13.376148097834296</v>
      </c>
      <c r="E77" s="63">
        <v>13.335680315831613</v>
      </c>
      <c r="F77" s="63">
        <v>14.209306730746068</v>
      </c>
      <c r="G77" s="63">
        <v>7.3396521527839012</v>
      </c>
      <c r="H77" s="63">
        <v>5.5444522173784625</v>
      </c>
      <c r="I77" s="63">
        <v>4.2398269236660937</v>
      </c>
      <c r="J77" s="63">
        <v>4.2975784656485496</v>
      </c>
      <c r="K77" s="63">
        <v>4.3777722445784706</v>
      </c>
      <c r="L77" s="63">
        <v>4.6089362671601704</v>
      </c>
      <c r="M77" s="35"/>
      <c r="N77" s="61" t="s">
        <v>55</v>
      </c>
      <c r="O77" s="63">
        <v>13.283471793739318</v>
      </c>
      <c r="P77" s="63">
        <v>13.283471793739318</v>
      </c>
      <c r="Q77" s="63">
        <v>13.283471793739318</v>
      </c>
      <c r="R77" s="63">
        <v>13.245563428730108</v>
      </c>
      <c r="S77" s="63">
        <v>14.089385296283979</v>
      </c>
      <c r="T77" s="63">
        <v>7.2165437934311143</v>
      </c>
      <c r="U77" s="63">
        <v>5.3864420079634199</v>
      </c>
      <c r="V77" s="63">
        <v>4.1536415244809906</v>
      </c>
      <c r="W77" s="63">
        <v>4.2337972480643185</v>
      </c>
      <c r="X77" s="63">
        <v>4.3313127596453258</v>
      </c>
      <c r="Y77" s="63">
        <v>4.5646423506422789</v>
      </c>
    </row>
    <row r="78" spans="1:25">
      <c r="A78" s="64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35"/>
      <c r="N78" s="64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</row>
    <row r="79" spans="1:25">
      <c r="A79" s="66" t="s">
        <v>62</v>
      </c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44"/>
      <c r="N79" s="66" t="s">
        <v>63</v>
      </c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</row>
    <row r="80" spans="1:25">
      <c r="A80" s="59"/>
      <c r="B80" s="59">
        <v>1910</v>
      </c>
      <c r="C80" s="59">
        <v>1920</v>
      </c>
      <c r="D80" s="59">
        <v>1930</v>
      </c>
      <c r="E80" s="59">
        <v>1940</v>
      </c>
      <c r="F80" s="59">
        <v>1950</v>
      </c>
      <c r="G80" s="59">
        <v>1960</v>
      </c>
      <c r="H80" s="59">
        <v>1970</v>
      </c>
      <c r="I80" s="59">
        <v>1980</v>
      </c>
      <c r="J80" s="59">
        <v>1990</v>
      </c>
      <c r="K80" s="59">
        <v>2000</v>
      </c>
      <c r="L80" s="59">
        <v>2010</v>
      </c>
      <c r="M80" s="49"/>
      <c r="N80" s="59"/>
      <c r="O80" s="59">
        <v>1910</v>
      </c>
      <c r="P80" s="59">
        <v>1920</v>
      </c>
      <c r="Q80" s="59">
        <v>1930</v>
      </c>
      <c r="R80" s="59">
        <v>1940</v>
      </c>
      <c r="S80" s="59">
        <v>1950</v>
      </c>
      <c r="T80" s="59">
        <v>1960</v>
      </c>
      <c r="U80" s="59">
        <v>1970</v>
      </c>
      <c r="V80" s="59">
        <v>1980</v>
      </c>
      <c r="W80" s="59">
        <v>1990</v>
      </c>
      <c r="X80" s="59">
        <v>2000</v>
      </c>
      <c r="Y80" s="59">
        <v>2010</v>
      </c>
    </row>
    <row r="81" spans="1:25">
      <c r="A81" s="61" t="s">
        <v>49</v>
      </c>
      <c r="B81" s="62"/>
      <c r="C81" s="62"/>
      <c r="D81" s="62"/>
      <c r="E81" s="62"/>
      <c r="F81" s="62"/>
      <c r="G81" s="63">
        <v>55.384459067566056</v>
      </c>
      <c r="H81" s="63">
        <v>33.393100774125344</v>
      </c>
      <c r="I81" s="63">
        <v>21.326990255719746</v>
      </c>
      <c r="J81" s="63">
        <v>15.507801284165859</v>
      </c>
      <c r="K81" s="63">
        <v>12.798963958961149</v>
      </c>
      <c r="L81" s="63">
        <v>10.146061000696591</v>
      </c>
      <c r="M81" s="35"/>
      <c r="N81" s="61" t="s">
        <v>49</v>
      </c>
      <c r="O81" s="62"/>
      <c r="P81" s="62"/>
      <c r="Q81" s="62"/>
      <c r="R81" s="62"/>
      <c r="S81" s="62"/>
      <c r="T81" s="63">
        <v>43.990102189137616</v>
      </c>
      <c r="U81" s="63">
        <v>28.511207747668955</v>
      </c>
      <c r="V81" s="63">
        <v>18.690994771275779</v>
      </c>
      <c r="W81" s="63">
        <v>13.911488786683591</v>
      </c>
      <c r="X81" s="63">
        <v>11.433309970819508</v>
      </c>
      <c r="Y81" s="63">
        <v>8.7855831418032899</v>
      </c>
    </row>
    <row r="82" spans="1:25">
      <c r="A82" s="61" t="s">
        <v>50</v>
      </c>
      <c r="B82" s="62"/>
      <c r="C82" s="62"/>
      <c r="D82" s="62"/>
      <c r="E82" s="62"/>
      <c r="F82" s="62"/>
      <c r="G82" s="63">
        <v>22.967844778258371</v>
      </c>
      <c r="H82" s="63">
        <v>20.147515913462676</v>
      </c>
      <c r="I82" s="63">
        <v>17.774876988873025</v>
      </c>
      <c r="J82" s="63">
        <v>16.692340592272657</v>
      </c>
      <c r="K82" s="63">
        <v>15.913812896054129</v>
      </c>
      <c r="L82" s="63">
        <v>15.05095552597535</v>
      </c>
      <c r="M82" s="35"/>
      <c r="N82" s="61" t="s">
        <v>50</v>
      </c>
      <c r="O82" s="62"/>
      <c r="P82" s="62"/>
      <c r="Q82" s="62"/>
      <c r="R82" s="62"/>
      <c r="S82" s="62"/>
      <c r="T82" s="63">
        <v>18.489330697512205</v>
      </c>
      <c r="U82" s="63">
        <v>17.194302368755253</v>
      </c>
      <c r="V82" s="63">
        <v>15.434655497277472</v>
      </c>
      <c r="W82" s="63">
        <v>14.672120515641218</v>
      </c>
      <c r="X82" s="63">
        <v>14.089896786540336</v>
      </c>
      <c r="Y82" s="63">
        <v>13.381696941943298</v>
      </c>
    </row>
    <row r="83" spans="1:25">
      <c r="A83" s="61" t="s">
        <v>51</v>
      </c>
      <c r="B83" s="62"/>
      <c r="C83" s="62"/>
      <c r="D83" s="62"/>
      <c r="E83" s="62"/>
      <c r="F83" s="62"/>
      <c r="G83" s="63">
        <v>12.556023778547727</v>
      </c>
      <c r="H83" s="63">
        <v>8.3661610141614116</v>
      </c>
      <c r="I83" s="63">
        <v>3.834837812118471</v>
      </c>
      <c r="J83" s="63">
        <v>1.5923462210051813</v>
      </c>
      <c r="K83" s="63">
        <v>-0.58971008317151075</v>
      </c>
      <c r="L83" s="63">
        <v>-2.788188905948461</v>
      </c>
      <c r="M83" s="35"/>
      <c r="N83" s="61" t="s">
        <v>51</v>
      </c>
      <c r="O83" s="62"/>
      <c r="P83" s="62"/>
      <c r="Q83" s="62"/>
      <c r="R83" s="62"/>
      <c r="S83" s="62"/>
      <c r="T83" s="63">
        <v>11.77606645203914</v>
      </c>
      <c r="U83" s="63">
        <v>7.6582912638081577</v>
      </c>
      <c r="V83" s="63">
        <v>3.286546131745518</v>
      </c>
      <c r="W83" s="63">
        <v>1.099392651380958</v>
      </c>
      <c r="X83" s="63">
        <v>-1.0456363174814012</v>
      </c>
      <c r="Y83" s="63">
        <v>-3.240036250728318</v>
      </c>
    </row>
    <row r="84" spans="1:25">
      <c r="A84" s="61" t="s">
        <v>52</v>
      </c>
      <c r="B84" s="62"/>
      <c r="C84" s="62"/>
      <c r="D84" s="62"/>
      <c r="E84" s="62"/>
      <c r="F84" s="62"/>
      <c r="G84" s="63">
        <v>72.042838905506699</v>
      </c>
      <c r="H84" s="63">
        <v>46.560850136110879</v>
      </c>
      <c r="I84" s="63">
        <v>31.126555147193486</v>
      </c>
      <c r="J84" s="63">
        <v>24.351852098043459</v>
      </c>
      <c r="K84" s="63">
        <v>19.489319474747763</v>
      </c>
      <c r="L84" s="63">
        <v>18.744699320539532</v>
      </c>
      <c r="M84" s="35"/>
      <c r="N84" s="61" t="s">
        <v>52</v>
      </c>
      <c r="O84" s="62"/>
      <c r="P84" s="62"/>
      <c r="Q84" s="62"/>
      <c r="R84" s="62"/>
      <c r="S84" s="62"/>
      <c r="T84" s="63">
        <v>57.358183015125533</v>
      </c>
      <c r="U84" s="63">
        <v>39.758397993226218</v>
      </c>
      <c r="V84" s="63">
        <v>27.243814263301473</v>
      </c>
      <c r="W84" s="63">
        <v>21.738658500042501</v>
      </c>
      <c r="X84" s="63">
        <v>17.710103903327088</v>
      </c>
      <c r="Y84" s="63">
        <v>17.143997595095666</v>
      </c>
    </row>
    <row r="85" spans="1:25">
      <c r="A85" s="61" t="s">
        <v>53</v>
      </c>
      <c r="B85" s="62"/>
      <c r="C85" s="62"/>
      <c r="D85" s="62"/>
      <c r="E85" s="62"/>
      <c r="F85" s="62"/>
      <c r="G85" s="63">
        <v>72.822847404413963</v>
      </c>
      <c r="H85" s="63">
        <v>63.357370788798811</v>
      </c>
      <c r="I85" s="63">
        <v>65.120301342873518</v>
      </c>
      <c r="J85" s="63">
        <v>67.394691553794203</v>
      </c>
      <c r="K85" s="63">
        <v>64.549154458249035</v>
      </c>
      <c r="L85" s="63">
        <v>62.072379880347142</v>
      </c>
      <c r="M85" s="35"/>
      <c r="N85" s="61" t="s">
        <v>53</v>
      </c>
      <c r="O85" s="62"/>
      <c r="P85" s="62"/>
      <c r="Q85" s="62"/>
      <c r="R85" s="62"/>
      <c r="S85" s="62"/>
      <c r="T85" s="63">
        <v>57.100029441677883</v>
      </c>
      <c r="U85" s="63">
        <v>53.208046499484212</v>
      </c>
      <c r="V85" s="63">
        <v>55.713073424942117</v>
      </c>
      <c r="W85" s="63">
        <v>58.226676923308709</v>
      </c>
      <c r="X85" s="63">
        <v>56.051126258703938</v>
      </c>
      <c r="Y85" s="63">
        <v>53.97969050846492</v>
      </c>
    </row>
    <row r="86" spans="1:25">
      <c r="A86" s="61" t="s">
        <v>54</v>
      </c>
      <c r="B86" s="62"/>
      <c r="C86" s="62"/>
      <c r="D86" s="62"/>
      <c r="E86" s="62"/>
      <c r="F86" s="62"/>
      <c r="G86" s="63">
        <v>32.939482060104069</v>
      </c>
      <c r="H86" s="63">
        <v>28.253507954066283</v>
      </c>
      <c r="I86" s="63">
        <v>23.218943704916132</v>
      </c>
      <c r="J86" s="63">
        <v>21.091465178478828</v>
      </c>
      <c r="K86" s="63">
        <v>18.080077433273246</v>
      </c>
      <c r="L86" s="63">
        <v>15.998509545649306</v>
      </c>
      <c r="M86" s="35"/>
      <c r="N86" s="61" t="s">
        <v>54</v>
      </c>
      <c r="O86" s="62"/>
      <c r="P86" s="62"/>
      <c r="Q86" s="62"/>
      <c r="R86" s="62"/>
      <c r="S86" s="62"/>
      <c r="T86" s="63">
        <v>26.391923606619734</v>
      </c>
      <c r="U86" s="63">
        <v>24.055483544708487</v>
      </c>
      <c r="V86" s="63">
        <v>20.15331482930555</v>
      </c>
      <c r="W86" s="63">
        <v>18.545642536665785</v>
      </c>
      <c r="X86" s="63">
        <v>16.066300772803604</v>
      </c>
      <c r="Y86" s="63">
        <v>14.318205262273272</v>
      </c>
    </row>
    <row r="87" spans="1:25">
      <c r="A87" s="61" t="s">
        <v>55</v>
      </c>
      <c r="B87" s="63">
        <v>96.851022187461894</v>
      </c>
      <c r="C87" s="63">
        <v>88.124264284638201</v>
      </c>
      <c r="D87" s="63">
        <v>79.397506381814509</v>
      </c>
      <c r="E87" s="63">
        <v>70.630280696988152</v>
      </c>
      <c r="F87" s="63">
        <v>62.777149209078928</v>
      </c>
      <c r="G87" s="63">
        <v>47.180736728293077</v>
      </c>
      <c r="H87" s="63">
        <v>36.658778890063957</v>
      </c>
      <c r="I87" s="63">
        <v>29.881888165855599</v>
      </c>
      <c r="J87" s="63">
        <v>27.393508805386023</v>
      </c>
      <c r="K87" s="63">
        <v>23.507546112624407</v>
      </c>
      <c r="L87" s="63">
        <v>21.450495482526144</v>
      </c>
      <c r="M87" s="35"/>
      <c r="N87" s="61" t="s">
        <v>55</v>
      </c>
      <c r="O87" s="63">
        <v>87.56936165658189</v>
      </c>
      <c r="P87" s="63">
        <v>78.842634525686094</v>
      </c>
      <c r="Q87" s="63">
        <v>70.115907394790298</v>
      </c>
      <c r="R87" s="63">
        <v>61.351271898885294</v>
      </c>
      <c r="S87" s="63">
        <v>53.468366635543376</v>
      </c>
      <c r="T87" s="63">
        <v>37.868798001794715</v>
      </c>
      <c r="U87" s="63">
        <v>31.213881935415174</v>
      </c>
      <c r="V87" s="63">
        <v>25.908442496272592</v>
      </c>
      <c r="W87" s="63">
        <v>24.020997855554512</v>
      </c>
      <c r="X87" s="63">
        <v>20.786855433920344</v>
      </c>
      <c r="Y87" s="63">
        <v>19.057706279910697</v>
      </c>
    </row>
    <row r="88" spans="1:25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35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</row>
    <row r="89" spans="1:25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35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</row>
    <row r="90" spans="1:25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35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</row>
    <row r="91" spans="1:25">
      <c r="A91" s="39" t="s">
        <v>64</v>
      </c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</row>
    <row r="92" spans="1:25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35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</row>
    <row r="93" spans="1:25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35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</row>
    <row r="94" spans="1:25">
      <c r="A94" s="39" t="s">
        <v>33</v>
      </c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44"/>
      <c r="N94" s="39" t="s">
        <v>34</v>
      </c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</row>
    <row r="95" spans="1:25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35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</row>
    <row r="96" spans="1:25">
      <c r="A96" s="66" t="s">
        <v>65</v>
      </c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44"/>
      <c r="N96" s="66" t="s">
        <v>66</v>
      </c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</row>
    <row r="97" spans="1:25">
      <c r="A97" s="59"/>
      <c r="B97" s="59">
        <v>1910</v>
      </c>
      <c r="C97" s="59">
        <v>1920</v>
      </c>
      <c r="D97" s="59">
        <v>1930</v>
      </c>
      <c r="E97" s="59">
        <v>1940</v>
      </c>
      <c r="F97" s="59">
        <v>1950</v>
      </c>
      <c r="G97" s="59">
        <v>1960</v>
      </c>
      <c r="H97" s="59">
        <v>1970</v>
      </c>
      <c r="I97" s="59">
        <v>1980</v>
      </c>
      <c r="J97" s="59">
        <v>1990</v>
      </c>
      <c r="K97" s="59">
        <v>2000</v>
      </c>
      <c r="L97" s="59">
        <v>2010</v>
      </c>
      <c r="M97" s="56"/>
      <c r="N97" s="59"/>
      <c r="O97" s="59">
        <v>1910</v>
      </c>
      <c r="P97" s="59">
        <v>1920</v>
      </c>
      <c r="Q97" s="59">
        <v>1930</v>
      </c>
      <c r="R97" s="59">
        <v>1940</v>
      </c>
      <c r="S97" s="59">
        <v>1950</v>
      </c>
      <c r="T97" s="59">
        <v>1960</v>
      </c>
      <c r="U97" s="59">
        <v>1970</v>
      </c>
      <c r="V97" s="59">
        <v>1980</v>
      </c>
      <c r="W97" s="59">
        <v>1990</v>
      </c>
      <c r="X97" s="59">
        <v>2000</v>
      </c>
      <c r="Y97" s="59">
        <v>2010</v>
      </c>
    </row>
    <row r="98" spans="1:25">
      <c r="A98" s="61" t="s">
        <v>49</v>
      </c>
      <c r="B98" s="62"/>
      <c r="C98" s="62"/>
      <c r="D98" s="62"/>
      <c r="E98" s="62"/>
      <c r="F98" s="62"/>
      <c r="G98" s="63">
        <v>151.52438575312314</v>
      </c>
      <c r="H98" s="63">
        <v>115.82787168753504</v>
      </c>
      <c r="I98" s="63">
        <v>96.810089137874058</v>
      </c>
      <c r="J98" s="63">
        <v>85.230980889347336</v>
      </c>
      <c r="K98" s="63">
        <v>79.047393308776549</v>
      </c>
      <c r="L98" s="63">
        <v>73.384189607620655</v>
      </c>
      <c r="M98" s="35"/>
      <c r="N98" s="61" t="s">
        <v>49</v>
      </c>
      <c r="O98" s="62"/>
      <c r="P98" s="62"/>
      <c r="Q98" s="62"/>
      <c r="R98" s="62"/>
      <c r="S98" s="62"/>
      <c r="T98" s="63">
        <v>139.02794817313298</v>
      </c>
      <c r="U98" s="63">
        <v>110.08023082276961</v>
      </c>
      <c r="V98" s="63">
        <v>93.581988869368587</v>
      </c>
      <c r="W98" s="63">
        <v>83.126156145282138</v>
      </c>
      <c r="X98" s="63">
        <v>77.214626396775429</v>
      </c>
      <c r="Y98" s="63">
        <v>71.583173598023109</v>
      </c>
    </row>
    <row r="99" spans="1:25">
      <c r="A99" s="61" t="s">
        <v>50</v>
      </c>
      <c r="B99" s="62"/>
      <c r="C99" s="62"/>
      <c r="D99" s="62"/>
      <c r="E99" s="62"/>
      <c r="F99" s="62"/>
      <c r="G99" s="63">
        <v>119.10777146381545</v>
      </c>
      <c r="H99" s="63">
        <v>102.58228682687238</v>
      </c>
      <c r="I99" s="63">
        <v>93.257975871027327</v>
      </c>
      <c r="J99" s="63">
        <v>86.415520197454128</v>
      </c>
      <c r="K99" s="63">
        <v>82.162242245869521</v>
      </c>
      <c r="L99" s="63">
        <v>78.289084132899418</v>
      </c>
      <c r="M99" s="35"/>
      <c r="N99" s="61" t="s">
        <v>50</v>
      </c>
      <c r="O99" s="62"/>
      <c r="P99" s="62"/>
      <c r="Q99" s="62"/>
      <c r="R99" s="62"/>
      <c r="S99" s="62"/>
      <c r="T99" s="63">
        <v>113.52717668150757</v>
      </c>
      <c r="U99" s="63">
        <v>98.763325443855905</v>
      </c>
      <c r="V99" s="63">
        <v>90.32564959537028</v>
      </c>
      <c r="W99" s="63">
        <v>83.886787874239758</v>
      </c>
      <c r="X99" s="63">
        <v>79.871213212496258</v>
      </c>
      <c r="Y99" s="63">
        <v>76.179287398163126</v>
      </c>
    </row>
    <row r="100" spans="1:25">
      <c r="A100" s="61" t="s">
        <v>51</v>
      </c>
      <c r="B100" s="62"/>
      <c r="C100" s="62"/>
      <c r="D100" s="62"/>
      <c r="E100" s="62"/>
      <c r="F100" s="62"/>
      <c r="G100" s="63">
        <v>108.69595046410481</v>
      </c>
      <c r="H100" s="63">
        <v>90.800931927571099</v>
      </c>
      <c r="I100" s="63">
        <v>79.317936694272774</v>
      </c>
      <c r="J100" s="63">
        <v>71.315525826186658</v>
      </c>
      <c r="K100" s="63">
        <v>65.658719266643885</v>
      </c>
      <c r="L100" s="63">
        <v>60.449939700975605</v>
      </c>
      <c r="M100" s="35"/>
      <c r="N100" s="61" t="s">
        <v>51</v>
      </c>
      <c r="O100" s="62"/>
      <c r="P100" s="62"/>
      <c r="Q100" s="62"/>
      <c r="R100" s="62"/>
      <c r="S100" s="62"/>
      <c r="T100" s="63">
        <v>106.81391243603451</v>
      </c>
      <c r="U100" s="63">
        <v>89.227314338908812</v>
      </c>
      <c r="V100" s="63">
        <v>78.177540229838328</v>
      </c>
      <c r="W100" s="63">
        <v>70.314060009979499</v>
      </c>
      <c r="X100" s="63">
        <v>64.735680108474526</v>
      </c>
      <c r="Y100" s="63">
        <v>59.557554205491506</v>
      </c>
    </row>
    <row r="101" spans="1:25">
      <c r="A101" s="61" t="s">
        <v>52</v>
      </c>
      <c r="B101" s="62"/>
      <c r="C101" s="62"/>
      <c r="D101" s="62"/>
      <c r="E101" s="62"/>
      <c r="F101" s="62"/>
      <c r="G101" s="63">
        <v>168.1827655910638</v>
      </c>
      <c r="H101" s="63">
        <v>128.99562104952057</v>
      </c>
      <c r="I101" s="63">
        <v>106.60965402934779</v>
      </c>
      <c r="J101" s="63">
        <v>94.075031703224937</v>
      </c>
      <c r="K101" s="63">
        <v>85.737748824563155</v>
      </c>
      <c r="L101" s="63">
        <v>81.982827927463603</v>
      </c>
      <c r="M101" s="35"/>
      <c r="N101" s="61" t="s">
        <v>52</v>
      </c>
      <c r="O101" s="62"/>
      <c r="P101" s="62"/>
      <c r="Q101" s="62"/>
      <c r="R101" s="62"/>
      <c r="S101" s="62"/>
      <c r="T101" s="63">
        <v>152.39602899912092</v>
      </c>
      <c r="U101" s="63">
        <v>121.32742106832688</v>
      </c>
      <c r="V101" s="63">
        <v>102.13480836139428</v>
      </c>
      <c r="W101" s="63">
        <v>90.953325858641051</v>
      </c>
      <c r="X101" s="63">
        <v>83.491420329283017</v>
      </c>
      <c r="Y101" s="63">
        <v>79.941588051315492</v>
      </c>
    </row>
    <row r="102" spans="1:25">
      <c r="A102" s="61" t="s">
        <v>53</v>
      </c>
      <c r="B102" s="62"/>
      <c r="C102" s="62"/>
      <c r="D102" s="62"/>
      <c r="E102" s="62"/>
      <c r="F102" s="62"/>
      <c r="G102" s="63">
        <v>168.96277408997105</v>
      </c>
      <c r="H102" s="63">
        <v>145.79214170220851</v>
      </c>
      <c r="I102" s="63">
        <v>140.60340022502783</v>
      </c>
      <c r="J102" s="63">
        <v>137.11787115897567</v>
      </c>
      <c r="K102" s="63">
        <v>130.79758380806442</v>
      </c>
      <c r="L102" s="63">
        <v>125.31050848727121</v>
      </c>
      <c r="M102" s="35"/>
      <c r="N102" s="61" t="s">
        <v>53</v>
      </c>
      <c r="O102" s="62"/>
      <c r="P102" s="62"/>
      <c r="Q102" s="62"/>
      <c r="R102" s="62"/>
      <c r="S102" s="62"/>
      <c r="T102" s="63">
        <v>152.13787542567326</v>
      </c>
      <c r="U102" s="63">
        <v>134.77706957458486</v>
      </c>
      <c r="V102" s="63">
        <v>130.60406752303493</v>
      </c>
      <c r="W102" s="63">
        <v>127.44134428190725</v>
      </c>
      <c r="X102" s="63">
        <v>121.83244268465987</v>
      </c>
      <c r="Y102" s="63">
        <v>116.77728096468473</v>
      </c>
    </row>
    <row r="103" spans="1:25">
      <c r="A103" s="61" t="s">
        <v>54</v>
      </c>
      <c r="B103" s="62"/>
      <c r="C103" s="62"/>
      <c r="D103" s="62"/>
      <c r="E103" s="62"/>
      <c r="F103" s="62"/>
      <c r="G103" s="63">
        <v>129.07940874566117</v>
      </c>
      <c r="H103" s="63">
        <v>110.68827886747597</v>
      </c>
      <c r="I103" s="63">
        <v>98.702042587070437</v>
      </c>
      <c r="J103" s="63">
        <v>90.814644783660299</v>
      </c>
      <c r="K103" s="63">
        <v>84.328506783088642</v>
      </c>
      <c r="L103" s="63">
        <v>79.236638152573363</v>
      </c>
      <c r="M103" s="35"/>
      <c r="N103" s="61" t="s">
        <v>54</v>
      </c>
      <c r="O103" s="62"/>
      <c r="P103" s="62"/>
      <c r="Q103" s="62"/>
      <c r="R103" s="62"/>
      <c r="S103" s="62"/>
      <c r="T103" s="63">
        <v>121.42976959061511</v>
      </c>
      <c r="U103" s="63">
        <v>105.62450661980915</v>
      </c>
      <c r="V103" s="63">
        <v>95.044308927398362</v>
      </c>
      <c r="W103" s="63">
        <v>87.760309895264328</v>
      </c>
      <c r="X103" s="63">
        <v>81.847617198759522</v>
      </c>
      <c r="Y103" s="63">
        <v>77.115795718493089</v>
      </c>
    </row>
    <row r="104" spans="1:25">
      <c r="A104" s="61" t="s">
        <v>55</v>
      </c>
      <c r="B104" s="63"/>
      <c r="C104" s="63"/>
      <c r="D104" s="63"/>
      <c r="E104" s="63"/>
      <c r="F104" s="63">
        <v>179.33760596578031</v>
      </c>
      <c r="G104" s="63">
        <v>143.32066341385016</v>
      </c>
      <c r="H104" s="63">
        <v>119.09354980347365</v>
      </c>
      <c r="I104" s="63">
        <v>105.36498704800991</v>
      </c>
      <c r="J104" s="63">
        <v>97.116688410567491</v>
      </c>
      <c r="K104" s="63">
        <v>89.755975462439807</v>
      </c>
      <c r="L104" s="63">
        <v>84.688624089450201</v>
      </c>
      <c r="M104" s="35"/>
      <c r="N104" s="61" t="s">
        <v>55</v>
      </c>
      <c r="O104" s="63"/>
      <c r="P104" s="63"/>
      <c r="Q104" s="63"/>
      <c r="R104" s="63"/>
      <c r="S104" s="63">
        <v>168.59409474645048</v>
      </c>
      <c r="T104" s="63">
        <v>132.90664398579008</v>
      </c>
      <c r="U104" s="63">
        <v>112.78290501051583</v>
      </c>
      <c r="V104" s="63">
        <v>100.7994365943654</v>
      </c>
      <c r="W104" s="63">
        <v>93.235665214153059</v>
      </c>
      <c r="X104" s="63">
        <v>86.568171859876259</v>
      </c>
      <c r="Y104" s="63">
        <v>81.855296736130526</v>
      </c>
    </row>
    <row r="105" spans="1:25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35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</row>
    <row r="106" spans="1:25">
      <c r="A106" s="66" t="s">
        <v>67</v>
      </c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35"/>
      <c r="N106" s="66" t="s">
        <v>68</v>
      </c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</row>
    <row r="107" spans="1:25">
      <c r="A107" s="59"/>
      <c r="B107" s="59">
        <v>1910</v>
      </c>
      <c r="C107" s="59">
        <v>1920</v>
      </c>
      <c r="D107" s="59">
        <v>1930</v>
      </c>
      <c r="E107" s="59">
        <v>1940</v>
      </c>
      <c r="F107" s="59">
        <v>1950</v>
      </c>
      <c r="G107" s="59">
        <v>1960</v>
      </c>
      <c r="H107" s="59">
        <v>1970</v>
      </c>
      <c r="I107" s="59">
        <v>1980</v>
      </c>
      <c r="J107" s="59">
        <v>1990</v>
      </c>
      <c r="K107" s="59">
        <v>2000</v>
      </c>
      <c r="L107" s="59">
        <v>2010</v>
      </c>
      <c r="M107" s="56"/>
      <c r="N107" s="59"/>
      <c r="O107" s="59">
        <v>1910</v>
      </c>
      <c r="P107" s="59">
        <v>1920</v>
      </c>
      <c r="Q107" s="59">
        <v>1930</v>
      </c>
      <c r="R107" s="59">
        <v>1940</v>
      </c>
      <c r="S107" s="59">
        <v>1950</v>
      </c>
      <c r="T107" s="59">
        <v>1960</v>
      </c>
      <c r="U107" s="59">
        <v>1970</v>
      </c>
      <c r="V107" s="59">
        <v>1980</v>
      </c>
      <c r="W107" s="59">
        <v>1990</v>
      </c>
      <c r="X107" s="59">
        <v>2000</v>
      </c>
      <c r="Y107" s="59">
        <v>2010</v>
      </c>
    </row>
    <row r="108" spans="1:25">
      <c r="A108" s="61" t="s">
        <v>49</v>
      </c>
      <c r="B108" s="62"/>
      <c r="C108" s="62"/>
      <c r="D108" s="62"/>
      <c r="E108" s="62"/>
      <c r="F108" s="62"/>
      <c r="G108" s="63">
        <v>121.44266704421369</v>
      </c>
      <c r="H108" s="63">
        <v>90.468565686305141</v>
      </c>
      <c r="I108" s="63">
        <v>74.190901812707295</v>
      </c>
      <c r="J108" s="63">
        <v>64.784192419711118</v>
      </c>
      <c r="K108" s="63">
        <v>60.004078221495234</v>
      </c>
      <c r="L108" s="63">
        <v>55.560897623255812</v>
      </c>
      <c r="M108" s="35"/>
      <c r="N108" s="61" t="s">
        <v>49</v>
      </c>
      <c r="O108" s="62"/>
      <c r="P108" s="62"/>
      <c r="Q108" s="62"/>
      <c r="R108" s="62"/>
      <c r="S108" s="62"/>
      <c r="T108" s="63">
        <v>109.74202415832373</v>
      </c>
      <c r="U108" s="63">
        <v>85.361020355272359</v>
      </c>
      <c r="V108" s="63">
        <v>71.353579584330504</v>
      </c>
      <c r="W108" s="63">
        <v>62.997622382002945</v>
      </c>
      <c r="X108" s="63">
        <v>58.452773123170033</v>
      </c>
      <c r="Y108" s="63">
        <v>54.015232535446771</v>
      </c>
    </row>
    <row r="109" spans="1:25">
      <c r="A109" s="61" t="s">
        <v>50</v>
      </c>
      <c r="B109" s="62"/>
      <c r="C109" s="62"/>
      <c r="D109" s="62"/>
      <c r="E109" s="62"/>
      <c r="F109" s="62"/>
      <c r="G109" s="63">
        <v>89.026052754906004</v>
      </c>
      <c r="H109" s="63">
        <v>77.22298082564248</v>
      </c>
      <c r="I109" s="63">
        <v>70.638788545860578</v>
      </c>
      <c r="J109" s="63">
        <v>65.968731727817911</v>
      </c>
      <c r="K109" s="63">
        <v>63.118927158588221</v>
      </c>
      <c r="L109" s="63">
        <v>60.465792148534575</v>
      </c>
      <c r="M109" s="35"/>
      <c r="N109" s="61" t="s">
        <v>50</v>
      </c>
      <c r="O109" s="62"/>
      <c r="P109" s="62"/>
      <c r="Q109" s="62"/>
      <c r="R109" s="62"/>
      <c r="S109" s="62"/>
      <c r="T109" s="63">
        <v>84.241252666698315</v>
      </c>
      <c r="U109" s="63">
        <v>74.044114976358657</v>
      </c>
      <c r="V109" s="63">
        <v>68.097240310332197</v>
      </c>
      <c r="W109" s="63">
        <v>63.758254110960571</v>
      </c>
      <c r="X109" s="63">
        <v>61.109359938890861</v>
      </c>
      <c r="Y109" s="63">
        <v>58.611346335586781</v>
      </c>
    </row>
    <row r="110" spans="1:25">
      <c r="A110" s="61" t="s">
        <v>51</v>
      </c>
      <c r="B110" s="62"/>
      <c r="C110" s="62"/>
      <c r="D110" s="62"/>
      <c r="E110" s="62"/>
      <c r="F110" s="62"/>
      <c r="G110" s="63">
        <v>78.614231755195362</v>
      </c>
      <c r="H110" s="63">
        <v>65.441625926341203</v>
      </c>
      <c r="I110" s="63">
        <v>56.698749369106025</v>
      </c>
      <c r="J110" s="63">
        <v>50.868737356550433</v>
      </c>
      <c r="K110" s="63">
        <v>46.615404179362578</v>
      </c>
      <c r="L110" s="63">
        <v>42.626647716610762</v>
      </c>
      <c r="M110" s="35"/>
      <c r="N110" s="61" t="s">
        <v>51</v>
      </c>
      <c r="O110" s="62"/>
      <c r="P110" s="62"/>
      <c r="Q110" s="62"/>
      <c r="R110" s="62"/>
      <c r="S110" s="62"/>
      <c r="T110" s="63">
        <v>77.52798842122526</v>
      </c>
      <c r="U110" s="63">
        <v>64.508103871411564</v>
      </c>
      <c r="V110" s="63">
        <v>55.949130944800245</v>
      </c>
      <c r="W110" s="63">
        <v>50.185526246700313</v>
      </c>
      <c r="X110" s="63">
        <v>45.973826834869122</v>
      </c>
      <c r="Y110" s="63">
        <v>41.989613142915168</v>
      </c>
    </row>
    <row r="111" spans="1:25">
      <c r="A111" s="61" t="s">
        <v>52</v>
      </c>
      <c r="B111" s="62"/>
      <c r="C111" s="62"/>
      <c r="D111" s="62"/>
      <c r="E111" s="62"/>
      <c r="F111" s="62"/>
      <c r="G111" s="63">
        <v>138.10104688215432</v>
      </c>
      <c r="H111" s="63">
        <v>103.63631504829067</v>
      </c>
      <c r="I111" s="63">
        <v>83.990466704181046</v>
      </c>
      <c r="J111" s="63">
        <v>73.628243233588705</v>
      </c>
      <c r="K111" s="63">
        <v>66.694433737281855</v>
      </c>
      <c r="L111" s="63">
        <v>64.159535943098746</v>
      </c>
      <c r="M111" s="35"/>
      <c r="N111" s="61" t="s">
        <v>52</v>
      </c>
      <c r="O111" s="62"/>
      <c r="P111" s="62"/>
      <c r="Q111" s="62"/>
      <c r="R111" s="62"/>
      <c r="S111" s="62"/>
      <c r="T111" s="63">
        <v>123.11010498431165</v>
      </c>
      <c r="U111" s="63">
        <v>96.608210600829622</v>
      </c>
      <c r="V111" s="63">
        <v>79.906399076356195</v>
      </c>
      <c r="W111" s="63">
        <v>70.824792095361857</v>
      </c>
      <c r="X111" s="63">
        <v>64.72956705567762</v>
      </c>
      <c r="Y111" s="63">
        <v>62.373646988739154</v>
      </c>
    </row>
    <row r="112" spans="1:25">
      <c r="A112" s="61" t="s">
        <v>53</v>
      </c>
      <c r="B112" s="62"/>
      <c r="C112" s="62"/>
      <c r="D112" s="62"/>
      <c r="E112" s="62"/>
      <c r="F112" s="62"/>
      <c r="G112" s="63">
        <v>138.8810553810616</v>
      </c>
      <c r="H112" s="63">
        <v>120.43283570097861</v>
      </c>
      <c r="I112" s="63">
        <v>117.98421289986106</v>
      </c>
      <c r="J112" s="63">
        <v>116.67108268933946</v>
      </c>
      <c r="K112" s="63">
        <v>111.75426872078313</v>
      </c>
      <c r="L112" s="63">
        <v>107.48721650290636</v>
      </c>
      <c r="M112" s="35"/>
      <c r="N112" s="61" t="s">
        <v>53</v>
      </c>
      <c r="O112" s="62"/>
      <c r="P112" s="62"/>
      <c r="Q112" s="62"/>
      <c r="R112" s="62"/>
      <c r="S112" s="62"/>
      <c r="T112" s="63">
        <v>122.85195141086399</v>
      </c>
      <c r="U112" s="63">
        <v>110.05785910708761</v>
      </c>
      <c r="V112" s="63">
        <v>108.37565823799684</v>
      </c>
      <c r="W112" s="63">
        <v>107.31281051862805</v>
      </c>
      <c r="X112" s="63">
        <v>103.07058941105447</v>
      </c>
      <c r="Y112" s="63">
        <v>99.209339902108411</v>
      </c>
    </row>
    <row r="113" spans="1:25">
      <c r="A113" s="61" t="s">
        <v>54</v>
      </c>
      <c r="B113" s="62"/>
      <c r="C113" s="62"/>
      <c r="D113" s="62"/>
      <c r="E113" s="62"/>
      <c r="F113" s="62"/>
      <c r="G113" s="63">
        <v>98.997690036751706</v>
      </c>
      <c r="H113" s="63">
        <v>85.328972866246076</v>
      </c>
      <c r="I113" s="63">
        <v>76.082855261903688</v>
      </c>
      <c r="J113" s="63">
        <v>70.367856314024081</v>
      </c>
      <c r="K113" s="63">
        <v>65.285191695807328</v>
      </c>
      <c r="L113" s="63">
        <v>61.413346168208527</v>
      </c>
      <c r="M113" s="35"/>
      <c r="N113" s="61" t="s">
        <v>54</v>
      </c>
      <c r="O113" s="62"/>
      <c r="P113" s="62"/>
      <c r="Q113" s="62"/>
      <c r="R113" s="62"/>
      <c r="S113" s="62"/>
      <c r="T113" s="63">
        <v>92.143845575805841</v>
      </c>
      <c r="U113" s="63">
        <v>80.905296152311891</v>
      </c>
      <c r="V113" s="63">
        <v>72.815899642360279</v>
      </c>
      <c r="W113" s="63">
        <v>67.631776131985134</v>
      </c>
      <c r="X113" s="63">
        <v>63.085763925154126</v>
      </c>
      <c r="Y113" s="63">
        <v>59.547854655916758</v>
      </c>
    </row>
    <row r="114" spans="1:25">
      <c r="A114" s="61" t="s">
        <v>55</v>
      </c>
      <c r="B114" s="63">
        <v>365.55752761882377</v>
      </c>
      <c r="C114" s="63">
        <v>219.13083941884875</v>
      </c>
      <c r="D114" s="63">
        <v>185.6692512916681</v>
      </c>
      <c r="E114" s="63">
        <v>161.32577009116329</v>
      </c>
      <c r="F114" s="63">
        <v>141.04775600206693</v>
      </c>
      <c r="G114" s="63">
        <v>113.23894470494071</v>
      </c>
      <c r="H114" s="63">
        <v>93.734243802243753</v>
      </c>
      <c r="I114" s="63">
        <v>82.745799722843145</v>
      </c>
      <c r="J114" s="63">
        <v>76.669899940931273</v>
      </c>
      <c r="K114" s="63">
        <v>70.712660375158492</v>
      </c>
      <c r="L114" s="63">
        <v>66.865332105085372</v>
      </c>
      <c r="M114" s="35"/>
      <c r="N114" s="61" t="s">
        <v>55</v>
      </c>
      <c r="O114" s="63">
        <v>353.60959032449171</v>
      </c>
      <c r="P114" s="63">
        <v>208.50552745760314</v>
      </c>
      <c r="Q114" s="63">
        <v>175.88588471529323</v>
      </c>
      <c r="R114" s="63">
        <v>151.56252685326274</v>
      </c>
      <c r="S114" s="63">
        <v>131.34129648290008</v>
      </c>
      <c r="T114" s="63">
        <v>103.62071997098083</v>
      </c>
      <c r="U114" s="63">
        <v>88.063694543018585</v>
      </c>
      <c r="V114" s="63">
        <v>78.57102730932732</v>
      </c>
      <c r="W114" s="63">
        <v>73.107131450873865</v>
      </c>
      <c r="X114" s="63">
        <v>67.806318586270862</v>
      </c>
      <c r="Y114" s="63">
        <v>64.287355673554174</v>
      </c>
    </row>
    <row r="115" spans="1:25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35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</row>
    <row r="116" spans="1:25">
      <c r="A116" s="66" t="s">
        <v>69</v>
      </c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35"/>
      <c r="N116" s="66" t="s">
        <v>70</v>
      </c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</row>
    <row r="117" spans="1:25">
      <c r="A117" s="59"/>
      <c r="B117" s="59">
        <v>1910</v>
      </c>
      <c r="C117" s="59">
        <v>1920</v>
      </c>
      <c r="D117" s="59">
        <v>1930</v>
      </c>
      <c r="E117" s="59">
        <v>1940</v>
      </c>
      <c r="F117" s="59">
        <v>1950</v>
      </c>
      <c r="G117" s="59">
        <v>1960</v>
      </c>
      <c r="H117" s="59">
        <v>1970</v>
      </c>
      <c r="I117" s="59">
        <v>1980</v>
      </c>
      <c r="J117" s="59">
        <v>1990</v>
      </c>
      <c r="K117" s="59">
        <v>2000</v>
      </c>
      <c r="L117" s="59">
        <v>2010</v>
      </c>
      <c r="M117" s="56"/>
      <c r="N117" s="59"/>
      <c r="O117" s="59">
        <v>1910</v>
      </c>
      <c r="P117" s="59">
        <v>1920</v>
      </c>
      <c r="Q117" s="59">
        <v>1930</v>
      </c>
      <c r="R117" s="59">
        <v>1940</v>
      </c>
      <c r="S117" s="59">
        <v>1950</v>
      </c>
      <c r="T117" s="59">
        <v>1960</v>
      </c>
      <c r="U117" s="59">
        <v>1970</v>
      </c>
      <c r="V117" s="59">
        <v>1980</v>
      </c>
      <c r="W117" s="59">
        <v>1990</v>
      </c>
      <c r="X117" s="59">
        <v>2000</v>
      </c>
      <c r="Y117" s="59">
        <v>2010</v>
      </c>
    </row>
    <row r="118" spans="1:25">
      <c r="A118" s="63" t="s">
        <v>49</v>
      </c>
      <c r="B118" s="63"/>
      <c r="C118" s="63"/>
      <c r="D118" s="63"/>
      <c r="E118" s="63"/>
      <c r="F118" s="63"/>
      <c r="G118" s="63">
        <v>122.33671261999744</v>
      </c>
      <c r="H118" s="63">
        <v>94.342369748103664</v>
      </c>
      <c r="I118" s="63">
        <v>78.81374953288632</v>
      </c>
      <c r="J118" s="63">
        <v>69.280961609760126</v>
      </c>
      <c r="K118" s="63">
        <v>66.441054707761722</v>
      </c>
      <c r="L118" s="63">
        <v>61.969938289659581</v>
      </c>
      <c r="M118" s="35"/>
      <c r="N118" s="61" t="s">
        <v>49</v>
      </c>
      <c r="O118" s="62"/>
      <c r="P118" s="62"/>
      <c r="Q118" s="62"/>
      <c r="R118" s="62"/>
      <c r="S118" s="62"/>
      <c r="T118" s="63">
        <v>110.61241826883128</v>
      </c>
      <c r="U118" s="63">
        <v>89.137045531544899</v>
      </c>
      <c r="V118" s="63">
        <v>75.896561156096013</v>
      </c>
      <c r="W118" s="63">
        <v>67.424399261999966</v>
      </c>
      <c r="X118" s="63">
        <v>64.794610550501147</v>
      </c>
      <c r="Y118" s="63">
        <v>60.332452092518906</v>
      </c>
    </row>
    <row r="119" spans="1:25">
      <c r="A119" s="63" t="s">
        <v>50</v>
      </c>
      <c r="B119" s="63"/>
      <c r="C119" s="63"/>
      <c r="D119" s="63"/>
      <c r="E119" s="63"/>
      <c r="F119" s="63"/>
      <c r="G119" s="63">
        <v>89.920098330689754</v>
      </c>
      <c r="H119" s="63">
        <v>81.09678488744099</v>
      </c>
      <c r="I119" s="63">
        <v>75.261636266039602</v>
      </c>
      <c r="J119" s="63">
        <v>70.465500917866933</v>
      </c>
      <c r="K119" s="63">
        <v>69.555903644854695</v>
      </c>
      <c r="L119" s="63">
        <v>66.874832814938344</v>
      </c>
      <c r="M119" s="35"/>
      <c r="N119" s="61" t="s">
        <v>50</v>
      </c>
      <c r="O119" s="62"/>
      <c r="P119" s="62"/>
      <c r="Q119" s="62"/>
      <c r="R119" s="62"/>
      <c r="S119" s="62"/>
      <c r="T119" s="63">
        <v>85.111646777205863</v>
      </c>
      <c r="U119" s="63">
        <v>77.820140152631197</v>
      </c>
      <c r="V119" s="63">
        <v>72.640221882097705</v>
      </c>
      <c r="W119" s="63">
        <v>68.185030990957586</v>
      </c>
      <c r="X119" s="63">
        <v>67.451197366221976</v>
      </c>
      <c r="Y119" s="63">
        <v>64.928565892658909</v>
      </c>
    </row>
    <row r="120" spans="1:25">
      <c r="A120" s="63" t="s">
        <v>51</v>
      </c>
      <c r="B120" s="63"/>
      <c r="C120" s="63"/>
      <c r="D120" s="63"/>
      <c r="E120" s="63"/>
      <c r="F120" s="63"/>
      <c r="G120" s="63">
        <v>79.508277330979112</v>
      </c>
      <c r="H120" s="63">
        <v>69.315429988139726</v>
      </c>
      <c r="I120" s="63">
        <v>61.321597089285042</v>
      </c>
      <c r="J120" s="63">
        <v>55.365506546599448</v>
      </c>
      <c r="K120" s="63">
        <v>53.052380665629059</v>
      </c>
      <c r="L120" s="63">
        <v>49.035688383014531</v>
      </c>
      <c r="M120" s="35"/>
      <c r="N120" s="61" t="s">
        <v>51</v>
      </c>
      <c r="O120" s="62"/>
      <c r="P120" s="62"/>
      <c r="Q120" s="62"/>
      <c r="R120" s="62"/>
      <c r="S120" s="62"/>
      <c r="T120" s="63">
        <v>78.398382531732807</v>
      </c>
      <c r="U120" s="63">
        <v>68.284129047684104</v>
      </c>
      <c r="V120" s="63">
        <v>60.492112516565747</v>
      </c>
      <c r="W120" s="63">
        <v>54.612303126697334</v>
      </c>
      <c r="X120" s="63">
        <v>52.315664262200229</v>
      </c>
      <c r="Y120" s="63">
        <v>48.306832699987297</v>
      </c>
    </row>
    <row r="121" spans="1:25">
      <c r="A121" s="63" t="s">
        <v>52</v>
      </c>
      <c r="B121" s="63"/>
      <c r="C121" s="63"/>
      <c r="D121" s="63"/>
      <c r="E121" s="63"/>
      <c r="F121" s="63"/>
      <c r="G121" s="63">
        <v>138.99509245793809</v>
      </c>
      <c r="H121" s="63">
        <v>107.51011911008919</v>
      </c>
      <c r="I121" s="63">
        <v>88.613314424360055</v>
      </c>
      <c r="J121" s="63">
        <v>78.125012423637727</v>
      </c>
      <c r="K121" s="63">
        <v>73.131410223548329</v>
      </c>
      <c r="L121" s="63">
        <v>70.568576609502514</v>
      </c>
      <c r="M121" s="35"/>
      <c r="N121" s="61" t="s">
        <v>52</v>
      </c>
      <c r="O121" s="62"/>
      <c r="P121" s="62"/>
      <c r="Q121" s="62"/>
      <c r="R121" s="62"/>
      <c r="S121" s="62"/>
      <c r="T121" s="63">
        <v>123.98049909481919</v>
      </c>
      <c r="U121" s="63">
        <v>100.38423577710216</v>
      </c>
      <c r="V121" s="63">
        <v>84.449380648121704</v>
      </c>
      <c r="W121" s="63">
        <v>75.251568975358879</v>
      </c>
      <c r="X121" s="63">
        <v>71.07140448300872</v>
      </c>
      <c r="Y121" s="63">
        <v>68.690866545811275</v>
      </c>
    </row>
    <row r="122" spans="1:25">
      <c r="A122" s="63" t="s">
        <v>53</v>
      </c>
      <c r="B122" s="63"/>
      <c r="C122" s="63"/>
      <c r="D122" s="63"/>
      <c r="E122" s="63"/>
      <c r="F122" s="63"/>
      <c r="G122" s="63">
        <v>139.77510095684534</v>
      </c>
      <c r="H122" s="63">
        <v>124.30663976277712</v>
      </c>
      <c r="I122" s="63">
        <v>122.60706062004009</v>
      </c>
      <c r="J122" s="63">
        <v>121.16785187938848</v>
      </c>
      <c r="K122" s="63">
        <v>118.1912452070496</v>
      </c>
      <c r="L122" s="63">
        <v>113.89625716931013</v>
      </c>
      <c r="M122" s="35"/>
      <c r="N122" s="61" t="s">
        <v>53</v>
      </c>
      <c r="O122" s="62"/>
      <c r="P122" s="62"/>
      <c r="Q122" s="62"/>
      <c r="R122" s="62"/>
      <c r="S122" s="62"/>
      <c r="T122" s="63">
        <v>123.72234552137155</v>
      </c>
      <c r="U122" s="63">
        <v>113.83388428336016</v>
      </c>
      <c r="V122" s="63">
        <v>112.91863980976234</v>
      </c>
      <c r="W122" s="63">
        <v>111.73958739862508</v>
      </c>
      <c r="X122" s="63">
        <v>109.41242683838557</v>
      </c>
      <c r="Y122" s="63">
        <v>105.52655945918053</v>
      </c>
    </row>
    <row r="123" spans="1:25">
      <c r="A123" s="63" t="s">
        <v>54</v>
      </c>
      <c r="B123" s="63"/>
      <c r="C123" s="63"/>
      <c r="D123" s="63"/>
      <c r="E123" s="63"/>
      <c r="F123" s="63"/>
      <c r="G123" s="63">
        <v>99.891735612535456</v>
      </c>
      <c r="H123" s="63">
        <v>89.202776928044599</v>
      </c>
      <c r="I123" s="63">
        <v>80.705702982082698</v>
      </c>
      <c r="J123" s="63">
        <v>74.864625504073103</v>
      </c>
      <c r="K123" s="63">
        <v>71.722168182073816</v>
      </c>
      <c r="L123" s="63">
        <v>67.822386834612303</v>
      </c>
      <c r="M123" s="35"/>
      <c r="N123" s="61" t="s">
        <v>54</v>
      </c>
      <c r="O123" s="62"/>
      <c r="P123" s="62"/>
      <c r="Q123" s="62"/>
      <c r="R123" s="62"/>
      <c r="S123" s="62"/>
      <c r="T123" s="63">
        <v>93.014239686313402</v>
      </c>
      <c r="U123" s="63">
        <v>84.681321328584431</v>
      </c>
      <c r="V123" s="63">
        <v>77.358881214125773</v>
      </c>
      <c r="W123" s="63">
        <v>72.058553011982156</v>
      </c>
      <c r="X123" s="63">
        <v>69.42760135248524</v>
      </c>
      <c r="Y123" s="63">
        <v>65.865074212988887</v>
      </c>
    </row>
    <row r="124" spans="1:25">
      <c r="A124" s="63" t="s">
        <v>55</v>
      </c>
      <c r="B124" s="63">
        <v>365.55752761882377</v>
      </c>
      <c r="C124" s="63">
        <v>219.13083941884875</v>
      </c>
      <c r="D124" s="63">
        <v>185.6692512916681</v>
      </c>
      <c r="E124" s="63">
        <v>161.32577009116329</v>
      </c>
      <c r="F124" s="63">
        <v>141.12816836252478</v>
      </c>
      <c r="G124" s="63">
        <v>114.13299028072447</v>
      </c>
      <c r="H124" s="63">
        <v>97.608047864042277</v>
      </c>
      <c r="I124" s="63">
        <v>87.368647443022169</v>
      </c>
      <c r="J124" s="63">
        <v>81.166669130980296</v>
      </c>
      <c r="K124" s="63">
        <v>77.14963686142498</v>
      </c>
      <c r="L124" s="63">
        <v>73.274372771489141</v>
      </c>
      <c r="M124" s="35"/>
      <c r="N124" s="61" t="s">
        <v>55</v>
      </c>
      <c r="O124" s="63">
        <v>353.60959032449171</v>
      </c>
      <c r="P124" s="63">
        <v>208.50552745760314</v>
      </c>
      <c r="Q124" s="63">
        <v>175.88588471529323</v>
      </c>
      <c r="R124" s="63">
        <v>151.56252685326274</v>
      </c>
      <c r="S124" s="63">
        <v>131.41953093523853</v>
      </c>
      <c r="T124" s="63">
        <v>104.49111408148838</v>
      </c>
      <c r="U124" s="63">
        <v>91.839719719291111</v>
      </c>
      <c r="V124" s="63">
        <v>83.114008881092815</v>
      </c>
      <c r="W124" s="63">
        <v>77.533908330870887</v>
      </c>
      <c r="X124" s="63">
        <v>74.148156013601977</v>
      </c>
      <c r="Y124" s="63">
        <v>70.60457523062631</v>
      </c>
    </row>
  </sheetData>
  <hyperlinks>
    <hyperlink ref="A2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REFS</vt:lpstr>
      <vt:lpstr>FIN_ETA</vt:lpstr>
      <vt:lpstr>Calcs</vt:lpstr>
      <vt:lpstr>Smith_2020</vt:lpstr>
      <vt:lpstr>OTA_1983</vt:lpstr>
      <vt:lpstr>Patzek_2004</vt:lpstr>
      <vt:lpstr>Kermeli_2017</vt:lpstr>
      <vt:lpstr>DOE_2007</vt:lpstr>
      <vt:lpstr>Rafiqul_2005</vt:lpstr>
      <vt:lpstr>IEA_2007</vt:lpstr>
      <vt:lpstr>IEA 2009</vt:lpstr>
      <vt:lpstr>Heath_1985</vt:lpstr>
      <vt:lpstr>Constant_1992</vt:lpstr>
      <vt:lpstr>Sheldrick_1987</vt:lpstr>
      <vt:lpstr>Goldemberg_1985</vt:lpstr>
      <vt:lpstr>DOE_2000</vt:lpstr>
      <vt:lpstr>Aguilera_2015_b</vt:lpstr>
      <vt:lpstr>Saygin_2011</vt:lpstr>
      <vt:lpstr>ChemExergy</vt:lpstr>
      <vt:lpstr>Worrel_2000</vt:lpstr>
      <vt:lpstr>Schumacher_1999</vt:lpstr>
      <vt:lpstr>Dahmus_2014</vt:lpstr>
      <vt:lpstr>IndianMOP_2015</vt:lpstr>
      <vt:lpstr>Aguilera_2015_a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User</cp:lastModifiedBy>
  <dcterms:created xsi:type="dcterms:W3CDTF">2015-06-05T18:17:20Z</dcterms:created>
  <dcterms:modified xsi:type="dcterms:W3CDTF">2022-07-07T14:58:07Z</dcterms:modified>
</cp:coreProperties>
</file>