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mkh2/Dropbox/Fellowship 1960-2015 PFU database/InputData/v1.1/Machines - Data/Computers/"/>
    </mc:Choice>
  </mc:AlternateContent>
  <xr:revisionPtr revIDLastSave="0" documentId="13_ncr:1_{59273C2E-93BF-5F4A-94D3-23A86EE83C6B}" xr6:coauthVersionLast="47" xr6:coauthVersionMax="47" xr10:uidLastSave="{00000000-0000-0000-0000-000000000000}"/>
  <bookViews>
    <workbookView xWindow="0" yWindow="760" windowWidth="29040" windowHeight="28040" tabRatio="500" activeTab="1" xr2:uid="{00000000-000D-0000-FFFF-FFFF00000000}"/>
  </bookViews>
  <sheets>
    <sheet name="REFS" sheetId="7" r:id="rId1"/>
    <sheet name="FIN_ETA" sheetId="6" r:id="rId2"/>
    <sheet name="Calcs" sheetId="2" r:id="rId3"/>
    <sheet name="LandauerLimit" sheetId="9" r:id="rId4"/>
    <sheet name="Koomey et al (2011)" sheetId="1" r:id="rId5"/>
    <sheet name="Miller_2017" sheetId="5" r:id="rId6"/>
    <sheet name="Gualtieri_2011" sheetId="3" r:id="rId7"/>
  </sheets>
  <definedNames>
    <definedName name="LandauerLimit">LandauerLimit!$B$3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" i="3" l="1"/>
  <c r="B3" i="9"/>
  <c r="D5" i="5" l="1"/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2" i="2"/>
  <c r="E66" i="2"/>
  <c r="E67" i="2"/>
  <c r="E68" i="2"/>
  <c r="E69" i="2"/>
  <c r="E70" i="2"/>
  <c r="E71" i="2"/>
  <c r="E72" i="2"/>
  <c r="E73" i="2"/>
  <c r="E74" i="2"/>
  <c r="E75" i="2"/>
  <c r="E76" i="2"/>
  <c r="C5" i="5"/>
  <c r="F5" i="5"/>
  <c r="B3" i="2"/>
  <c r="C3" i="2" s="1"/>
  <c r="F3" i="2" s="1"/>
  <c r="B4" i="2"/>
  <c r="B5" i="2"/>
  <c r="B6" i="2"/>
  <c r="B7" i="2"/>
  <c r="B8" i="2"/>
  <c r="B9" i="2"/>
  <c r="B10" i="2"/>
  <c r="C10" i="2" s="1"/>
  <c r="F10" i="2" s="1"/>
  <c r="B11" i="2"/>
  <c r="C11" i="2" s="1"/>
  <c r="F11" i="2" s="1"/>
  <c r="B12" i="2"/>
  <c r="B13" i="2"/>
  <c r="B14" i="2"/>
  <c r="B15" i="2"/>
  <c r="B16" i="2"/>
  <c r="B17" i="2"/>
  <c r="B18" i="2"/>
  <c r="C18" i="2" s="1"/>
  <c r="F18" i="2" s="1"/>
  <c r="B19" i="2"/>
  <c r="C19" i="2" s="1"/>
  <c r="F19" i="2" s="1"/>
  <c r="B20" i="2"/>
  <c r="B21" i="2"/>
  <c r="B22" i="2"/>
  <c r="B23" i="2"/>
  <c r="B24" i="2"/>
  <c r="B25" i="2"/>
  <c r="B26" i="2"/>
  <c r="C26" i="2" s="1"/>
  <c r="F26" i="2" s="1"/>
  <c r="B27" i="2"/>
  <c r="C27" i="2" s="1"/>
  <c r="F27" i="2" s="1"/>
  <c r="B28" i="2"/>
  <c r="B29" i="2"/>
  <c r="B30" i="2"/>
  <c r="B31" i="2"/>
  <c r="B32" i="2"/>
  <c r="B33" i="2"/>
  <c r="B34" i="2"/>
  <c r="C34" i="2" s="1"/>
  <c r="F34" i="2" s="1"/>
  <c r="B35" i="2"/>
  <c r="C35" i="2" s="1"/>
  <c r="F35" i="2" s="1"/>
  <c r="B36" i="2"/>
  <c r="B37" i="2"/>
  <c r="B38" i="2"/>
  <c r="B39" i="2"/>
  <c r="B40" i="2"/>
  <c r="B41" i="2"/>
  <c r="B42" i="2"/>
  <c r="C42" i="2" s="1"/>
  <c r="F42" i="2" s="1"/>
  <c r="B43" i="2"/>
  <c r="C43" i="2" s="1"/>
  <c r="F43" i="2" s="1"/>
  <c r="B44" i="2"/>
  <c r="B45" i="2"/>
  <c r="B46" i="2"/>
  <c r="B47" i="2"/>
  <c r="B48" i="2"/>
  <c r="B49" i="2"/>
  <c r="B50" i="2"/>
  <c r="C50" i="2" s="1"/>
  <c r="F50" i="2" s="1"/>
  <c r="B51" i="2"/>
  <c r="C51" i="2" s="1"/>
  <c r="F51" i="2" s="1"/>
  <c r="B52" i="2"/>
  <c r="B53" i="2"/>
  <c r="B54" i="2"/>
  <c r="B55" i="2"/>
  <c r="B56" i="2"/>
  <c r="C56" i="2" s="1"/>
  <c r="B57" i="2"/>
  <c r="B58" i="2"/>
  <c r="C58" i="2" s="1"/>
  <c r="B59" i="2"/>
  <c r="C59" i="2" s="1"/>
  <c r="B60" i="2"/>
  <c r="B61" i="2"/>
  <c r="B62" i="2"/>
  <c r="B63" i="2"/>
  <c r="B64" i="2"/>
  <c r="B65" i="2"/>
  <c r="C65" i="2" s="1"/>
  <c r="B2" i="2"/>
  <c r="F60" i="2" l="1"/>
  <c r="G5" i="5"/>
  <c r="F59" i="2"/>
  <c r="C2" i="2"/>
  <c r="F2" i="2" s="1"/>
  <c r="H2" i="2" s="1"/>
  <c r="C44" i="2"/>
  <c r="F44" i="2" s="1"/>
  <c r="C22" i="2"/>
  <c r="F22" i="2" s="1"/>
  <c r="C57" i="2"/>
  <c r="F58" i="2" s="1"/>
  <c r="C4" i="2"/>
  <c r="F4" i="2" s="1"/>
  <c r="C21" i="2"/>
  <c r="F21" i="2" s="1"/>
  <c r="C37" i="2"/>
  <c r="F37" i="2" s="1"/>
  <c r="C16" i="2"/>
  <c r="F16" i="2" s="1"/>
  <c r="C54" i="2"/>
  <c r="F54" i="2" s="1"/>
  <c r="C61" i="2"/>
  <c r="F62" i="2" s="1"/>
  <c r="C55" i="2"/>
  <c r="F55" i="2" s="1"/>
  <c r="C13" i="2"/>
  <c r="F13" i="2" s="1"/>
  <c r="C24" i="2"/>
  <c r="F24" i="2" s="1"/>
  <c r="C62" i="2"/>
  <c r="F63" i="2" s="1"/>
  <c r="C32" i="2"/>
  <c r="F32" i="2" s="1"/>
  <c r="C15" i="2"/>
  <c r="F15" i="2" s="1"/>
  <c r="C17" i="2"/>
  <c r="F17" i="2" s="1"/>
  <c r="C30" i="2"/>
  <c r="F30" i="2" s="1"/>
  <c r="C52" i="2"/>
  <c r="F52" i="2" s="1"/>
  <c r="C49" i="2"/>
  <c r="F49" i="2" s="1"/>
  <c r="C9" i="2"/>
  <c r="F9" i="2" s="1"/>
  <c r="C63" i="2"/>
  <c r="F64" i="2" s="1"/>
  <c r="C60" i="2"/>
  <c r="F61" i="2" s="1"/>
  <c r="C12" i="2"/>
  <c r="F12" i="2" s="1"/>
  <c r="C31" i="2"/>
  <c r="F31" i="2" s="1"/>
  <c r="C48" i="2"/>
  <c r="F48" i="2" s="1"/>
  <c r="C28" i="2"/>
  <c r="F28" i="2" s="1"/>
  <c r="C8" i="2"/>
  <c r="F8" i="2" s="1"/>
  <c r="C20" i="2"/>
  <c r="F20" i="2" s="1"/>
  <c r="C14" i="2"/>
  <c r="F14" i="2" s="1"/>
  <c r="C33" i="2"/>
  <c r="F33" i="2" s="1"/>
  <c r="C29" i="2"/>
  <c r="F29" i="2" s="1"/>
  <c r="C47" i="2"/>
  <c r="F47" i="2" s="1"/>
  <c r="C7" i="2"/>
  <c r="F7" i="2" s="1"/>
  <c r="C64" i="2"/>
  <c r="F65" i="2" s="1"/>
  <c r="C40" i="2"/>
  <c r="F40" i="2" s="1"/>
  <c r="C38" i="2"/>
  <c r="F38" i="2" s="1"/>
  <c r="C53" i="2"/>
  <c r="F53" i="2" s="1"/>
  <c r="C46" i="2"/>
  <c r="F46" i="2" s="1"/>
  <c r="C6" i="2"/>
  <c r="F6" i="2" s="1"/>
  <c r="C23" i="2"/>
  <c r="F23" i="2" s="1"/>
  <c r="C41" i="2"/>
  <c r="F41" i="2" s="1"/>
  <c r="C39" i="2"/>
  <c r="F39" i="2" s="1"/>
  <c r="C36" i="2"/>
  <c r="F36" i="2" s="1"/>
  <c r="C45" i="2"/>
  <c r="F45" i="2" s="1"/>
  <c r="C25" i="2"/>
  <c r="F25" i="2" s="1"/>
  <c r="C5" i="2"/>
  <c r="F5" i="2" s="1"/>
  <c r="F57" i="2"/>
  <c r="F56" i="2"/>
  <c r="I2" i="2" l="1"/>
  <c r="J2" i="2" s="1"/>
  <c r="K2" i="2" s="1"/>
  <c r="L2" i="2"/>
  <c r="H19" i="2"/>
  <c r="I19" i="2" s="1"/>
  <c r="J19" i="2" s="1"/>
  <c r="K19" i="2" s="1"/>
  <c r="H27" i="2"/>
  <c r="I27" i="2" s="1"/>
  <c r="J27" i="2" s="1"/>
  <c r="K27" i="2" s="1"/>
  <c r="H35" i="2"/>
  <c r="I35" i="2" s="1"/>
  <c r="J35" i="2" s="1"/>
  <c r="K35" i="2" s="1"/>
  <c r="H59" i="2"/>
  <c r="H43" i="2"/>
  <c r="I43" i="2" s="1"/>
  <c r="J43" i="2" s="1"/>
  <c r="K43" i="2" s="1"/>
  <c r="H51" i="2"/>
  <c r="I51" i="2" s="1"/>
  <c r="J51" i="2" s="1"/>
  <c r="K51" i="2" s="1"/>
  <c r="M2" i="2"/>
  <c r="N2" i="2" s="1"/>
  <c r="F66" i="2"/>
  <c r="H65" i="2"/>
  <c r="I65" i="2" s="1"/>
  <c r="J65" i="2" s="1"/>
  <c r="K65" i="2" s="1"/>
  <c r="H11" i="2"/>
  <c r="I11" i="2" s="1"/>
  <c r="J11" i="2" s="1"/>
  <c r="K11" i="2" s="1"/>
  <c r="H3" i="2"/>
  <c r="I3" i="2" s="1"/>
  <c r="J3" i="2" s="1"/>
  <c r="K3" i="2" s="1"/>
  <c r="H62" i="2"/>
  <c r="I62" i="2" s="1"/>
  <c r="J62" i="2" s="1"/>
  <c r="K62" i="2" s="1"/>
  <c r="H54" i="2"/>
  <c r="I54" i="2" s="1"/>
  <c r="J54" i="2" s="1"/>
  <c r="K54" i="2" s="1"/>
  <c r="H46" i="2"/>
  <c r="I46" i="2" s="1"/>
  <c r="J46" i="2" s="1"/>
  <c r="K46" i="2" s="1"/>
  <c r="H38" i="2"/>
  <c r="I38" i="2" s="1"/>
  <c r="J38" i="2" s="1"/>
  <c r="K38" i="2" s="1"/>
  <c r="H30" i="2"/>
  <c r="I30" i="2" s="1"/>
  <c r="J30" i="2" s="1"/>
  <c r="K30" i="2" s="1"/>
  <c r="H22" i="2"/>
  <c r="I22" i="2" s="1"/>
  <c r="J22" i="2" s="1"/>
  <c r="K22" i="2" s="1"/>
  <c r="H14" i="2"/>
  <c r="I14" i="2" s="1"/>
  <c r="J14" i="2" s="1"/>
  <c r="K14" i="2" s="1"/>
  <c r="H6" i="2"/>
  <c r="I6" i="2" s="1"/>
  <c r="J6" i="2" s="1"/>
  <c r="K6" i="2" s="1"/>
  <c r="H58" i="2"/>
  <c r="I58" i="2" s="1"/>
  <c r="J58" i="2" s="1"/>
  <c r="K58" i="2" s="1"/>
  <c r="H50" i="2"/>
  <c r="I50" i="2" s="1"/>
  <c r="J50" i="2" s="1"/>
  <c r="K50" i="2" s="1"/>
  <c r="H42" i="2"/>
  <c r="I42" i="2" s="1"/>
  <c r="J42" i="2" s="1"/>
  <c r="K42" i="2" s="1"/>
  <c r="H34" i="2"/>
  <c r="H26" i="2"/>
  <c r="I26" i="2" s="1"/>
  <c r="J26" i="2" s="1"/>
  <c r="K26" i="2" s="1"/>
  <c r="H18" i="2"/>
  <c r="I18" i="2" s="1"/>
  <c r="J18" i="2" s="1"/>
  <c r="K18" i="2" s="1"/>
  <c r="H10" i="2"/>
  <c r="I10" i="2" s="1"/>
  <c r="J10" i="2" s="1"/>
  <c r="K10" i="2" s="1"/>
  <c r="H57" i="2"/>
  <c r="I57" i="2" s="1"/>
  <c r="J57" i="2" s="1"/>
  <c r="K57" i="2" s="1"/>
  <c r="H49" i="2"/>
  <c r="I49" i="2" s="1"/>
  <c r="J49" i="2" s="1"/>
  <c r="K49" i="2" s="1"/>
  <c r="H41" i="2"/>
  <c r="I41" i="2" s="1"/>
  <c r="J41" i="2" s="1"/>
  <c r="K41" i="2" s="1"/>
  <c r="H33" i="2"/>
  <c r="I33" i="2" s="1"/>
  <c r="J33" i="2" s="1"/>
  <c r="K33" i="2" s="1"/>
  <c r="H25" i="2"/>
  <c r="I25" i="2" s="1"/>
  <c r="J25" i="2" s="1"/>
  <c r="K25" i="2" s="1"/>
  <c r="H17" i="2"/>
  <c r="I17" i="2" s="1"/>
  <c r="J17" i="2" s="1"/>
  <c r="K17" i="2" s="1"/>
  <c r="H9" i="2"/>
  <c r="H64" i="2"/>
  <c r="I64" i="2" s="1"/>
  <c r="J64" i="2" s="1"/>
  <c r="K64" i="2" s="1"/>
  <c r="H56" i="2"/>
  <c r="I56" i="2" s="1"/>
  <c r="J56" i="2" s="1"/>
  <c r="K56" i="2" s="1"/>
  <c r="H48" i="2"/>
  <c r="I48" i="2" s="1"/>
  <c r="J48" i="2" s="1"/>
  <c r="K48" i="2" s="1"/>
  <c r="H40" i="2"/>
  <c r="I40" i="2" s="1"/>
  <c r="J40" i="2" s="1"/>
  <c r="K40" i="2" s="1"/>
  <c r="H32" i="2"/>
  <c r="I32" i="2" s="1"/>
  <c r="J32" i="2" s="1"/>
  <c r="K32" i="2" s="1"/>
  <c r="H24" i="2"/>
  <c r="I24" i="2" s="1"/>
  <c r="J24" i="2" s="1"/>
  <c r="K24" i="2" s="1"/>
  <c r="H16" i="2"/>
  <c r="I16" i="2" s="1"/>
  <c r="J16" i="2" s="1"/>
  <c r="K16" i="2" s="1"/>
  <c r="H8" i="2"/>
  <c r="I8" i="2" s="1"/>
  <c r="J8" i="2" s="1"/>
  <c r="K8" i="2" s="1"/>
  <c r="H63" i="2"/>
  <c r="I63" i="2" s="1"/>
  <c r="J63" i="2" s="1"/>
  <c r="K63" i="2" s="1"/>
  <c r="H55" i="2"/>
  <c r="I55" i="2" s="1"/>
  <c r="J55" i="2" s="1"/>
  <c r="K55" i="2" s="1"/>
  <c r="H47" i="2"/>
  <c r="I47" i="2" s="1"/>
  <c r="J47" i="2" s="1"/>
  <c r="K47" i="2" s="1"/>
  <c r="H39" i="2"/>
  <c r="I39" i="2" s="1"/>
  <c r="J39" i="2" s="1"/>
  <c r="K39" i="2" s="1"/>
  <c r="H31" i="2"/>
  <c r="I31" i="2" s="1"/>
  <c r="J31" i="2" s="1"/>
  <c r="K31" i="2" s="1"/>
  <c r="H23" i="2"/>
  <c r="I23" i="2" s="1"/>
  <c r="J23" i="2" s="1"/>
  <c r="K23" i="2" s="1"/>
  <c r="H15" i="2"/>
  <c r="I15" i="2" s="1"/>
  <c r="J15" i="2" s="1"/>
  <c r="K15" i="2" s="1"/>
  <c r="H7" i="2"/>
  <c r="H61" i="2"/>
  <c r="I61" i="2" s="1"/>
  <c r="J61" i="2" s="1"/>
  <c r="K61" i="2" s="1"/>
  <c r="H53" i="2"/>
  <c r="I53" i="2" s="1"/>
  <c r="J53" i="2" s="1"/>
  <c r="K53" i="2" s="1"/>
  <c r="H45" i="2"/>
  <c r="I45" i="2" s="1"/>
  <c r="J45" i="2" s="1"/>
  <c r="K45" i="2" s="1"/>
  <c r="H37" i="2"/>
  <c r="I37" i="2" s="1"/>
  <c r="J37" i="2" s="1"/>
  <c r="K37" i="2" s="1"/>
  <c r="H29" i="2"/>
  <c r="I29" i="2" s="1"/>
  <c r="J29" i="2" s="1"/>
  <c r="K29" i="2" s="1"/>
  <c r="H21" i="2"/>
  <c r="I21" i="2" s="1"/>
  <c r="J21" i="2" s="1"/>
  <c r="K21" i="2" s="1"/>
  <c r="H13" i="2"/>
  <c r="I13" i="2" s="1"/>
  <c r="J13" i="2" s="1"/>
  <c r="K13" i="2" s="1"/>
  <c r="H5" i="2"/>
  <c r="I5" i="2" s="1"/>
  <c r="J5" i="2" s="1"/>
  <c r="K5" i="2" s="1"/>
  <c r="H60" i="2"/>
  <c r="I60" i="2" s="1"/>
  <c r="J60" i="2" s="1"/>
  <c r="K60" i="2" s="1"/>
  <c r="H52" i="2"/>
  <c r="H44" i="2"/>
  <c r="I44" i="2" s="1"/>
  <c r="J44" i="2" s="1"/>
  <c r="K44" i="2" s="1"/>
  <c r="H36" i="2"/>
  <c r="I36" i="2" s="1"/>
  <c r="J36" i="2" s="1"/>
  <c r="K36" i="2" s="1"/>
  <c r="H28" i="2"/>
  <c r="I28" i="2" s="1"/>
  <c r="J28" i="2" s="1"/>
  <c r="K28" i="2" s="1"/>
  <c r="H20" i="2"/>
  <c r="I20" i="2" s="1"/>
  <c r="J20" i="2" s="1"/>
  <c r="K20" i="2" s="1"/>
  <c r="H12" i="2"/>
  <c r="I12" i="2" s="1"/>
  <c r="J12" i="2" s="1"/>
  <c r="K12" i="2" s="1"/>
  <c r="H4" i="2"/>
  <c r="I4" i="2" s="1"/>
  <c r="J4" i="2" s="1"/>
  <c r="K4" i="2" s="1"/>
  <c r="E121" i="1"/>
  <c r="I123" i="1" s="1"/>
  <c r="G110" i="1"/>
  <c r="G112" i="1"/>
  <c r="G104" i="1"/>
  <c r="G107" i="1" s="1"/>
  <c r="W88" i="1"/>
  <c r="W80" i="1"/>
  <c r="W82" i="1"/>
  <c r="G81" i="1"/>
  <c r="H81" i="1" s="1"/>
  <c r="I81" i="1" s="1"/>
  <c r="G80" i="1"/>
  <c r="H80" i="1"/>
  <c r="I80" i="1" s="1"/>
  <c r="F80" i="1"/>
  <c r="G79" i="1"/>
  <c r="H79" i="1" s="1"/>
  <c r="I79" i="1" s="1"/>
  <c r="W72" i="1"/>
  <c r="W75" i="1" s="1"/>
  <c r="W74" i="1"/>
  <c r="G5" i="1"/>
  <c r="G6" i="1" s="1"/>
  <c r="AK4" i="1"/>
  <c r="AK2" i="1"/>
  <c r="L11" i="2" l="1"/>
  <c r="M11" i="2" s="1"/>
  <c r="N11" i="2" s="1"/>
  <c r="L8" i="2"/>
  <c r="L7" i="2"/>
  <c r="M7" i="2" s="1"/>
  <c r="N7" i="2" s="1"/>
  <c r="I7" i="2"/>
  <c r="J7" i="2" s="1"/>
  <c r="K7" i="2" s="1"/>
  <c r="L59" i="2"/>
  <c r="M59" i="2" s="1"/>
  <c r="N59" i="2" s="1"/>
  <c r="I59" i="2"/>
  <c r="J59" i="2" s="1"/>
  <c r="K59" i="2" s="1"/>
  <c r="L48" i="2"/>
  <c r="L52" i="2"/>
  <c r="I52" i="2"/>
  <c r="J52" i="2" s="1"/>
  <c r="K52" i="2" s="1"/>
  <c r="L9" i="2"/>
  <c r="M9" i="2" s="1"/>
  <c r="N9" i="2" s="1"/>
  <c r="I9" i="2"/>
  <c r="J9" i="2" s="1"/>
  <c r="K9" i="2" s="1"/>
  <c r="L64" i="2"/>
  <c r="M64" i="2" s="1"/>
  <c r="N64" i="2" s="1"/>
  <c r="L63" i="2"/>
  <c r="M63" i="2" s="1"/>
  <c r="N63" i="2" s="1"/>
  <c r="L34" i="2"/>
  <c r="M34" i="2" s="1"/>
  <c r="N34" i="2" s="1"/>
  <c r="I34" i="2"/>
  <c r="J34" i="2" s="1"/>
  <c r="K34" i="2" s="1"/>
  <c r="L25" i="2"/>
  <c r="M25" i="2" s="1"/>
  <c r="N25" i="2" s="1"/>
  <c r="L6" i="2"/>
  <c r="M6" i="2" s="1"/>
  <c r="N6" i="2" s="1"/>
  <c r="L65" i="2"/>
  <c r="M65" i="2" s="1"/>
  <c r="N65" i="2" s="1"/>
  <c r="L47" i="2"/>
  <c r="M47" i="2" s="1"/>
  <c r="N47" i="2" s="1"/>
  <c r="L55" i="2"/>
  <c r="M55" i="2" s="1"/>
  <c r="N55" i="2" s="1"/>
  <c r="L21" i="2"/>
  <c r="M21" i="2" s="1"/>
  <c r="N21" i="2" s="1"/>
  <c r="L33" i="2"/>
  <c r="M33" i="2" s="1"/>
  <c r="N33" i="2" s="1"/>
  <c r="L49" i="2"/>
  <c r="M49" i="2" s="1"/>
  <c r="N49" i="2" s="1"/>
  <c r="L41" i="2"/>
  <c r="M41" i="2" s="1"/>
  <c r="N41" i="2" s="1"/>
  <c r="L20" i="2"/>
  <c r="M20" i="2" s="1"/>
  <c r="N20" i="2" s="1"/>
  <c r="L53" i="2"/>
  <c r="M53" i="2" s="1"/>
  <c r="N53" i="2" s="1"/>
  <c r="L24" i="2"/>
  <c r="M24" i="2" s="1"/>
  <c r="N24" i="2" s="1"/>
  <c r="L57" i="2"/>
  <c r="M57" i="2" s="1"/>
  <c r="N57" i="2" s="1"/>
  <c r="L38" i="2"/>
  <c r="M38" i="2" s="1"/>
  <c r="N38" i="2" s="1"/>
  <c r="L13" i="2"/>
  <c r="M13" i="2" s="1"/>
  <c r="N13" i="2" s="1"/>
  <c r="L37" i="2"/>
  <c r="M37" i="2" s="1"/>
  <c r="N37" i="2" s="1"/>
  <c r="L14" i="2"/>
  <c r="M14" i="2" s="1"/>
  <c r="N14" i="2" s="1"/>
  <c r="L51" i="2"/>
  <c r="M51" i="2" s="1"/>
  <c r="N51" i="2" s="1"/>
  <c r="L45" i="2"/>
  <c r="M45" i="2" s="1"/>
  <c r="N45" i="2" s="1"/>
  <c r="L30" i="2"/>
  <c r="M30" i="2" s="1"/>
  <c r="N30" i="2" s="1"/>
  <c r="L43" i="2"/>
  <c r="M43" i="2" s="1"/>
  <c r="N43" i="2" s="1"/>
  <c r="L28" i="2"/>
  <c r="M28" i="2" s="1"/>
  <c r="N28" i="2" s="1"/>
  <c r="L36" i="2"/>
  <c r="M36" i="2" s="1"/>
  <c r="N36" i="2" s="1"/>
  <c r="L27" i="2"/>
  <c r="M27" i="2" s="1"/>
  <c r="N27" i="2" s="1"/>
  <c r="L5" i="2"/>
  <c r="M5" i="2" s="1"/>
  <c r="N5" i="2" s="1"/>
  <c r="L50" i="2"/>
  <c r="M50" i="2" s="1"/>
  <c r="N50" i="2" s="1"/>
  <c r="L17" i="2"/>
  <c r="M17" i="2" s="1"/>
  <c r="N17" i="2" s="1"/>
  <c r="L12" i="2"/>
  <c r="M12" i="2" s="1"/>
  <c r="N12" i="2" s="1"/>
  <c r="L61" i="2"/>
  <c r="M61" i="2" s="1"/>
  <c r="N61" i="2" s="1"/>
  <c r="L32" i="2"/>
  <c r="M32" i="2" s="1"/>
  <c r="N32" i="2" s="1"/>
  <c r="L10" i="2"/>
  <c r="M10" i="2" s="1"/>
  <c r="N10" i="2" s="1"/>
  <c r="L46" i="2"/>
  <c r="M46" i="2" s="1"/>
  <c r="N46" i="2" s="1"/>
  <c r="L40" i="2"/>
  <c r="M40" i="2" s="1"/>
  <c r="N40" i="2" s="1"/>
  <c r="L54" i="2"/>
  <c r="M54" i="2" s="1"/>
  <c r="N54" i="2" s="1"/>
  <c r="L44" i="2"/>
  <c r="M44" i="2" s="1"/>
  <c r="N44" i="2" s="1"/>
  <c r="L15" i="2"/>
  <c r="M15" i="2" s="1"/>
  <c r="N15" i="2" s="1"/>
  <c r="L26" i="2"/>
  <c r="M26" i="2" s="1"/>
  <c r="N26" i="2" s="1"/>
  <c r="L62" i="2"/>
  <c r="M62" i="2" s="1"/>
  <c r="N62" i="2" s="1"/>
  <c r="L19" i="2"/>
  <c r="M19" i="2" s="1"/>
  <c r="N19" i="2" s="1"/>
  <c r="L18" i="2"/>
  <c r="M18" i="2" s="1"/>
  <c r="N18" i="2" s="1"/>
  <c r="L4" i="2"/>
  <c r="M4" i="2" s="1"/>
  <c r="N4" i="2" s="1"/>
  <c r="L3" i="2"/>
  <c r="M3" i="2" s="1"/>
  <c r="N3" i="2" s="1"/>
  <c r="L39" i="2"/>
  <c r="M39" i="2" s="1"/>
  <c r="N39" i="2" s="1"/>
  <c r="L58" i="2"/>
  <c r="M58" i="2" s="1"/>
  <c r="N58" i="2" s="1"/>
  <c r="L22" i="2"/>
  <c r="M22" i="2" s="1"/>
  <c r="N22" i="2" s="1"/>
  <c r="L16" i="2"/>
  <c r="M16" i="2" s="1"/>
  <c r="N16" i="2" s="1"/>
  <c r="L35" i="2"/>
  <c r="M35" i="2" s="1"/>
  <c r="N35" i="2" s="1"/>
  <c r="L23" i="2"/>
  <c r="M23" i="2" s="1"/>
  <c r="N23" i="2" s="1"/>
  <c r="L56" i="2"/>
  <c r="M56" i="2" s="1"/>
  <c r="N56" i="2" s="1"/>
  <c r="L60" i="2"/>
  <c r="M60" i="2" s="1"/>
  <c r="N60" i="2" s="1"/>
  <c r="L31" i="2"/>
  <c r="M31" i="2" s="1"/>
  <c r="N31" i="2" s="1"/>
  <c r="L42" i="2"/>
  <c r="M42" i="2" s="1"/>
  <c r="N42" i="2" s="1"/>
  <c r="L29" i="2"/>
  <c r="M29" i="2" s="1"/>
  <c r="N29" i="2" s="1"/>
  <c r="M8" i="2"/>
  <c r="N8" i="2" s="1"/>
  <c r="M48" i="2"/>
  <c r="N48" i="2" s="1"/>
  <c r="M52" i="2"/>
  <c r="N52" i="2" s="1"/>
  <c r="W83" i="1"/>
  <c r="W85" i="1"/>
  <c r="G113" i="1"/>
  <c r="H66" i="2"/>
  <c r="I66" i="2" s="1"/>
  <c r="J66" i="2" s="1"/>
  <c r="K66" i="2" s="1"/>
  <c r="F67" i="2"/>
  <c r="W77" i="1"/>
  <c r="F81" i="1"/>
  <c r="C97" i="1"/>
  <c r="C98" i="1" s="1"/>
  <c r="F79" i="1"/>
  <c r="C100" i="1"/>
  <c r="I122" i="1"/>
  <c r="L66" i="2" l="1"/>
  <c r="M66" i="2" s="1"/>
  <c r="N66" i="2" s="1"/>
  <c r="H67" i="2"/>
  <c r="I67" i="2" s="1"/>
  <c r="J67" i="2" s="1"/>
  <c r="K67" i="2" s="1"/>
  <c r="F68" i="2"/>
  <c r="L67" i="2" l="1"/>
  <c r="M67" i="2" s="1"/>
  <c r="N67" i="2" s="1"/>
  <c r="F69" i="2"/>
  <c r="H68" i="2"/>
  <c r="I68" i="2" s="1"/>
  <c r="J68" i="2" s="1"/>
  <c r="K68" i="2" s="1"/>
  <c r="L68" i="2" l="1"/>
  <c r="M68" i="2" s="1"/>
  <c r="N68" i="2" s="1"/>
  <c r="F70" i="2"/>
  <c r="H69" i="2"/>
  <c r="I69" i="2" s="1"/>
  <c r="J69" i="2" s="1"/>
  <c r="K69" i="2" s="1"/>
  <c r="L69" i="2" l="1"/>
  <c r="M69" i="2" s="1"/>
  <c r="N69" i="2" s="1"/>
  <c r="F71" i="2"/>
  <c r="H70" i="2"/>
  <c r="I70" i="2" s="1"/>
  <c r="J70" i="2" s="1"/>
  <c r="K70" i="2" s="1"/>
  <c r="L70" i="2" l="1"/>
  <c r="M70" i="2" s="1"/>
  <c r="N70" i="2" s="1"/>
  <c r="F72" i="2"/>
  <c r="H71" i="2"/>
  <c r="I71" i="2" s="1"/>
  <c r="J71" i="2" s="1"/>
  <c r="K71" i="2" s="1"/>
  <c r="L71" i="2" l="1"/>
  <c r="M71" i="2" s="1"/>
  <c r="N71" i="2" s="1"/>
  <c r="F73" i="2"/>
  <c r="H72" i="2"/>
  <c r="I72" i="2" s="1"/>
  <c r="J72" i="2" s="1"/>
  <c r="K72" i="2" s="1"/>
  <c r="L72" i="2" l="1"/>
  <c r="M72" i="2" s="1"/>
  <c r="N72" i="2" s="1"/>
  <c r="F74" i="2"/>
  <c r="H73" i="2"/>
  <c r="I73" i="2" s="1"/>
  <c r="J73" i="2" s="1"/>
  <c r="K73" i="2" s="1"/>
  <c r="L73" i="2" l="1"/>
  <c r="M73" i="2" s="1"/>
  <c r="N73" i="2" s="1"/>
  <c r="F75" i="2"/>
  <c r="H74" i="2"/>
  <c r="I74" i="2" s="1"/>
  <c r="J74" i="2" s="1"/>
  <c r="K74" i="2" s="1"/>
  <c r="L74" i="2" l="1"/>
  <c r="M74" i="2" s="1"/>
  <c r="N74" i="2" s="1"/>
  <c r="F76" i="2"/>
  <c r="H76" i="2" s="1"/>
  <c r="I76" i="2" s="1"/>
  <c r="J76" i="2" s="1"/>
  <c r="K76" i="2" s="1"/>
  <c r="H75" i="2"/>
  <c r="I75" i="2" s="1"/>
  <c r="J75" i="2" s="1"/>
  <c r="K75" i="2" s="1"/>
  <c r="L76" i="2" l="1"/>
  <c r="M76" i="2" s="1"/>
  <c r="N76" i="2" s="1"/>
  <c r="L75" i="2"/>
  <c r="M75" i="2" s="1"/>
  <c r="N75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E5" authorId="0" shapeId="0" xr:uid="{279F304C-B0D3-42EA-A14B-DC77EFFF86F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Data point from Miller (2017)</t>
        </r>
      </text>
    </comment>
  </commentList>
</comments>
</file>

<file path=xl/sharedStrings.xml><?xml version="1.0" encoding="utf-8"?>
<sst xmlns="http://schemas.openxmlformats.org/spreadsheetml/2006/main" count="308" uniqueCount="193">
  <si>
    <t>Add line for moore's law @ doubling every 2 years from 1975</t>
    <phoneticPr fontId="0" type="noConversion"/>
  </si>
  <si>
    <t xml:space="preserve"> computations per kWh</t>
  </si>
  <si>
    <t>Check using regression line</t>
    <phoneticPr fontId="0" type="noConversion"/>
  </si>
  <si>
    <t>g=</t>
    <phoneticPr fontId="0" type="noConversion"/>
  </si>
  <si>
    <t>DT=</t>
    <phoneticPr fontId="0" type="noConversion"/>
  </si>
  <si>
    <t>From regression analysis</t>
    <phoneticPr fontId="0" type="noConversion"/>
  </si>
  <si>
    <t>Model</t>
    <phoneticPr fontId="0" type="noConversion"/>
  </si>
  <si>
    <t>Year</t>
    <phoneticPr fontId="0" type="noConversion"/>
  </si>
  <si>
    <t>Computations/kWh</t>
    <phoneticPr fontId="0" type="noConversion"/>
  </si>
  <si>
    <t>year</t>
    <phoneticPr fontId="0" type="noConversion"/>
  </si>
  <si>
    <t>value</t>
    <phoneticPr fontId="0" type="noConversion"/>
  </si>
  <si>
    <t>computations/kWh</t>
    <phoneticPr fontId="0" type="noConversion"/>
  </si>
  <si>
    <t xml:space="preserve">doubling every </t>
    <phoneticPr fontId="0" type="noConversion"/>
  </si>
  <si>
    <t>years</t>
    <phoneticPr fontId="0" type="noConversion"/>
  </si>
  <si>
    <t>doubling times 1971-2009</t>
    <phoneticPr fontId="0" type="noConversion"/>
  </si>
  <si>
    <t>implies a 2009 end point of</t>
    <phoneticPr fontId="0" type="noConversion"/>
  </si>
  <si>
    <t>Doubling time</t>
    <phoneticPr fontId="0" type="noConversion"/>
  </si>
  <si>
    <t>years</t>
    <phoneticPr fontId="0" type="noConversion"/>
  </si>
  <si>
    <t>ratio of actual to "moore's law predicted" computations/kWh assuming 2 year doubling and 1975 start year.</t>
    <phoneticPr fontId="0" type="noConversion"/>
  </si>
  <si>
    <t># of years</t>
    <phoneticPr fontId="0" type="noConversion"/>
  </si>
  <si>
    <t># of doublings</t>
    <phoneticPr fontId="0" type="noConversion"/>
  </si>
  <si>
    <t>2^ doublings</t>
    <phoneticPr fontId="0" type="noConversion"/>
  </si>
  <si>
    <t>2009/1985</t>
    <phoneticPr fontId="0" type="noConversion"/>
  </si>
  <si>
    <t>1985/1975</t>
    <phoneticPr fontId="0" type="noConversion"/>
  </si>
  <si>
    <t>2009/1975</t>
    <phoneticPr fontId="0" type="noConversion"/>
  </si>
  <si>
    <t>doubling times 1975-2009</t>
    <phoneticPr fontId="0" type="noConversion"/>
  </si>
  <si>
    <t>1985-2009</t>
    <phoneticPr fontId="0" type="noConversion"/>
  </si>
  <si>
    <t>instantaneous growth rate</t>
    <phoneticPr fontId="0" type="noConversion"/>
  </si>
  <si>
    <t>DT</t>
    <phoneticPr fontId="0" type="noConversion"/>
  </si>
  <si>
    <t>years</t>
    <phoneticPr fontId="0" type="noConversion"/>
  </si>
  <si>
    <t>Ratio 2009 to 1985 for Feynman calc</t>
    <phoneticPr fontId="0" type="noConversion"/>
  </si>
  <si>
    <t>Ratio 2009/1965</t>
  </si>
  <si>
    <t>Doubling time post 2009</t>
  </si>
  <si>
    <t>years</t>
  </si>
  <si>
    <t>Factor to get to 2014</t>
  </si>
  <si>
    <t>Total growth since 1965</t>
  </si>
  <si>
    <t>Ratio 2000/1965</t>
  </si>
  <si>
    <t>Doubling time post 2000</t>
  </si>
  <si>
    <t>How many doublings to get to a factor of 100 improvement</t>
  </si>
  <si>
    <t>2^x = 100</t>
  </si>
  <si>
    <t>XLN2=LN 100</t>
  </si>
  <si>
    <t>X = LN100/LN2</t>
  </si>
  <si>
    <t>aat 1.5 year doubling time that's</t>
  </si>
  <si>
    <t>Landauer limit(293.15K) [J per bit]</t>
  </si>
  <si>
    <t>Computations per J</t>
  </si>
  <si>
    <t>Computations per kWh</t>
  </si>
  <si>
    <t>FLOPS</t>
  </si>
  <si>
    <t>bit ops per s</t>
  </si>
  <si>
    <t>Computer</t>
  </si>
  <si>
    <t>Year</t>
  </si>
  <si>
    <t>ENIAC</t>
  </si>
  <si>
    <t>https://sosheskaz.github.io/technology/2017/04/08/Computers-Are-Black-Magic.html</t>
  </si>
  <si>
    <t>Bit operations per J</t>
  </si>
  <si>
    <t>Computers</t>
  </si>
  <si>
    <t>Koomey et al (2011)</t>
  </si>
  <si>
    <t>Doubling rate factor</t>
  </si>
  <si>
    <t>NA</t>
  </si>
  <si>
    <t>Koomey doubling rate</t>
  </si>
  <si>
    <t>Computations per J (extended)</t>
  </si>
  <si>
    <t>Data Source/Method</t>
  </si>
  <si>
    <t>Machine</t>
  </si>
  <si>
    <t>Univac I</t>
  </si>
  <si>
    <t>EDVAC</t>
  </si>
  <si>
    <t>ORDVAC</t>
  </si>
  <si>
    <t>Whirlwind II</t>
  </si>
  <si>
    <t>Burroughs 204</t>
  </si>
  <si>
    <t>IBM 702</t>
  </si>
  <si>
    <t>IBM 704</t>
  </si>
  <si>
    <t>Univac II</t>
  </si>
  <si>
    <t>UNIVAC 1105</t>
  </si>
  <si>
    <t>Burroughs D204</t>
  </si>
  <si>
    <t>NCR 304</t>
  </si>
  <si>
    <t>IBM 7090</t>
  </si>
  <si>
    <t>GE 210</t>
  </si>
  <si>
    <t>Honeywell 800</t>
  </si>
  <si>
    <t>IBM 1620</t>
  </si>
  <si>
    <t>CDC 160</t>
  </si>
  <si>
    <t>CDC 1604</t>
  </si>
  <si>
    <t>Digital PDP-1</t>
  </si>
  <si>
    <t>IBM 1401 (card)</t>
  </si>
  <si>
    <t>IBM 7074</t>
  </si>
  <si>
    <t>IBM 7030 (Stretch)</t>
  </si>
  <si>
    <t>RCA 601</t>
  </si>
  <si>
    <t>UNIVAC III</t>
  </si>
  <si>
    <t>UNIVAC 1107</t>
  </si>
  <si>
    <t>SDS 920</t>
  </si>
  <si>
    <t>DEC PDP-4</t>
  </si>
  <si>
    <t>Honeywell 1800</t>
  </si>
  <si>
    <t>DEC PDP-8</t>
  </si>
  <si>
    <t>DEC PDP-11/20</t>
  </si>
  <si>
    <t>Altair 8800</t>
  </si>
  <si>
    <t>Cray I</t>
  </si>
  <si>
    <t>Apple II</t>
  </si>
  <si>
    <t>Osborne-1</t>
  </si>
  <si>
    <t>IBM PC</t>
  </si>
  <si>
    <t>Commodore 64</t>
  </si>
  <si>
    <t>IBM PC/XT</t>
  </si>
  <si>
    <t>Apple IIe</t>
  </si>
  <si>
    <t>Apple Macintosh</t>
  </si>
  <si>
    <t>Compaq Deskpro</t>
  </si>
  <si>
    <t>IBM PC/AT</t>
  </si>
  <si>
    <t>Compaq Deskpro 386</t>
  </si>
  <si>
    <t>Compaq Deskpro 386/20e</t>
  </si>
  <si>
    <t>AST Bravo 486/25</t>
  </si>
  <si>
    <t>Gateway 2000 486/33C</t>
  </si>
  <si>
    <t>IBM PS/2 E</t>
  </si>
  <si>
    <t>SUN SS1000 x8</t>
  </si>
  <si>
    <t>Cray CS6400</t>
  </si>
  <si>
    <t>SUN Ultra450-300</t>
  </si>
  <si>
    <t>Dell OptiPlex GXI</t>
  </si>
  <si>
    <t>Gateway ATXSTFGP7733</t>
  </si>
  <si>
    <t>SUN Blade 1000</t>
  </si>
  <si>
    <t>DL360 G1</t>
  </si>
  <si>
    <t xml:space="preserve">HP Pavilion 7920 </t>
  </si>
  <si>
    <t>Compaq 5000</t>
  </si>
  <si>
    <t>Dell Optiplex GX400</t>
  </si>
  <si>
    <t>Micron Client Pro</t>
  </si>
  <si>
    <t>Compaq iPaq</t>
  </si>
  <si>
    <t>Compaq DeskPro EN SFF</t>
  </si>
  <si>
    <t>Green Destiny</t>
  </si>
  <si>
    <t>Gateway 700XL</t>
  </si>
  <si>
    <t>Whitebox 1 U compute node</t>
  </si>
  <si>
    <t>Intel Platform SE7520AF2 Server Board (3.6 GHz/1M L2 Intel Xeon processor)</t>
  </si>
  <si>
    <t>DELL Dimension 2400</t>
  </si>
  <si>
    <t>DELL Optiplex GX270</t>
  </si>
  <si>
    <t>DELL Optiplex GX260</t>
  </si>
  <si>
    <t>Custom ASUS P5 AD2-E motherboard</t>
  </si>
  <si>
    <t>Dell PowerEdge 1950 Woodcrest</t>
  </si>
  <si>
    <t>PowerEdge 2950 III (Intel Xeon E5440) Intel Xeon E5440</t>
  </si>
  <si>
    <t>Dell Precision T3400</t>
  </si>
  <si>
    <t>Dell Optiplex 765</t>
  </si>
  <si>
    <t>SiCortex SC5832</t>
  </si>
  <si>
    <t>Proliant DL160 G5 (3.0 GHz, Intel Xeon processor E5450) Intel Xeon E5450</t>
  </si>
  <si>
    <t>IBM System x3200 M2 Intel Xeon X3360</t>
  </si>
  <si>
    <t>Macbook laptop, 13.3 inch screen</t>
  </si>
  <si>
    <t>Dell Latitude E6400 laptop, 14 inch screen</t>
  </si>
  <si>
    <t>Dell PowerEdge 1950 III Harpertown</t>
  </si>
  <si>
    <t>DL360 G5</t>
  </si>
  <si>
    <t>Dell 730X</t>
  </si>
  <si>
    <t>Dell Optiplex 960</t>
  </si>
  <si>
    <t>Country</t>
  </si>
  <si>
    <t>Eu.product</t>
  </si>
  <si>
    <t>Quantity</t>
  </si>
  <si>
    <t>Energy.type</t>
  </si>
  <si>
    <t>Last.stage</t>
  </si>
  <si>
    <t>Method</t>
  </si>
  <si>
    <t>E</t>
  </si>
  <si>
    <t>Final</t>
  </si>
  <si>
    <t>PCM</t>
  </si>
  <si>
    <t>eta.fu</t>
  </si>
  <si>
    <t>https://doi.org/10.1109/MAHC.2010.28</t>
  </si>
  <si>
    <t>Koomey et al (2011) - Implications of Historical Trends in the Electrical Efficiency of Computing</t>
  </si>
  <si>
    <t>@article{koomey2010implications,</t>
  </si>
  <si>
    <t xml:space="preserve">  title={Implications of historical trends in the electrical efficiency of computing},</t>
  </si>
  <si>
    <t xml:space="preserve">  author={Koomey, Jonathan and Berard, Stephen and Sanchez, Marla and Wong, Henry},</t>
  </si>
  <si>
    <t xml:space="preserve">  journal={IEEE Annals of the History of Computing},</t>
  </si>
  <si>
    <t xml:space="preserve">  volume={33},</t>
  </si>
  <si>
    <t xml:space="preserve">  number={3},</t>
  </si>
  <si>
    <t xml:space="preserve">  pages={46--54},</t>
  </si>
  <si>
    <t xml:space="preserve">  year={2010},</t>
  </si>
  <si>
    <t xml:space="preserve">  publisher={IEEE},</t>
  </si>
  <si>
    <t xml:space="preserve">  DOI={https://doi.org/10.1109/MAHC.2010.28}</t>
  </si>
  <si>
    <t>}</t>
  </si>
  <si>
    <t>IP</t>
  </si>
  <si>
    <t>WRLD</t>
  </si>
  <si>
    <t>FLOPS --&gt; bit ops per s</t>
  </si>
  <si>
    <t>Bit operations per second</t>
  </si>
  <si>
    <t>Miller (2017) - Todays computers are black magic</t>
  </si>
  <si>
    <t>Computations (1946i)</t>
  </si>
  <si>
    <t>Bit operations per J (Conversion)</t>
  </si>
  <si>
    <t>Bit operations per J (No conversion)</t>
  </si>
  <si>
    <t>J per Bit operation (No conversion)</t>
  </si>
  <si>
    <t>J per Bit operation (Conversion)</t>
  </si>
  <si>
    <t>Efficiency [-] (Conversion)</t>
  </si>
  <si>
    <t>Efficiency [-] (No conversion)</t>
  </si>
  <si>
    <t>http://www.tikalon.com/blog/blog.php?article=2011/Landauer</t>
  </si>
  <si>
    <t>@misc{miller2017,</t>
  </si>
  <si>
    <t xml:space="preserve"> title = {Today's Computers are Black Magic},</t>
  </si>
  <si>
    <t xml:space="preserve"> author = {Miller, Eric},</t>
  </si>
  <si>
    <t xml:space="preserve"> year = {2017},</t>
  </si>
  <si>
    <t xml:space="preserve"> month = {04},</t>
  </si>
  <si>
    <t xml:space="preserve"> day = {8},</t>
  </si>
  <si>
    <t xml:space="preserve"> url = {https://sosheskaz.github.io/technology/2017/04/08/Computers-Are-Black-Magic.html</t>
  </si>
  <si>
    <t>@article{landauer1961,</t>
  </si>
  <si>
    <t xml:space="preserve">  title={Irreversibility and heat generation in the computing process},</t>
  </si>
  <si>
    <t xml:space="preserve">  author={Landauer, Rolf},</t>
  </si>
  <si>
    <t xml:space="preserve">  journal={IBM journal of research and development},</t>
  </si>
  <si>
    <t xml:space="preserve">  volume={5},</t>
  </si>
  <si>
    <t xml:space="preserve">  pages={183--191},</t>
  </si>
  <si>
    <t xml:space="preserve">  year={1961},</t>
  </si>
  <si>
    <t xml:space="preserve">  publisher={IBM},</t>
  </si>
  <si>
    <t xml:space="preserve">  doi={10.1147/rd.53.0183}</t>
  </si>
  <si>
    <t>Gualtieri (2011) - Landauer Limit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</si>
</sst>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E+00"/>
    <numFmt numFmtId="165" formatCode="0.0"/>
    <numFmt numFmtId="166" formatCode="0.000"/>
    <numFmt numFmtId="167" formatCode="0.000000000000"/>
    <numFmt numFmtId="168" formatCode="0.00000000000%"/>
    <numFmt numFmtId="169" formatCode="0.000000000000%"/>
  </numFmts>
  <fonts count="13" x14ac:knownFonts="1">
    <font>
      <sz val="12"/>
      <name val="Arial"/>
    </font>
    <font>
      <sz val="12"/>
      <name val="Arial"/>
      <family val="2"/>
    </font>
    <font>
      <sz val="11"/>
      <name val="Arial"/>
      <family val="2"/>
    </font>
    <font>
      <sz val="11"/>
      <color rgb="FFFF0000"/>
      <name val="Arial"/>
      <family val="2"/>
    </font>
    <font>
      <b/>
      <sz val="12"/>
      <name val="Arial"/>
      <family val="2"/>
    </font>
    <font>
      <u/>
      <sz val="12"/>
      <color theme="10"/>
      <name val="Arial"/>
      <family val="2"/>
    </font>
    <font>
      <b/>
      <sz val="11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2"/>
      <color rgb="FF00B050"/>
      <name val="Arial"/>
      <family val="2"/>
    </font>
    <font>
      <u/>
      <sz val="11"/>
      <color theme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/>
  </cellStyleXfs>
  <cellXfs count="52">
    <xf numFmtId="0" fontId="0" fillId="0" borderId="0" xfId="0"/>
    <xf numFmtId="1" fontId="0" fillId="0" borderId="0" xfId="0" applyNumberFormat="1"/>
    <xf numFmtId="164" fontId="0" fillId="0" borderId="0" xfId="0" applyNumberFormat="1"/>
    <xf numFmtId="9" fontId="0" fillId="0" borderId="0" xfId="1" applyFont="1"/>
    <xf numFmtId="2" fontId="0" fillId="0" borderId="0" xfId="0" applyNumberFormat="1"/>
    <xf numFmtId="11" fontId="0" fillId="0" borderId="0" xfId="0" applyNumberFormat="1"/>
    <xf numFmtId="165" fontId="0" fillId="0" borderId="0" xfId="0" applyNumberFormat="1"/>
    <xf numFmtId="2" fontId="0" fillId="0" borderId="0" xfId="0" quotePrefix="1" applyNumberFormat="1"/>
    <xf numFmtId="166" fontId="0" fillId="0" borderId="0" xfId="0" applyNumberFormat="1"/>
    <xf numFmtId="0" fontId="5" fillId="0" borderId="0" xfId="2"/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1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1" xfId="0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1" xfId="0" applyFont="1" applyBorder="1" applyAlignment="1">
      <alignment horizontal="center"/>
    </xf>
    <xf numFmtId="10" fontId="7" fillId="0" borderId="0" xfId="0" applyNumberFormat="1" applyFont="1" applyAlignment="1">
      <alignment horizontal="center"/>
    </xf>
    <xf numFmtId="0" fontId="8" fillId="0" borderId="1" xfId="3" applyFont="1" applyBorder="1" applyAlignment="1">
      <alignment horizontal="center"/>
    </xf>
    <xf numFmtId="0" fontId="0" fillId="2" borderId="0" xfId="0" applyFill="1"/>
    <xf numFmtId="0" fontId="1" fillId="0" borderId="0" xfId="0" applyFont="1"/>
    <xf numFmtId="0" fontId="9" fillId="2" borderId="0" xfId="0" applyFont="1" applyFill="1"/>
    <xf numFmtId="0" fontId="4" fillId="0" borderId="0" xfId="2" applyFont="1" applyAlignment="1">
      <alignment horizontal="center"/>
    </xf>
    <xf numFmtId="1" fontId="7" fillId="0" borderId="0" xfId="0" applyNumberFormat="1" applyFont="1" applyAlignment="1">
      <alignment horizontal="center"/>
    </xf>
    <xf numFmtId="167" fontId="7" fillId="0" borderId="0" xfId="0" applyNumberFormat="1" applyFont="1" applyAlignment="1">
      <alignment horizontal="center"/>
    </xf>
    <xf numFmtId="11" fontId="7" fillId="0" borderId="0" xfId="0" applyNumberFormat="1" applyFont="1" applyAlignment="1">
      <alignment horizontal="center"/>
    </xf>
    <xf numFmtId="0" fontId="10" fillId="0" borderId="0" xfId="2" applyFont="1" applyAlignment="1">
      <alignment horizontal="left"/>
    </xf>
    <xf numFmtId="0" fontId="0" fillId="0" borderId="0" xfId="0" applyAlignment="1">
      <alignment horizontal="left"/>
    </xf>
    <xf numFmtId="0" fontId="7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11" fontId="2" fillId="3" borderId="0" xfId="0" applyNumberFormat="1" applyFont="1" applyFill="1" applyAlignment="1">
      <alignment horizontal="center"/>
    </xf>
    <xf numFmtId="11" fontId="0" fillId="3" borderId="0" xfId="0" applyNumberFormat="1" applyFill="1" applyAlignment="1">
      <alignment horizontal="center"/>
    </xf>
    <xf numFmtId="10" fontId="0" fillId="3" borderId="0" xfId="0" applyNumberFormat="1" applyFill="1" applyAlignment="1">
      <alignment horizontal="center"/>
    </xf>
    <xf numFmtId="169" fontId="0" fillId="3" borderId="0" xfId="0" applyNumberFormat="1" applyFill="1" applyAlignment="1">
      <alignment horizontal="center"/>
    </xf>
    <xf numFmtId="11" fontId="2" fillId="3" borderId="1" xfId="0" applyNumberFormat="1" applyFont="1" applyFill="1" applyBorder="1" applyAlignment="1">
      <alignment horizontal="center"/>
    </xf>
    <xf numFmtId="11" fontId="0" fillId="3" borderId="1" xfId="0" applyNumberFormat="1" applyFill="1" applyBorder="1" applyAlignment="1">
      <alignment horizontal="center"/>
    </xf>
    <xf numFmtId="10" fontId="0" fillId="3" borderId="1" xfId="0" applyNumberForma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6" fillId="4" borderId="1" xfId="0" applyFont="1" applyFill="1" applyBorder="1" applyAlignment="1">
      <alignment horizontal="center"/>
    </xf>
    <xf numFmtId="11" fontId="2" fillId="4" borderId="0" xfId="0" applyNumberFormat="1" applyFont="1" applyFill="1" applyAlignment="1">
      <alignment horizontal="center"/>
    </xf>
    <xf numFmtId="168" fontId="2" fillId="4" borderId="0" xfId="0" applyNumberFormat="1" applyFont="1" applyFill="1" applyAlignment="1">
      <alignment horizontal="center"/>
    </xf>
    <xf numFmtId="11" fontId="2" fillId="4" borderId="1" xfId="0" applyNumberFormat="1" applyFont="1" applyFill="1" applyBorder="1" applyAlignment="1">
      <alignment horizontal="center"/>
    </xf>
    <xf numFmtId="168" fontId="2" fillId="4" borderId="1" xfId="0" applyNumberFormat="1" applyFont="1" applyFill="1" applyBorder="1" applyAlignment="1">
      <alignment horizontal="center"/>
    </xf>
    <xf numFmtId="0" fontId="2" fillId="4" borderId="0" xfId="0" applyFont="1" applyFill="1" applyAlignment="1">
      <alignment horizontal="center"/>
    </xf>
  </cellXfs>
  <cellStyles count="4">
    <cellStyle name="Hyperlink" xfId="2" builtinId="8"/>
    <cellStyle name="Normal" xfId="0" builtinId="0"/>
    <cellStyle name="Normal 2 2 3" xfId="3" xr:uid="{00000000-0005-0000-0000-000002000000}"/>
    <cellStyle name="Percent" xfId="1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Conversion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Calcs!$A$2:$A$76</c:f>
              <c:numCache>
                <c:formatCode>General</c:formatCode>
                <c:ptCount val="75"/>
                <c:pt idx="0">
                  <c:v>1946</c:v>
                </c:pt>
                <c:pt idx="1">
                  <c:v>1947</c:v>
                </c:pt>
                <c:pt idx="2">
                  <c:v>1948</c:v>
                </c:pt>
                <c:pt idx="3">
                  <c:v>1949</c:v>
                </c:pt>
                <c:pt idx="4">
                  <c:v>1950</c:v>
                </c:pt>
                <c:pt idx="5">
                  <c:v>1951</c:v>
                </c:pt>
                <c:pt idx="6">
                  <c:v>1952</c:v>
                </c:pt>
                <c:pt idx="7">
                  <c:v>1953</c:v>
                </c:pt>
                <c:pt idx="8">
                  <c:v>1954</c:v>
                </c:pt>
                <c:pt idx="9">
                  <c:v>1955</c:v>
                </c:pt>
                <c:pt idx="10">
                  <c:v>1956</c:v>
                </c:pt>
                <c:pt idx="11">
                  <c:v>1957</c:v>
                </c:pt>
                <c:pt idx="12">
                  <c:v>1958</c:v>
                </c:pt>
                <c:pt idx="13">
                  <c:v>1959</c:v>
                </c:pt>
                <c:pt idx="14">
                  <c:v>1960</c:v>
                </c:pt>
                <c:pt idx="15">
                  <c:v>1961</c:v>
                </c:pt>
                <c:pt idx="16">
                  <c:v>1962</c:v>
                </c:pt>
                <c:pt idx="17">
                  <c:v>1963</c:v>
                </c:pt>
                <c:pt idx="18">
                  <c:v>1964</c:v>
                </c:pt>
                <c:pt idx="19">
                  <c:v>1965</c:v>
                </c:pt>
                <c:pt idx="20">
                  <c:v>1966</c:v>
                </c:pt>
                <c:pt idx="21">
                  <c:v>1967</c:v>
                </c:pt>
                <c:pt idx="22">
                  <c:v>1968</c:v>
                </c:pt>
                <c:pt idx="23">
                  <c:v>1969</c:v>
                </c:pt>
                <c:pt idx="24">
                  <c:v>1970</c:v>
                </c:pt>
                <c:pt idx="25">
                  <c:v>1971</c:v>
                </c:pt>
                <c:pt idx="26">
                  <c:v>1972</c:v>
                </c:pt>
                <c:pt idx="27">
                  <c:v>1973</c:v>
                </c:pt>
                <c:pt idx="28">
                  <c:v>1974</c:v>
                </c:pt>
                <c:pt idx="29">
                  <c:v>1975</c:v>
                </c:pt>
                <c:pt idx="30">
                  <c:v>1976</c:v>
                </c:pt>
                <c:pt idx="31">
                  <c:v>1977</c:v>
                </c:pt>
                <c:pt idx="32">
                  <c:v>1978</c:v>
                </c:pt>
                <c:pt idx="33">
                  <c:v>1979</c:v>
                </c:pt>
                <c:pt idx="34">
                  <c:v>1980</c:v>
                </c:pt>
                <c:pt idx="35">
                  <c:v>1981</c:v>
                </c:pt>
                <c:pt idx="36">
                  <c:v>1982</c:v>
                </c:pt>
                <c:pt idx="37">
                  <c:v>1983</c:v>
                </c:pt>
                <c:pt idx="38">
                  <c:v>1984</c:v>
                </c:pt>
                <c:pt idx="39">
                  <c:v>1985</c:v>
                </c:pt>
                <c:pt idx="40">
                  <c:v>1986</c:v>
                </c:pt>
                <c:pt idx="41">
                  <c:v>1987</c:v>
                </c:pt>
                <c:pt idx="42">
                  <c:v>1988</c:v>
                </c:pt>
                <c:pt idx="43">
                  <c:v>1989</c:v>
                </c:pt>
                <c:pt idx="44">
                  <c:v>1990</c:v>
                </c:pt>
                <c:pt idx="45">
                  <c:v>1991</c:v>
                </c:pt>
                <c:pt idx="46">
                  <c:v>1992</c:v>
                </c:pt>
                <c:pt idx="47">
                  <c:v>1993</c:v>
                </c:pt>
                <c:pt idx="48">
                  <c:v>1994</c:v>
                </c:pt>
                <c:pt idx="49">
                  <c:v>1995</c:v>
                </c:pt>
                <c:pt idx="50">
                  <c:v>1996</c:v>
                </c:pt>
                <c:pt idx="51">
                  <c:v>1997</c:v>
                </c:pt>
                <c:pt idx="52">
                  <c:v>1998</c:v>
                </c:pt>
                <c:pt idx="53">
                  <c:v>1999</c:v>
                </c:pt>
                <c:pt idx="54">
                  <c:v>2000</c:v>
                </c:pt>
                <c:pt idx="55">
                  <c:v>2001</c:v>
                </c:pt>
                <c:pt idx="56">
                  <c:v>2002</c:v>
                </c:pt>
                <c:pt idx="57">
                  <c:v>2003</c:v>
                </c:pt>
                <c:pt idx="58">
                  <c:v>2004</c:v>
                </c:pt>
                <c:pt idx="59">
                  <c:v>2005</c:v>
                </c:pt>
                <c:pt idx="60">
                  <c:v>2006</c:v>
                </c:pt>
                <c:pt idx="61">
                  <c:v>2007</c:v>
                </c:pt>
                <c:pt idx="62">
                  <c:v>2008</c:v>
                </c:pt>
                <c:pt idx="63">
                  <c:v>2009</c:v>
                </c:pt>
                <c:pt idx="64">
                  <c:v>2010</c:v>
                </c:pt>
                <c:pt idx="65">
                  <c:v>2011</c:v>
                </c:pt>
                <c:pt idx="66">
                  <c:v>2012</c:v>
                </c:pt>
                <c:pt idx="67">
                  <c:v>2013</c:v>
                </c:pt>
                <c:pt idx="68">
                  <c:v>2014</c:v>
                </c:pt>
                <c:pt idx="69">
                  <c:v>2015</c:v>
                </c:pt>
                <c:pt idx="70">
                  <c:v>2016</c:v>
                </c:pt>
                <c:pt idx="71">
                  <c:v>2017</c:v>
                </c:pt>
                <c:pt idx="72">
                  <c:v>2018</c:v>
                </c:pt>
                <c:pt idx="73">
                  <c:v>2019</c:v>
                </c:pt>
                <c:pt idx="74">
                  <c:v>2020</c:v>
                </c:pt>
              </c:numCache>
            </c:numRef>
          </c:cat>
          <c:val>
            <c:numRef>
              <c:f>Calcs!$N$2:$N$76</c:f>
              <c:numCache>
                <c:formatCode>0.00000000000%</c:formatCode>
                <c:ptCount val="75"/>
                <c:pt idx="0">
                  <c:v>2.1099422764227639E-18</c:v>
                </c:pt>
                <c:pt idx="1">
                  <c:v>3.2767579386362087E-18</c:v>
                </c:pt>
                <c:pt idx="2">
                  <c:v>5.0888323857931075E-18</c:v>
                </c:pt>
                <c:pt idx="3">
                  <c:v>7.9029991032776011E-18</c:v>
                </c:pt>
                <c:pt idx="4">
                  <c:v>1.2273423467586349E-17</c:v>
                </c:pt>
                <c:pt idx="5">
                  <c:v>1.9060728926593034E-17</c:v>
                </c:pt>
                <c:pt idx="6">
                  <c:v>2.960147086691774E-17</c:v>
                </c:pt>
                <c:pt idx="7">
                  <c:v>4.5971330942247598E-17</c:v>
                </c:pt>
                <c:pt idx="8">
                  <c:v>7.1393860058614912E-17</c:v>
                </c:pt>
                <c:pt idx="9">
                  <c:v>1.1087525963674672E-16</c:v>
                </c:pt>
                <c:pt idx="10">
                  <c:v>1.7219020220260512E-16</c:v>
                </c:pt>
                <c:pt idx="11">
                  <c:v>2.6741281897971864E-16</c:v>
                </c:pt>
                <c:pt idx="12">
                  <c:v>4.1529433637894893E-16</c:v>
                </c:pt>
                <c:pt idx="13">
                  <c:v>6.4495556528085701E-16</c:v>
                </c:pt>
                <c:pt idx="14">
                  <c:v>1.001621367663521E-15</c:v>
                </c:pt>
                <c:pt idx="15">
                  <c:v>1.5555263310630523E-15</c:v>
                </c:pt>
                <c:pt idx="16">
                  <c:v>2.4157453552284864E-15</c:v>
                </c:pt>
                <c:pt idx="17">
                  <c:v>3.7516726684524324E-15</c:v>
                </c:pt>
                <c:pt idx="18">
                  <c:v>5.8263789189334262E-15</c:v>
                </c:pt>
                <c:pt idx="19">
                  <c:v>9.0484150156391482E-15</c:v>
                </c:pt>
                <c:pt idx="20">
                  <c:v>1.405226392488752E-14</c:v>
                </c:pt>
                <c:pt idx="21">
                  <c:v>2.1823282980872907E-14</c:v>
                </c:pt>
                <c:pt idx="22">
                  <c:v>3.3891740335151977E-14</c:v>
                </c:pt>
                <c:pt idx="23">
                  <c:v>5.2634155179675531E-14</c:v>
                </c:pt>
                <c:pt idx="24">
                  <c:v>8.1741281624452691E-14</c:v>
                </c:pt>
                <c:pt idx="25">
                  <c:v>1.2694489155945288E-13</c:v>
                </c:pt>
                <c:pt idx="26">
                  <c:v>1.971464744959703E-13</c:v>
                </c:pt>
                <c:pt idx="27">
                  <c:v>3.0617011782615241E-13</c:v>
                </c:pt>
                <c:pt idx="28">
                  <c:v>4.7548474447412354E-13</c:v>
                </c:pt>
                <c:pt idx="29">
                  <c:v>7.3843177065363191E-13</c:v>
                </c:pt>
                <c:pt idx="30">
                  <c:v>1.1467906935979411E-12</c:v>
                </c:pt>
                <c:pt idx="31">
                  <c:v>1.7809755040179201E-12</c:v>
                </c:pt>
                <c:pt idx="32">
                  <c:v>2.7658697996238607E-12</c:v>
                </c:pt>
                <c:pt idx="33">
                  <c:v>4.2954188483849525E-12</c:v>
                </c:pt>
                <c:pt idx="34">
                  <c:v>6.6708212677154828E-12</c:v>
                </c:pt>
                <c:pt idx="35">
                  <c:v>1.0359841020516957E-11</c:v>
                </c:pt>
                <c:pt idx="36">
                  <c:v>1.6088919439323167E-11</c:v>
                </c:pt>
                <c:pt idx="37">
                  <c:v>2.4986225967405247E-11</c:v>
                </c:pt>
                <c:pt idx="38">
                  <c:v>3.8803817151839074E-11</c:v>
                </c:pt>
                <c:pt idx="39">
                  <c:v>6.026265141113259E-11</c:v>
                </c:pt>
                <c:pt idx="40">
                  <c:v>9.3588399844502172E-11</c:v>
                </c:pt>
                <c:pt idx="41">
                  <c:v>1.4534356488399316E-10</c:v>
                </c:pt>
                <c:pt idx="42">
                  <c:v>2.2571976749558766E-10</c:v>
                </c:pt>
                <c:pt idx="43">
                  <c:v>3.505446799721304E-10</c:v>
                </c:pt>
                <c:pt idx="44">
                  <c:v>5.4439880928528532E-10</c:v>
                </c:pt>
                <c:pt idx="45">
                  <c:v>8.4545588760563306E-10</c:v>
                </c:pt>
                <c:pt idx="46">
                  <c:v>1.3130000391172197E-9</c:v>
                </c:pt>
                <c:pt idx="47">
                  <c:v>2.0391000027267787E-9</c:v>
                </c:pt>
                <c:pt idx="48">
                  <c:v>3.1667392972169367E-9</c:v>
                </c:pt>
                <c:pt idx="49">
                  <c:v>4.9179725188215065E-9</c:v>
                </c:pt>
                <c:pt idx="50">
                  <c:v>7.6376523059971739E-9</c:v>
                </c:pt>
                <c:pt idx="51">
                  <c:v>1.1861337680123738E-8</c:v>
                </c:pt>
                <c:pt idx="52">
                  <c:v>1.8420756264517919E-8</c:v>
                </c:pt>
                <c:pt idx="53">
                  <c:v>2.8607587989458107E-8</c:v>
                </c:pt>
                <c:pt idx="54">
                  <c:v>4.4427822550960424E-8</c:v>
                </c:pt>
                <c:pt idx="55">
                  <c:v>5.6389159391603611E-8</c:v>
                </c:pt>
                <c:pt idx="56">
                  <c:v>8.7572834458167446E-8</c:v>
                </c:pt>
                <c:pt idx="57">
                  <c:v>1.3600134170786463E-7</c:v>
                </c:pt>
                <c:pt idx="58">
                  <c:v>2.1121121704901496E-7</c:v>
                </c:pt>
                <c:pt idx="59">
                  <c:v>3.2801278022054494E-7</c:v>
                </c:pt>
                <c:pt idx="60">
                  <c:v>5.0940658119997113E-7</c:v>
                </c:pt>
                <c:pt idx="61">
                  <c:v>7.9111266577886821E-7</c:v>
                </c:pt>
                <c:pt idx="62">
                  <c:v>1.22860456274736E-6</c:v>
                </c:pt>
                <c:pt idx="63">
                  <c:v>1.9080331246085594E-6</c:v>
                </c:pt>
                <c:pt idx="64">
                  <c:v>2.4217343504647093E-6</c:v>
                </c:pt>
                <c:pt idx="65">
                  <c:v>3.0737397525129001E-6</c:v>
                </c:pt>
                <c:pt idx="66">
                  <c:v>3.9012850704971428E-6</c:v>
                </c:pt>
                <c:pt idx="67">
                  <c:v>4.9516310510156043E-6</c:v>
                </c:pt>
                <c:pt idx="68">
                  <c:v>6.2847624878274965E-6</c:v>
                </c:pt>
                <c:pt idx="69">
                  <c:v>7.9768139268579761E-6</c:v>
                </c:pt>
                <c:pt idx="70">
                  <c:v>1.012441767639666E-5</c:v>
                </c:pt>
                <c:pt idx="71">
                  <c:v>1.2850222435426531E-5</c:v>
                </c:pt>
                <c:pt idx="72">
                  <c:v>1.6309897706502903E-5</c:v>
                </c:pt>
                <c:pt idx="73">
                  <c:v>2.0701024012099835E-5</c:v>
                </c:pt>
                <c:pt idx="74">
                  <c:v>2.62743766307421E-5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D4-44F6-A243-7F7FF1C66A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9983248"/>
        <c:axId val="44999046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v>No conversion</c:v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Calcs!$K$2:$K$76</c15:sqref>
                        </c15:formulaRef>
                      </c:ext>
                    </c:extLst>
                    <c:numCache>
                      <c:formatCode>0.00%</c:formatCode>
                      <c:ptCount val="75"/>
                      <c:pt idx="0">
                        <c:v>1.7389634146341462E-14</c:v>
                      </c:pt>
                      <c:pt idx="1">
                        <c:v>2.7006246747001718E-14</c:v>
                      </c:pt>
                      <c:pt idx="2">
                        <c:v>4.1940926256536607E-14</c:v>
                      </c:pt>
                      <c:pt idx="3">
                        <c:v>6.513460799404617E-14</c:v>
                      </c:pt>
                      <c:pt idx="4">
                        <c:v>1.0115458901856883E-13</c:v>
                      </c:pt>
                      <c:pt idx="5">
                        <c:v>1.570939197246679E-13</c:v>
                      </c:pt>
                      <c:pt idx="6">
                        <c:v>2.4396816648558583E-13</c:v>
                      </c:pt>
                      <c:pt idx="7">
                        <c:v>3.7888459567786495E-13</c:v>
                      </c:pt>
                      <c:pt idx="8">
                        <c:v>5.8841093454902413E-13</c:v>
                      </c:pt>
                      <c:pt idx="9">
                        <c:v>9.1380708491824214E-13</c:v>
                      </c:pt>
                      <c:pt idx="10">
                        <c:v>1.4191500181533389E-12</c:v>
                      </c:pt>
                      <c:pt idx="11">
                        <c:v>2.2039518047779014E-12</c:v>
                      </c:pt>
                      <c:pt idx="12">
                        <c:v>3.4227555196067227E-12</c:v>
                      </c:pt>
                      <c:pt idx="13">
                        <c:v>5.315567845721349E-12</c:v>
                      </c:pt>
                      <c:pt idx="14">
                        <c:v>8.2551211620619868E-12</c:v>
                      </c:pt>
                      <c:pt idx="15">
                        <c:v>1.282027195931087E-11</c:v>
                      </c:pt>
                      <c:pt idx="16">
                        <c:v>1.9909989191443565E-11</c:v>
                      </c:pt>
                      <c:pt idx="17">
                        <c:v>3.0920379135596965E-11</c:v>
                      </c:pt>
                      <c:pt idx="18">
                        <c:v>4.8019606474726041E-11</c:v>
                      </c:pt>
                      <c:pt idx="19">
                        <c:v>7.4574849029992983E-11</c:v>
                      </c:pt>
                      <c:pt idx="20">
                        <c:v>1.1581536201830374E-10</c:v>
                      </c:pt>
                      <c:pt idx="21">
                        <c:v>1.7986222236983167E-10</c:v>
                      </c:pt>
                      <c:pt idx="22">
                        <c:v>2.7932753023476907E-10</c:v>
                      </c:pt>
                      <c:pt idx="23">
                        <c:v>4.3379798225007317E-10</c:v>
                      </c:pt>
                      <c:pt idx="24">
                        <c:v>6.7369188152021453E-10</c:v>
                      </c:pt>
                      <c:pt idx="25" formatCode="0.000000000000%">
                        <c:v>1.0462491062592272E-9</c:v>
                      </c:pt>
                      <c:pt idx="26">
                        <c:v>1.6248335810107445E-9</c:v>
                      </c:pt>
                      <c:pt idx="27">
                        <c:v>2.5233800919737834E-9</c:v>
                      </c:pt>
                      <c:pt idx="28">
                        <c:v>3.9188303115999201E-9</c:v>
                      </c:pt>
                      <c:pt idx="29">
                        <c:v>6.0859761317607019E-9</c:v>
                      </c:pt>
                      <c:pt idx="30">
                        <c:v>9.4515716505324818E-9</c:v>
                      </c:pt>
                      <c:pt idx="31">
                        <c:v>1.4678369538609234E-8</c:v>
                      </c:pt>
                      <c:pt idx="32">
                        <c:v>2.2795630216680175E-8</c:v>
                      </c:pt>
                      <c:pt idx="33">
                        <c:v>3.5401803695480385E-8</c:v>
                      </c:pt>
                      <c:pt idx="34">
                        <c:v>5.4979296162490255E-8</c:v>
                      </c:pt>
                      <c:pt idx="35">
                        <c:v>8.5383305114150751E-8</c:v>
                      </c:pt>
                      <c:pt idx="36">
                        <c:v>1.3260098439002615E-7</c:v>
                      </c:pt>
                      <c:pt idx="37">
                        <c:v>2.0593043379729602E-7</c:v>
                      </c:pt>
                      <c:pt idx="38">
                        <c:v>3.1981167982284953E-7</c:v>
                      </c:pt>
                      <c:pt idx="39">
                        <c:v>4.9667020393790599E-7</c:v>
                      </c:pt>
                      <c:pt idx="40">
                        <c:v>7.7133296575139157E-7</c:v>
                      </c:pt>
                      <c:pt idx="41">
                        <c:v>1.1978865237691744E-6</c:v>
                      </c:pt>
                      <c:pt idx="42">
                        <c:v>1.8603277540845137E-6</c:v>
                      </c:pt>
                      <c:pt idx="43">
                        <c:v>2.889104505264811E-6</c:v>
                      </c:pt>
                      <c:pt idx="44">
                        <c:v>4.4868033732303737E-6</c:v>
                      </c:pt>
                      <c:pt idx="45">
                        <c:v>6.9680430297167569E-6</c:v>
                      </c:pt>
                      <c:pt idx="46">
                        <c:v>1.082142889382324E-5</c:v>
                      </c:pt>
                      <c:pt idx="47">
                        <c:v>1.6805769253242681E-5</c:v>
                      </c:pt>
                      <c:pt idx="48">
                        <c:v>2.6099499702337389E-5</c:v>
                      </c:pt>
                      <c:pt idx="49">
                        <c:v>4.0532740539737697E-5</c:v>
                      </c:pt>
                      <c:pt idx="50">
                        <c:v>6.294768384063606E-5</c:v>
                      </c:pt>
                      <c:pt idx="51">
                        <c:v>9.7758277583437405E-5</c:v>
                      </c:pt>
                      <c:pt idx="52">
                        <c:v>1.5181941976251035E-4</c:v>
                      </c:pt>
                      <c:pt idx="53">
                        <c:v>2.3577682408894052E-4</c:v>
                      </c:pt>
                      <c:pt idx="54">
                        <c:v>3.6616337267275081E-4</c:v>
                      </c:pt>
                      <c:pt idx="55">
                        <c:v>4.6474581916156835E-4</c:v>
                      </c:pt>
                      <c:pt idx="56">
                        <c:v>7.2175413014973194E-4</c:v>
                      </c:pt>
                      <c:pt idx="57">
                        <c:v>1.1208901789109722E-3</c:v>
                      </c:pt>
                      <c:pt idx="58">
                        <c:v>1.7407517888655081E-3</c:v>
                      </c:pt>
                      <c:pt idx="59">
                        <c:v>2.7034020347847113E-3</c:v>
                      </c:pt>
                      <c:pt idx="60">
                        <c:v>4.198405889010751E-3</c:v>
                      </c:pt>
                      <c:pt idx="61">
                        <c:v>6.5201593333423201E-3</c:v>
                      </c:pt>
                      <c:pt idx="62">
                        <c:v>1.0125861780884838E-2</c:v>
                      </c:pt>
                      <c:pt idx="63">
                        <c:v>1.5725547730290324E-2</c:v>
                      </c:pt>
                      <c:pt idx="64">
                        <c:v>1.995934904229156E-2</c:v>
                      </c:pt>
                      <c:pt idx="65">
                        <c:v>2.5333019938293139E-2</c:v>
                      </c:pt>
                      <c:pt idx="66">
                        <c:v>3.2153448383218208E-2</c:v>
                      </c:pt>
                      <c:pt idx="67">
                        <c:v>4.0810146024853881E-2</c:v>
                      </c:pt>
                      <c:pt idx="68">
                        <c:v>5.1797493031545301E-2</c:v>
                      </c:pt>
                      <c:pt idx="69">
                        <c:v>6.574297192465367E-2</c:v>
                      </c:pt>
                      <c:pt idx="70">
                        <c:v>8.3443002827445004E-2</c:v>
                      </c:pt>
                      <c:pt idx="71">
                        <c:v>0.10590842666560327</c:v>
                      </c:pt>
                      <c:pt idx="72">
                        <c:v>0.13442223384480417</c:v>
                      </c:pt>
                      <c:pt idx="73">
                        <c:v>0.17061283526455909</c:v>
                      </c:pt>
                      <c:pt idx="74">
                        <c:v>0.21654706014347888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9B44-4C61-B177-B3BC49D6C714}"/>
                  </c:ext>
                </c:extLst>
              </c15:ser>
            </c15:filteredLineSeries>
          </c:ext>
        </c:extLst>
      </c:lineChart>
      <c:catAx>
        <c:axId val="449983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990464"/>
        <c:crosses val="autoZero"/>
        <c:auto val="1"/>
        <c:lblAlgn val="ctr"/>
        <c:lblOffset val="100"/>
        <c:noMultiLvlLbl val="0"/>
      </c:catAx>
      <c:valAx>
        <c:axId val="44999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983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311033982594301"/>
          <c:y val="8.2608357193987098E-2"/>
          <c:w val="0.70184562623031499"/>
          <c:h val="0.814366027062151"/>
        </c:manualLayout>
      </c:layout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'Koomey et al (2011)'!$B$12:$B$90</c:f>
              <c:numCache>
                <c:formatCode>General</c:formatCode>
                <c:ptCount val="79"/>
                <c:pt idx="0">
                  <c:v>1946</c:v>
                </c:pt>
                <c:pt idx="1">
                  <c:v>1951</c:v>
                </c:pt>
                <c:pt idx="2">
                  <c:v>1952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1959</c:v>
                </c:pt>
                <c:pt idx="12">
                  <c:v>1959</c:v>
                </c:pt>
                <c:pt idx="13">
                  <c:v>1959</c:v>
                </c:pt>
                <c:pt idx="14">
                  <c:v>1960</c:v>
                </c:pt>
                <c:pt idx="15">
                  <c:v>1960</c:v>
                </c:pt>
                <c:pt idx="16">
                  <c:v>1960</c:v>
                </c:pt>
                <c:pt idx="17">
                  <c:v>1960</c:v>
                </c:pt>
                <c:pt idx="18">
                  <c:v>1960</c:v>
                </c:pt>
                <c:pt idx="19">
                  <c:v>1960</c:v>
                </c:pt>
                <c:pt idx="20">
                  <c:v>1961</c:v>
                </c:pt>
                <c:pt idx="21">
                  <c:v>1961</c:v>
                </c:pt>
                <c:pt idx="22">
                  <c:v>1961</c:v>
                </c:pt>
                <c:pt idx="23">
                  <c:v>1962</c:v>
                </c:pt>
                <c:pt idx="24">
                  <c:v>1962</c:v>
                </c:pt>
                <c:pt idx="25">
                  <c:v>1962</c:v>
                </c:pt>
                <c:pt idx="26">
                  <c:v>1962</c:v>
                </c:pt>
                <c:pt idx="27">
                  <c:v>1963</c:v>
                </c:pt>
                <c:pt idx="28">
                  <c:v>1965</c:v>
                </c:pt>
                <c:pt idx="29">
                  <c:v>1971</c:v>
                </c:pt>
                <c:pt idx="30">
                  <c:v>1975</c:v>
                </c:pt>
                <c:pt idx="31">
                  <c:v>1976</c:v>
                </c:pt>
                <c:pt idx="32">
                  <c:v>1977</c:v>
                </c:pt>
                <c:pt idx="33">
                  <c:v>1981</c:v>
                </c:pt>
                <c:pt idx="34">
                  <c:v>1981</c:v>
                </c:pt>
                <c:pt idx="35">
                  <c:v>1982</c:v>
                </c:pt>
                <c:pt idx="36">
                  <c:v>1983</c:v>
                </c:pt>
                <c:pt idx="37">
                  <c:v>1983</c:v>
                </c:pt>
                <c:pt idx="38">
                  <c:v>1984</c:v>
                </c:pt>
                <c:pt idx="39">
                  <c:v>1984</c:v>
                </c:pt>
                <c:pt idx="40">
                  <c:v>1985</c:v>
                </c:pt>
                <c:pt idx="41">
                  <c:v>1986</c:v>
                </c:pt>
                <c:pt idx="42">
                  <c:v>1987</c:v>
                </c:pt>
                <c:pt idx="43">
                  <c:v>1991</c:v>
                </c:pt>
                <c:pt idx="44">
                  <c:v>1991</c:v>
                </c:pt>
                <c:pt idx="45">
                  <c:v>1993</c:v>
                </c:pt>
                <c:pt idx="46">
                  <c:v>1993</c:v>
                </c:pt>
                <c:pt idx="47">
                  <c:v>1994</c:v>
                </c:pt>
                <c:pt idx="48">
                  <c:v>1997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2001</c:v>
                </c:pt>
                <c:pt idx="53">
                  <c:v>2001</c:v>
                </c:pt>
                <c:pt idx="54">
                  <c:v>2001</c:v>
                </c:pt>
                <c:pt idx="55">
                  <c:v>2001</c:v>
                </c:pt>
                <c:pt idx="56">
                  <c:v>2001</c:v>
                </c:pt>
                <c:pt idx="57">
                  <c:v>2001</c:v>
                </c:pt>
                <c:pt idx="58">
                  <c:v>2001</c:v>
                </c:pt>
                <c:pt idx="59">
                  <c:v>2002</c:v>
                </c:pt>
                <c:pt idx="60">
                  <c:v>2002</c:v>
                </c:pt>
                <c:pt idx="61">
                  <c:v>2003</c:v>
                </c:pt>
                <c:pt idx="62">
                  <c:v>2004</c:v>
                </c:pt>
                <c:pt idx="63">
                  <c:v>2004</c:v>
                </c:pt>
                <c:pt idx="64">
                  <c:v>2004</c:v>
                </c:pt>
                <c:pt idx="65">
                  <c:v>2004</c:v>
                </c:pt>
                <c:pt idx="66">
                  <c:v>2005</c:v>
                </c:pt>
                <c:pt idx="67">
                  <c:v>2006</c:v>
                </c:pt>
                <c:pt idx="68">
                  <c:v>2007</c:v>
                </c:pt>
                <c:pt idx="69">
                  <c:v>2008</c:v>
                </c:pt>
                <c:pt idx="70">
                  <c:v>2008</c:v>
                </c:pt>
                <c:pt idx="71">
                  <c:v>2008</c:v>
                </c:pt>
                <c:pt idx="72">
                  <c:v>2008</c:v>
                </c:pt>
                <c:pt idx="73">
                  <c:v>2008</c:v>
                </c:pt>
                <c:pt idx="74">
                  <c:v>2008</c:v>
                </c:pt>
                <c:pt idx="75">
                  <c:v>2009</c:v>
                </c:pt>
                <c:pt idx="76">
                  <c:v>2009</c:v>
                </c:pt>
                <c:pt idx="77">
                  <c:v>2009</c:v>
                </c:pt>
                <c:pt idx="78">
                  <c:v>2009</c:v>
                </c:pt>
              </c:numCache>
            </c:numRef>
          </c:xVal>
          <c:yVal>
            <c:numRef>
              <c:f>'Koomey et al (2011)'!$C$12:$C$90</c:f>
              <c:numCache>
                <c:formatCode>0</c:formatCode>
                <c:ptCount val="79"/>
                <c:pt idx="0">
                  <c:v>436.79999999999995</c:v>
                </c:pt>
                <c:pt idx="1">
                  <c:v>5406.1988370123636</c:v>
                </c:pt>
                <c:pt idx="2">
                  <c:v>1395</c:v>
                </c:pt>
                <c:pt idx="3">
                  <c:v>10647.479808550201</c:v>
                </c:pt>
                <c:pt idx="4">
                  <c:v>2999.9999999999995</c:v>
                </c:pt>
                <c:pt idx="5">
                  <c:v>15940.959409594096</c:v>
                </c:pt>
                <c:pt idx="6">
                  <c:v>31241.65554072096</c:v>
                </c:pt>
                <c:pt idx="7">
                  <c:v>304800</c:v>
                </c:pt>
                <c:pt idx="8">
                  <c:v>47634.322373696872</c:v>
                </c:pt>
                <c:pt idx="9">
                  <c:v>111375</c:v>
                </c:pt>
                <c:pt idx="10">
                  <c:v>3214973.2620320856</c:v>
                </c:pt>
                <c:pt idx="11">
                  <c:v>142425.88330851495</c:v>
                </c:pt>
                <c:pt idx="12">
                  <c:v>8553857.1428571437</c:v>
                </c:pt>
                <c:pt idx="13">
                  <c:v>1395000</c:v>
                </c:pt>
                <c:pt idx="14">
                  <c:v>2941875</c:v>
                </c:pt>
                <c:pt idx="15">
                  <c:v>120420</c:v>
                </c:pt>
                <c:pt idx="16">
                  <c:v>396000</c:v>
                </c:pt>
                <c:pt idx="17">
                  <c:v>8275199.9999999991</c:v>
                </c:pt>
                <c:pt idx="18">
                  <c:v>5049300.9047125103</c:v>
                </c:pt>
                <c:pt idx="19">
                  <c:v>456000</c:v>
                </c:pt>
                <c:pt idx="20">
                  <c:v>5004804.392587509</c:v>
                </c:pt>
                <c:pt idx="21">
                  <c:v>17437320</c:v>
                </c:pt>
                <c:pt idx="22">
                  <c:v>5088000</c:v>
                </c:pt>
                <c:pt idx="23">
                  <c:v>1089095.7446808508</c:v>
                </c:pt>
                <c:pt idx="24">
                  <c:v>12324000</c:v>
                </c:pt>
                <c:pt idx="25">
                  <c:v>24618181.818181816</c:v>
                </c:pt>
                <c:pt idx="26">
                  <c:v>416000</c:v>
                </c:pt>
                <c:pt idx="27">
                  <c:v>8220342.8571428591</c:v>
                </c:pt>
                <c:pt idx="28">
                  <c:v>6092307.692307692</c:v>
                </c:pt>
                <c:pt idx="29">
                  <c:v>516690000.00000006</c:v>
                </c:pt>
                <c:pt idx="30">
                  <c:v>582658959.53757226</c:v>
                </c:pt>
                <c:pt idx="31">
                  <c:v>2692173913.0434785</c:v>
                </c:pt>
                <c:pt idx="32">
                  <c:v>2057142857.1428568</c:v>
                </c:pt>
                <c:pt idx="33">
                  <c:v>5261538461.5384626</c:v>
                </c:pt>
                <c:pt idx="34">
                  <c:v>12563983248.022335</c:v>
                </c:pt>
                <c:pt idx="35">
                  <c:v>2117647058.8235292</c:v>
                </c:pt>
                <c:pt idx="36">
                  <c:v>10140845070.422535</c:v>
                </c:pt>
                <c:pt idx="37">
                  <c:v>2057142857.1428568</c:v>
                </c:pt>
                <c:pt idx="38">
                  <c:v>54545454545.454544</c:v>
                </c:pt>
                <c:pt idx="39">
                  <c:v>13784785043.508228</c:v>
                </c:pt>
                <c:pt idx="40">
                  <c:v>16695652173.913042</c:v>
                </c:pt>
                <c:pt idx="41">
                  <c:v>44585253456.221199</c:v>
                </c:pt>
                <c:pt idx="42">
                  <c:v>134344769403.82449</c:v>
                </c:pt>
                <c:pt idx="43">
                  <c:v>810131608548.9314</c:v>
                </c:pt>
                <c:pt idx="44">
                  <c:v>830926538028.90015</c:v>
                </c:pt>
                <c:pt idx="45">
                  <c:v>3869129358830.1455</c:v>
                </c:pt>
                <c:pt idx="46">
                  <c:v>3726315789473.6841</c:v>
                </c:pt>
                <c:pt idx="47">
                  <c:v>3451680000000</c:v>
                </c:pt>
                <c:pt idx="48">
                  <c:v>4400000000000</c:v>
                </c:pt>
                <c:pt idx="49">
                  <c:v>7681029952313.4688</c:v>
                </c:pt>
                <c:pt idx="50">
                  <c:v>86622474946814.766</c:v>
                </c:pt>
                <c:pt idx="51">
                  <c:v>60808064516129.031</c:v>
                </c:pt>
                <c:pt idx="52">
                  <c:v>85238673148385.891</c:v>
                </c:pt>
                <c:pt idx="53">
                  <c:v>116626101905566.94</c:v>
                </c:pt>
                <c:pt idx="54">
                  <c:v>125113636363636.36</c:v>
                </c:pt>
                <c:pt idx="55">
                  <c:v>170202741719988.75</c:v>
                </c:pt>
                <c:pt idx="56">
                  <c:v>99040479760119.922</c:v>
                </c:pt>
                <c:pt idx="57">
                  <c:v>101301178860396.36</c:v>
                </c:pt>
                <c:pt idx="58">
                  <c:v>104360189573459.72</c:v>
                </c:pt>
                <c:pt idx="59">
                  <c:v>188742857142857.12</c:v>
                </c:pt>
                <c:pt idx="60">
                  <c:v>170754005660782.22</c:v>
                </c:pt>
                <c:pt idx="61">
                  <c:v>276911934147997.47</c:v>
                </c:pt>
                <c:pt idx="62">
                  <c:v>247695657021051.03</c:v>
                </c:pt>
                <c:pt idx="63">
                  <c:v>604152094292421.5</c:v>
                </c:pt>
                <c:pt idx="64">
                  <c:v>318136882106405.25</c:v>
                </c:pt>
                <c:pt idx="65">
                  <c:v>318653289843171.31</c:v>
                </c:pt>
                <c:pt idx="66">
                  <c:v>66904258723404.25</c:v>
                </c:pt>
                <c:pt idx="67">
                  <c:v>246863630302684</c:v>
                </c:pt>
                <c:pt idx="68">
                  <c:v>776229199084668.25</c:v>
                </c:pt>
                <c:pt idx="69">
                  <c:v>801278566629339.62</c:v>
                </c:pt>
                <c:pt idx="70">
                  <c:v>684674940388529.25</c:v>
                </c:pt>
                <c:pt idx="71">
                  <c:v>1017228360000000</c:v>
                </c:pt>
                <c:pt idx="72">
                  <c:v>860844597010203.12</c:v>
                </c:pt>
                <c:pt idx="73">
                  <c:v>939381866430783.12</c:v>
                </c:pt>
                <c:pt idx="74">
                  <c:v>1708580571428571.5</c:v>
                </c:pt>
                <c:pt idx="75">
                  <c:v>1543234064516129</c:v>
                </c:pt>
                <c:pt idx="76">
                  <c:v>521508879420051.56</c:v>
                </c:pt>
                <c:pt idx="77">
                  <c:v>767314669652855.62</c:v>
                </c:pt>
                <c:pt idx="78">
                  <c:v>525572771023164.69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F9-4E57-A3D6-860686C6B1A2}"/>
            </c:ext>
          </c:extLst>
        </c:ser>
        <c:ser>
          <c:idx val="1"/>
          <c:order val="1"/>
          <c:spPr>
            <a:ln w="28575">
              <a:solidFill>
                <a:schemeClr val="bg1">
                  <a:lumMod val="65000"/>
                </a:schemeClr>
              </a:solidFill>
            </a:ln>
          </c:spPr>
          <c:marker>
            <c:symbol val="none"/>
          </c:marker>
          <c:xVal>
            <c:numRef>
              <c:f>'Koomey et al (2011)'!$E$12:$E$75</c:f>
              <c:numCache>
                <c:formatCode>General</c:formatCode>
                <c:ptCount val="64"/>
                <c:pt idx="0">
                  <c:v>1946</c:v>
                </c:pt>
                <c:pt idx="1">
                  <c:v>1947</c:v>
                </c:pt>
                <c:pt idx="2">
                  <c:v>1948</c:v>
                </c:pt>
                <c:pt idx="3">
                  <c:v>1949</c:v>
                </c:pt>
                <c:pt idx="4">
                  <c:v>1950</c:v>
                </c:pt>
                <c:pt idx="5">
                  <c:v>1951</c:v>
                </c:pt>
                <c:pt idx="6">
                  <c:v>1952</c:v>
                </c:pt>
                <c:pt idx="7">
                  <c:v>1953</c:v>
                </c:pt>
                <c:pt idx="8">
                  <c:v>1954</c:v>
                </c:pt>
                <c:pt idx="9">
                  <c:v>1955</c:v>
                </c:pt>
                <c:pt idx="10">
                  <c:v>1956</c:v>
                </c:pt>
                <c:pt idx="11">
                  <c:v>1957</c:v>
                </c:pt>
                <c:pt idx="12">
                  <c:v>1958</c:v>
                </c:pt>
                <c:pt idx="13">
                  <c:v>1959</c:v>
                </c:pt>
                <c:pt idx="14">
                  <c:v>1960</c:v>
                </c:pt>
                <c:pt idx="15">
                  <c:v>1961</c:v>
                </c:pt>
                <c:pt idx="16">
                  <c:v>1962</c:v>
                </c:pt>
                <c:pt idx="17">
                  <c:v>1963</c:v>
                </c:pt>
                <c:pt idx="18">
                  <c:v>1964</c:v>
                </c:pt>
                <c:pt idx="19">
                  <c:v>1965</c:v>
                </c:pt>
                <c:pt idx="20">
                  <c:v>1966</c:v>
                </c:pt>
                <c:pt idx="21">
                  <c:v>1967</c:v>
                </c:pt>
                <c:pt idx="22">
                  <c:v>1968</c:v>
                </c:pt>
                <c:pt idx="23">
                  <c:v>1969</c:v>
                </c:pt>
                <c:pt idx="24">
                  <c:v>1970</c:v>
                </c:pt>
                <c:pt idx="25">
                  <c:v>1971</c:v>
                </c:pt>
                <c:pt idx="26">
                  <c:v>1972</c:v>
                </c:pt>
                <c:pt idx="27">
                  <c:v>1973</c:v>
                </c:pt>
                <c:pt idx="28">
                  <c:v>1974</c:v>
                </c:pt>
                <c:pt idx="29">
                  <c:v>1975</c:v>
                </c:pt>
                <c:pt idx="30">
                  <c:v>1976</c:v>
                </c:pt>
                <c:pt idx="31">
                  <c:v>1977</c:v>
                </c:pt>
                <c:pt idx="32">
                  <c:v>1978</c:v>
                </c:pt>
                <c:pt idx="33">
                  <c:v>1979</c:v>
                </c:pt>
                <c:pt idx="34">
                  <c:v>1980</c:v>
                </c:pt>
                <c:pt idx="35">
                  <c:v>1981</c:v>
                </c:pt>
                <c:pt idx="36">
                  <c:v>1982</c:v>
                </c:pt>
                <c:pt idx="37">
                  <c:v>1983</c:v>
                </c:pt>
                <c:pt idx="38">
                  <c:v>1984</c:v>
                </c:pt>
                <c:pt idx="39">
                  <c:v>1985</c:v>
                </c:pt>
                <c:pt idx="40">
                  <c:v>1986</c:v>
                </c:pt>
                <c:pt idx="41">
                  <c:v>1987</c:v>
                </c:pt>
                <c:pt idx="42">
                  <c:v>1988</c:v>
                </c:pt>
                <c:pt idx="43">
                  <c:v>1989</c:v>
                </c:pt>
                <c:pt idx="44">
                  <c:v>1990</c:v>
                </c:pt>
                <c:pt idx="45">
                  <c:v>1991</c:v>
                </c:pt>
                <c:pt idx="46">
                  <c:v>1992</c:v>
                </c:pt>
                <c:pt idx="47">
                  <c:v>1993</c:v>
                </c:pt>
                <c:pt idx="48">
                  <c:v>1994</c:v>
                </c:pt>
                <c:pt idx="49">
                  <c:v>1995</c:v>
                </c:pt>
                <c:pt idx="50">
                  <c:v>1996</c:v>
                </c:pt>
                <c:pt idx="51">
                  <c:v>1997</c:v>
                </c:pt>
                <c:pt idx="52">
                  <c:v>1998</c:v>
                </c:pt>
                <c:pt idx="53">
                  <c:v>1999</c:v>
                </c:pt>
                <c:pt idx="54">
                  <c:v>2000</c:v>
                </c:pt>
                <c:pt idx="55">
                  <c:v>2001</c:v>
                </c:pt>
                <c:pt idx="56">
                  <c:v>2002</c:v>
                </c:pt>
                <c:pt idx="57">
                  <c:v>2003</c:v>
                </c:pt>
                <c:pt idx="58">
                  <c:v>2004</c:v>
                </c:pt>
                <c:pt idx="59">
                  <c:v>2005</c:v>
                </c:pt>
                <c:pt idx="60">
                  <c:v>2006</c:v>
                </c:pt>
                <c:pt idx="61">
                  <c:v>2007</c:v>
                </c:pt>
                <c:pt idx="62">
                  <c:v>2008</c:v>
                </c:pt>
                <c:pt idx="63">
                  <c:v>2009</c:v>
                </c:pt>
              </c:numCache>
            </c:numRef>
          </c:xVal>
          <c:yVal>
            <c:numRef>
              <c:f>'Koomey et al (2011)'!$F$12:$F$75</c:f>
              <c:numCache>
                <c:formatCode>0.000E+00</c:formatCode>
                <c:ptCount val="64"/>
                <c:pt idx="0">
                  <c:v>1729.700031654522</c:v>
                </c:pt>
                <c:pt idx="1">
                  <c:v>2686.2385637357652</c:v>
                </c:pt>
                <c:pt idx="2">
                  <c:v>4171.7508754382761</c:v>
                </c:pt>
                <c:pt idx="3">
                  <c:v>6478.7638751335853</c:v>
                </c:pt>
                <c:pt idx="4">
                  <c:v>10061.574289314724</c:v>
                </c:pt>
                <c:pt idx="5">
                  <c:v>15625.708720137638</c:v>
                </c:pt>
                <c:pt idx="6">
                  <c:v>24266.855860311167</c:v>
                </c:pt>
                <c:pt idx="7">
                  <c:v>37686.629380600949</c:v>
                </c:pt>
                <c:pt idx="8">
                  <c:v>58527.649492237273</c:v>
                </c:pt>
                <c:pt idx="9">
                  <c:v>90893.927405698123</c:v>
                </c:pt>
                <c:pt idx="10">
                  <c:v>141159.02673195579</c:v>
                </c:pt>
                <c:pt idx="11">
                  <c:v>219221.14487333279</c:v>
                </c:pt>
                <c:pt idx="12">
                  <c:v>340452.26488304208</c:v>
                </c:pt>
                <c:pt idx="13">
                  <c:v>528725.20454608521</c:v>
                </c:pt>
                <c:pt idx="14">
                  <c:v>821114.64882857306</c:v>
                </c:pt>
                <c:pt idx="15">
                  <c:v>1275197.892447033</c:v>
                </c:pt>
                <c:pt idx="16">
                  <c:v>1980392.9539211425</c:v>
                </c:pt>
                <c:pt idx="17">
                  <c:v>3075566.7611824935</c:v>
                </c:pt>
                <c:pt idx="18">
                  <c:v>4776380.8105673054</c:v>
                </c:pt>
                <c:pt idx="19">
                  <c:v>7417759.2031140132</c:v>
                </c:pt>
                <c:pt idx="20">
                  <c:v>11519841.858851625</c:v>
                </c:pt>
                <c:pt idx="21">
                  <c:v>17890410.408203054</c:v>
                </c:pt>
                <c:pt idx="22">
                  <c:v>27783956.454926807</c:v>
                </c:pt>
                <c:pt idx="23">
                  <c:v>43148715.914042421</c:v>
                </c:pt>
                <c:pt idx="24">
                  <c:v>67010315.397352345</c:v>
                </c:pt>
                <c:pt idx="25">
                  <c:v>104067578.24723044</c:v>
                </c:pt>
                <c:pt idx="26">
                  <c:v>161617816.27239692</c:v>
                </c:pt>
                <c:pt idx="27">
                  <c:v>250993815.524389</c:v>
                </c:pt>
                <c:pt idx="28">
                  <c:v>389795487.18390733</c:v>
                </c:pt>
                <c:pt idx="29">
                  <c:v>605355639.98451734</c:v>
                </c:pt>
                <c:pt idx="30">
                  <c:v>940122353.66955602</c:v>
                </c:pt>
                <c:pt idx="31">
                  <c:v>1460017849.8240972</c:v>
                </c:pt>
                <c:pt idx="32">
                  <c:v>2267419887.9377756</c:v>
                </c:pt>
                <c:pt idx="33">
                  <c:v>3521321981.6693201</c:v>
                </c:pt>
                <c:pt idx="34">
                  <c:v>5468642382.7156801</c:v>
                </c:pt>
                <c:pt idx="35">
                  <c:v>8492847193.6705866</c:v>
                </c:pt>
                <c:pt idx="36">
                  <c:v>13189462467.507008</c:v>
                </c:pt>
                <c:pt idx="37">
                  <c:v>20483345127.347115</c:v>
                </c:pt>
                <c:pt idx="38">
                  <c:v>31810805682.156902</c:v>
                </c:pt>
                <c:pt idx="39">
                  <c:v>49402446321.965576</c:v>
                </c:pt>
                <c:pt idx="40">
                  <c:v>76722410836.748398</c:v>
                </c:pt>
                <c:pt idx="41">
                  <c:v>119150543401.05153</c:v>
                </c:pt>
                <c:pt idx="42">
                  <c:v>185041786851.20593</c:v>
                </c:pt>
                <c:pt idx="43">
                  <c:v>287371437038.60645</c:v>
                </c:pt>
                <c:pt idx="44">
                  <c:v>446290236550.8916</c:v>
                </c:pt>
                <c:pt idx="45">
                  <c:v>693092456554.46118</c:v>
                </c:pt>
                <c:pt idx="46">
                  <c:v>1076378360963.4589</c:v>
                </c:pt>
                <c:pt idx="47">
                  <c:v>1671624564650.6692</c:v>
                </c:pt>
                <c:pt idx="48">
                  <c:v>2596046879502.5171</c:v>
                </c:pt>
                <c:pt idx="49">
                  <c:v>4031682438205.8018</c:v>
                </c:pt>
                <c:pt idx="50">
                  <c:v>6261236424840.7148</c:v>
                </c:pt>
                <c:pt idx="51">
                  <c:v>9723752346229.6621</c:v>
                </c:pt>
                <c:pt idx="52">
                  <c:v>15101068427263.787</c:v>
                </c:pt>
                <c:pt idx="53">
                  <c:v>23452085113351.473</c:v>
                </c:pt>
                <c:pt idx="54">
                  <c:v>36421283620623.625</c:v>
                </c:pt>
                <c:pt idx="55">
                  <c:v>56562556982145.031</c:v>
                </c:pt>
                <c:pt idx="56">
                  <c:v>87842122361289.234</c:v>
                </c:pt>
                <c:pt idx="57">
                  <c:v>136419548065557.8</c:v>
                </c:pt>
                <c:pt idx="58">
                  <c:v>211860695007640.34</c:v>
                </c:pt>
                <c:pt idx="59">
                  <c:v>329021424902797.5</c:v>
                </c:pt>
                <c:pt idx="60">
                  <c:v>510973014797062.31</c:v>
                </c:pt>
                <c:pt idx="61">
                  <c:v>793545350209224.62</c:v>
                </c:pt>
                <c:pt idx="62">
                  <c:v>1232382541940509.8</c:v>
                </c:pt>
                <c:pt idx="63">
                  <c:v>1913900357779791.5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3F9-4E57-A3D6-860686C6B1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7812088"/>
        <c:axId val="-2117145048"/>
      </c:scatterChart>
      <c:valAx>
        <c:axId val="-2107812088"/>
        <c:scaling>
          <c:orientation val="minMax"/>
          <c:max val="2010"/>
        </c:scaling>
        <c:delete val="0"/>
        <c:axPos val="b"/>
        <c:numFmt formatCode="General" sourceLinked="1"/>
        <c:majorTickMark val="out"/>
        <c:minorTickMark val="none"/>
        <c:tickLblPos val="nextTo"/>
        <c:crossAx val="-2117145048"/>
        <c:crosses val="autoZero"/>
        <c:crossBetween val="midCat"/>
      </c:valAx>
      <c:valAx>
        <c:axId val="-2117145048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Computations per kWh</a:t>
                </a:r>
              </a:p>
            </c:rich>
          </c:tx>
          <c:overlay val="0"/>
        </c:title>
        <c:numFmt formatCode="0.E+00" sourceLinked="0"/>
        <c:majorTickMark val="out"/>
        <c:minorTickMark val="none"/>
        <c:tickLblPos val="nextTo"/>
        <c:crossAx val="-2107812088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600">
          <a:latin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  <c:userShapes r:id="rId1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1088570</xdr:colOff>
      <xdr:row>2</xdr:row>
      <xdr:rowOff>0</xdr:rowOff>
    </xdr:from>
    <xdr:to>
      <xdr:col>24</xdr:col>
      <xdr:colOff>149678</xdr:colOff>
      <xdr:row>31</xdr:row>
      <xdr:rowOff>13607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8</xdr:row>
      <xdr:rowOff>114300</xdr:rowOff>
    </xdr:from>
    <xdr:to>
      <xdr:col>17</xdr:col>
      <xdr:colOff>152400</xdr:colOff>
      <xdr:row>70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0.68185</cdr:x>
      <cdr:y>0.0449</cdr:y>
    </cdr:from>
    <cdr:to>
      <cdr:x>0.85921</cdr:x>
      <cdr:y>0.075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581176" y="501853"/>
          <a:ext cx="1711924" cy="33634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rgbClr val="7F7F7F"/>
              </a:solidFill>
              <a:latin typeface="Arial"/>
              <a:cs typeface="Arial"/>
            </a:rPr>
            <a:t>2008+2009 laptops</a:t>
          </a:r>
        </a:p>
      </cdr:txBody>
    </cdr:sp>
  </cdr:relSizeAnchor>
  <cdr:relSizeAnchor xmlns:cdr="http://schemas.openxmlformats.org/drawingml/2006/chartDrawing">
    <cdr:from>
      <cdr:x>0.29932</cdr:x>
      <cdr:y>0.39187</cdr:y>
    </cdr:from>
    <cdr:to>
      <cdr:x>0.51053</cdr:x>
      <cdr:y>0.4443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889021" y="4379559"/>
          <a:ext cx="2038599" cy="58595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400">
              <a:solidFill>
                <a:srgbClr val="7F7F7F"/>
              </a:solidFill>
              <a:latin typeface="Arial"/>
              <a:cs typeface="Arial"/>
            </a:rPr>
            <a:t>Cray</a:t>
          </a:r>
          <a:r>
            <a:rPr lang="en-US" sz="1400" baseline="0">
              <a:solidFill>
                <a:srgbClr val="7F7F7F"/>
              </a:solidFill>
              <a:latin typeface="Arial"/>
              <a:cs typeface="Arial"/>
            </a:rPr>
            <a:t> 1 supercomputer</a:t>
          </a:r>
          <a:endParaRPr lang="en-US" sz="1400">
            <a:solidFill>
              <a:srgbClr val="7F7F7F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0.3707</cdr:x>
      <cdr:y>0.57499</cdr:y>
    </cdr:from>
    <cdr:to>
      <cdr:x>0.56579</cdr:x>
      <cdr:y>0.61869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3577981" y="6426109"/>
          <a:ext cx="1883009" cy="48839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solidFill>
                <a:srgbClr val="7F7F7F"/>
              </a:solidFill>
              <a:latin typeface="Arial"/>
              <a:cs typeface="Arial"/>
            </a:rPr>
            <a:t>Univac III (transistors)</a:t>
          </a:r>
        </a:p>
      </cdr:txBody>
    </cdr:sp>
  </cdr:relSizeAnchor>
  <cdr:relSizeAnchor xmlns:cdr="http://schemas.openxmlformats.org/drawingml/2006/chartDrawing">
    <cdr:from>
      <cdr:x>0.1685</cdr:x>
      <cdr:y>0.77393</cdr:y>
    </cdr:from>
    <cdr:to>
      <cdr:x>0.25263</cdr:x>
      <cdr:y>0.82636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1626347" y="8649462"/>
          <a:ext cx="812023" cy="58595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solidFill>
                <a:srgbClr val="7F7F7F"/>
              </a:solidFill>
              <a:latin typeface="Arial"/>
              <a:cs typeface="Arial"/>
            </a:rPr>
            <a:t>Eniac</a:t>
          </a:r>
        </a:p>
      </cdr:txBody>
    </cdr:sp>
  </cdr:relSizeAnchor>
  <cdr:relSizeAnchor xmlns:cdr="http://schemas.openxmlformats.org/drawingml/2006/chartDrawing">
    <cdr:from>
      <cdr:x>0.56193</cdr:x>
      <cdr:y>0.38894</cdr:y>
    </cdr:from>
    <cdr:to>
      <cdr:x>0.67105</cdr:x>
      <cdr:y>0.43589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5423733" y="4346814"/>
          <a:ext cx="1053226" cy="52471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400">
              <a:solidFill>
                <a:srgbClr val="7F7F7F"/>
              </a:solidFill>
              <a:latin typeface="Arial"/>
              <a:cs typeface="Arial"/>
            </a:rPr>
            <a:t>IBM PC-XT</a:t>
          </a:r>
        </a:p>
      </cdr:txBody>
    </cdr:sp>
  </cdr:relSizeAnchor>
  <cdr:relSizeAnchor xmlns:cdr="http://schemas.openxmlformats.org/drawingml/2006/chartDrawing">
    <cdr:from>
      <cdr:x>0.31502</cdr:x>
      <cdr:y>0.64772</cdr:y>
    </cdr:from>
    <cdr:to>
      <cdr:x>0.41974</cdr:x>
      <cdr:y>0.70015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3040558" y="7238939"/>
          <a:ext cx="1010757" cy="58595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solidFill>
                <a:srgbClr val="7F7F7F"/>
              </a:solidFill>
              <a:latin typeface="Arial"/>
              <a:cs typeface="Arial"/>
            </a:rPr>
            <a:t>Univac</a:t>
          </a:r>
          <a:r>
            <a:rPr lang="en-US" sz="1400" baseline="0">
              <a:solidFill>
                <a:srgbClr val="7F7F7F"/>
              </a:solidFill>
              <a:latin typeface="Arial"/>
              <a:cs typeface="Arial"/>
            </a:rPr>
            <a:t> II</a:t>
          </a:r>
          <a:endParaRPr lang="en-US" sz="1400">
            <a:solidFill>
              <a:srgbClr val="7F7F7F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0.25606</cdr:x>
      <cdr:y>0.69143</cdr:y>
    </cdr:from>
    <cdr:to>
      <cdr:x>0.34342</cdr:x>
      <cdr:y>0.74385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2471527" y="8122574"/>
          <a:ext cx="843198" cy="61580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solidFill>
                <a:srgbClr val="7F7F7F"/>
              </a:solidFill>
              <a:latin typeface="Arial"/>
              <a:cs typeface="Arial"/>
            </a:rPr>
            <a:t>Univac</a:t>
          </a:r>
          <a:r>
            <a:rPr lang="en-US" sz="1400" baseline="0">
              <a:solidFill>
                <a:srgbClr val="7F7F7F"/>
              </a:solidFill>
              <a:latin typeface="Arial"/>
              <a:cs typeface="Arial"/>
            </a:rPr>
            <a:t> I</a:t>
          </a:r>
          <a:endParaRPr lang="en-US" sz="1400">
            <a:solidFill>
              <a:srgbClr val="7F7F7F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0.24441</cdr:x>
      <cdr:y>0.73845</cdr:y>
    </cdr:from>
    <cdr:to>
      <cdr:x>0.3948</cdr:x>
      <cdr:y>0.79087</cdr:y>
    </cdr:to>
    <cdr:sp macro="" textlink="">
      <cdr:nvSpPr>
        <cdr:cNvPr id="10" name="TextBox 9"/>
        <cdr:cNvSpPr txBox="1"/>
      </cdr:nvSpPr>
      <cdr:spPr>
        <a:xfrm xmlns:a="http://schemas.openxmlformats.org/drawingml/2006/main">
          <a:off x="2359030" y="8252938"/>
          <a:ext cx="1451564" cy="58584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solidFill>
                <a:srgbClr val="7F7F7F"/>
              </a:solidFill>
              <a:latin typeface="Arial"/>
              <a:cs typeface="Arial"/>
            </a:rPr>
            <a:t>EDVAC</a:t>
          </a:r>
        </a:p>
      </cdr:txBody>
    </cdr:sp>
  </cdr:relSizeAnchor>
  <cdr:relSizeAnchor xmlns:cdr="http://schemas.openxmlformats.org/drawingml/2006/chartDrawing">
    <cdr:from>
      <cdr:x>0.59359</cdr:x>
      <cdr:y>0.36156</cdr:y>
    </cdr:from>
    <cdr:to>
      <cdr:x>0.70527</cdr:x>
      <cdr:y>0.40852</cdr:y>
    </cdr:to>
    <cdr:sp macro="" textlink="">
      <cdr:nvSpPr>
        <cdr:cNvPr id="12" name="TextBox 11"/>
        <cdr:cNvSpPr txBox="1"/>
      </cdr:nvSpPr>
      <cdr:spPr>
        <a:xfrm xmlns:a="http://schemas.openxmlformats.org/drawingml/2006/main">
          <a:off x="5729315" y="4040815"/>
          <a:ext cx="1077936" cy="5248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solidFill>
                <a:srgbClr val="7F7F7F"/>
              </a:solidFill>
              <a:latin typeface="Arial"/>
              <a:cs typeface="Arial"/>
            </a:rPr>
            <a:t>IBM PC-AT</a:t>
          </a:r>
        </a:p>
      </cdr:txBody>
    </cdr:sp>
  </cdr:relSizeAnchor>
  <cdr:relSizeAnchor xmlns:cdr="http://schemas.openxmlformats.org/drawingml/2006/chartDrawing">
    <cdr:from>
      <cdr:x>0.51121</cdr:x>
      <cdr:y>0.12641</cdr:y>
    </cdr:from>
    <cdr:to>
      <cdr:x>0.71579</cdr:x>
      <cdr:y>0.16023</cdr:y>
    </cdr:to>
    <cdr:sp macro="" textlink="">
      <cdr:nvSpPr>
        <cdr:cNvPr id="13" name="TextBox 12"/>
        <cdr:cNvSpPr txBox="1"/>
      </cdr:nvSpPr>
      <cdr:spPr>
        <a:xfrm xmlns:a="http://schemas.openxmlformats.org/drawingml/2006/main">
          <a:off x="4934158" y="1412779"/>
          <a:ext cx="1974642" cy="3779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solidFill>
                <a:srgbClr val="7F7F7F"/>
              </a:solidFill>
              <a:latin typeface="Arial"/>
              <a:cs typeface="Arial"/>
            </a:rPr>
            <a:t>Dell</a:t>
          </a:r>
          <a:r>
            <a:rPr lang="en-US" sz="1400" baseline="0">
              <a:solidFill>
                <a:srgbClr val="7F7F7F"/>
              </a:solidFill>
              <a:latin typeface="Arial"/>
              <a:cs typeface="Arial"/>
            </a:rPr>
            <a:t> Dimension 2400</a:t>
          </a:r>
          <a:endParaRPr lang="en-US" sz="1400">
            <a:solidFill>
              <a:srgbClr val="7F7F7F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0.65434</cdr:x>
      <cdr:y>0.28199</cdr:y>
    </cdr:from>
    <cdr:to>
      <cdr:x>0.8329</cdr:x>
      <cdr:y>0.3309</cdr:y>
    </cdr:to>
    <cdr:sp macro="" textlink="">
      <cdr:nvSpPr>
        <cdr:cNvPr id="14" name="TextBox 13"/>
        <cdr:cNvSpPr txBox="1"/>
      </cdr:nvSpPr>
      <cdr:spPr>
        <a:xfrm xmlns:a="http://schemas.openxmlformats.org/drawingml/2006/main">
          <a:off x="6315674" y="3151541"/>
          <a:ext cx="1723462" cy="54661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solidFill>
                <a:srgbClr val="7F7F7F"/>
              </a:solidFill>
              <a:latin typeface="Arial"/>
              <a:cs typeface="Arial"/>
            </a:rPr>
            <a:t>486/25</a:t>
          </a:r>
          <a:r>
            <a:rPr lang="en-US" sz="1400" baseline="0">
              <a:solidFill>
                <a:srgbClr val="7F7F7F"/>
              </a:solidFill>
              <a:latin typeface="Arial"/>
              <a:cs typeface="Arial"/>
            </a:rPr>
            <a:t> and 486/33</a:t>
          </a:r>
        </a:p>
        <a:p xmlns:a="http://schemas.openxmlformats.org/drawingml/2006/main">
          <a:r>
            <a:rPr lang="en-US" sz="1400" baseline="0">
              <a:solidFill>
                <a:srgbClr val="7F7F7F"/>
              </a:solidFill>
              <a:latin typeface="Arial"/>
              <a:cs typeface="Arial"/>
            </a:rPr>
            <a:t>Desktops</a:t>
          </a:r>
          <a:endParaRPr lang="en-US" sz="1400">
            <a:solidFill>
              <a:srgbClr val="7F7F7F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0.53226</cdr:x>
      <cdr:y>0.09318</cdr:y>
    </cdr:from>
    <cdr:to>
      <cdr:x>0.69211</cdr:x>
      <cdr:y>0.13072</cdr:y>
    </cdr:to>
    <cdr:sp macro="" textlink="">
      <cdr:nvSpPr>
        <cdr:cNvPr id="16" name="TextBox 15"/>
        <cdr:cNvSpPr txBox="1"/>
      </cdr:nvSpPr>
      <cdr:spPr>
        <a:xfrm xmlns:a="http://schemas.openxmlformats.org/drawingml/2006/main">
          <a:off x="5137389" y="1041349"/>
          <a:ext cx="1542872" cy="41954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solidFill>
                <a:srgbClr val="7F7F7F"/>
              </a:solidFill>
              <a:latin typeface="Arial"/>
              <a:cs typeface="Arial"/>
            </a:rPr>
            <a:t>SiCortex</a:t>
          </a:r>
          <a:r>
            <a:rPr lang="en-US" sz="1400" baseline="0">
              <a:solidFill>
                <a:srgbClr val="7F7F7F"/>
              </a:solidFill>
              <a:latin typeface="Arial"/>
              <a:cs typeface="Arial"/>
            </a:rPr>
            <a:t> SC5832</a:t>
          </a:r>
          <a:endParaRPr lang="en-US" sz="1400">
            <a:solidFill>
              <a:srgbClr val="7F7F7F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0.68684</cdr:x>
      <cdr:y>0.10682</cdr:y>
    </cdr:from>
    <cdr:to>
      <cdr:x>0.81974</cdr:x>
      <cdr:y>0.1309</cdr:y>
    </cdr:to>
    <cdr:sp macro="" textlink="">
      <cdr:nvSpPr>
        <cdr:cNvPr id="18" name="Straight Arrow Connector 17"/>
        <cdr:cNvSpPr/>
      </cdr:nvSpPr>
      <cdr:spPr>
        <a:xfrm xmlns:a="http://schemas.openxmlformats.org/drawingml/2006/main">
          <a:off x="6629400" y="1193801"/>
          <a:ext cx="1282730" cy="269138"/>
        </a:xfrm>
        <a:prstGeom xmlns:a="http://schemas.openxmlformats.org/drawingml/2006/main" prst="straightConnector1">
          <a:avLst/>
        </a:prstGeom>
        <a:ln xmlns:a="http://schemas.openxmlformats.org/drawingml/2006/main" w="12700" cmpd="sng">
          <a:solidFill>
            <a:schemeClr val="bg1">
              <a:lumMod val="50000"/>
            </a:schemeClr>
          </a:solidFill>
          <a:tailEnd type="arrow"/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0.69079</cdr:x>
      <cdr:y>0.14086</cdr:y>
    </cdr:from>
    <cdr:to>
      <cdr:x>0.78158</cdr:x>
      <cdr:y>0.14495</cdr:y>
    </cdr:to>
    <cdr:sp macro="" textlink="">
      <cdr:nvSpPr>
        <cdr:cNvPr id="17" name="Straight Arrow Connector 16"/>
        <cdr:cNvSpPr/>
      </cdr:nvSpPr>
      <cdr:spPr>
        <a:xfrm xmlns:a="http://schemas.openxmlformats.org/drawingml/2006/main">
          <a:off x="6667491" y="1574251"/>
          <a:ext cx="876310" cy="45719"/>
        </a:xfrm>
        <a:prstGeom xmlns:a="http://schemas.openxmlformats.org/drawingml/2006/main" prst="straightConnector1">
          <a:avLst/>
        </a:prstGeom>
        <a:ln xmlns:a="http://schemas.openxmlformats.org/drawingml/2006/main" w="12700" cmpd="sng">
          <a:solidFill>
            <a:schemeClr val="bg1">
              <a:lumMod val="50000"/>
            </a:schemeClr>
          </a:solidFill>
          <a:tailEnd type="arrow"/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0.2829</cdr:x>
      <cdr:y>0.48572</cdr:y>
    </cdr:from>
    <cdr:to>
      <cdr:x>0.38816</cdr:x>
      <cdr:y>0.52452</cdr:y>
    </cdr:to>
    <cdr:sp macro="" textlink="">
      <cdr:nvSpPr>
        <cdr:cNvPr id="19" name="TextBox 18"/>
        <cdr:cNvSpPr txBox="1"/>
      </cdr:nvSpPr>
      <cdr:spPr>
        <a:xfrm xmlns:a="http://schemas.openxmlformats.org/drawingml/2006/main">
          <a:off x="2730536" y="5428427"/>
          <a:ext cx="1015969" cy="43362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solidFill>
                <a:srgbClr val="7F7F7F"/>
              </a:solidFill>
              <a:latin typeface="Arial"/>
              <a:cs typeface="Arial"/>
            </a:rPr>
            <a:t>SDS 920</a:t>
          </a:r>
        </a:p>
      </cdr:txBody>
    </cdr:sp>
  </cdr:relSizeAnchor>
  <cdr:relSizeAnchor xmlns:cdr="http://schemas.openxmlformats.org/drawingml/2006/chartDrawing">
    <cdr:from>
      <cdr:x>0.29474</cdr:x>
      <cdr:y>0.43507</cdr:y>
    </cdr:from>
    <cdr:to>
      <cdr:x>0.4671</cdr:x>
      <cdr:y>0.48433</cdr:y>
    </cdr:to>
    <cdr:sp macro="" textlink="">
      <cdr:nvSpPr>
        <cdr:cNvPr id="20" name="TextBox 19"/>
        <cdr:cNvSpPr txBox="1"/>
      </cdr:nvSpPr>
      <cdr:spPr>
        <a:xfrm xmlns:a="http://schemas.openxmlformats.org/drawingml/2006/main">
          <a:off x="2844861" y="5110940"/>
          <a:ext cx="1663619" cy="57868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solidFill>
                <a:srgbClr val="7F7F7F"/>
              </a:solidFill>
              <a:latin typeface="Arial"/>
              <a:cs typeface="Arial"/>
            </a:rPr>
            <a:t>DEC PDP-11/20</a:t>
          </a:r>
        </a:p>
      </cdr:txBody>
    </cdr:sp>
  </cdr:relSizeAnchor>
  <cdr:relSizeAnchor xmlns:cdr="http://schemas.openxmlformats.org/drawingml/2006/chartDrawing">
    <cdr:from>
      <cdr:x>0.48026</cdr:x>
      <cdr:y>0.3562</cdr:y>
    </cdr:from>
    <cdr:to>
      <cdr:x>0.56316</cdr:x>
      <cdr:y>0.39351</cdr:y>
    </cdr:to>
    <cdr:sp macro="" textlink="">
      <cdr:nvSpPr>
        <cdr:cNvPr id="21" name="TextBox 20"/>
        <cdr:cNvSpPr txBox="1"/>
      </cdr:nvSpPr>
      <cdr:spPr>
        <a:xfrm xmlns:a="http://schemas.openxmlformats.org/drawingml/2006/main">
          <a:off x="4635454" y="3980912"/>
          <a:ext cx="800151" cy="4169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solidFill>
                <a:srgbClr val="7F7F7F"/>
              </a:solidFill>
              <a:latin typeface="Arial"/>
              <a:cs typeface="Arial"/>
            </a:rPr>
            <a:t>IBM PC</a:t>
          </a:r>
        </a:p>
      </cdr:txBody>
    </cdr:sp>
  </cdr:relSizeAnchor>
  <cdr:relSizeAnchor xmlns:cdr="http://schemas.openxmlformats.org/drawingml/2006/chartDrawing">
    <cdr:from>
      <cdr:x>0.54211</cdr:x>
      <cdr:y>0.15485</cdr:y>
    </cdr:from>
    <cdr:to>
      <cdr:x>0.67564</cdr:x>
      <cdr:y>0.19167</cdr:y>
    </cdr:to>
    <cdr:sp macro="" textlink="">
      <cdr:nvSpPr>
        <cdr:cNvPr id="22" name="TextBox 21"/>
        <cdr:cNvSpPr txBox="1"/>
      </cdr:nvSpPr>
      <cdr:spPr>
        <a:xfrm xmlns:a="http://schemas.openxmlformats.org/drawingml/2006/main">
          <a:off x="5232430" y="1730624"/>
          <a:ext cx="1288832" cy="411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400">
              <a:solidFill>
                <a:srgbClr val="7F7F7F"/>
              </a:solidFill>
              <a:latin typeface="Arial"/>
              <a:cs typeface="Arial"/>
            </a:rPr>
            <a:t>Gateway P3,</a:t>
          </a:r>
          <a:r>
            <a:rPr lang="en-US" sz="1400" baseline="0">
              <a:solidFill>
                <a:srgbClr val="7F7F7F"/>
              </a:solidFill>
              <a:latin typeface="Arial"/>
              <a:cs typeface="Arial"/>
            </a:rPr>
            <a:t> 733 MHz</a:t>
          </a:r>
          <a:endParaRPr lang="en-US" sz="1400">
            <a:solidFill>
              <a:srgbClr val="7F7F7F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0.42894</cdr:x>
      <cdr:y>0.24197</cdr:y>
    </cdr:from>
    <cdr:to>
      <cdr:x>0.67632</cdr:x>
      <cdr:y>0.27045</cdr:y>
    </cdr:to>
    <cdr:sp macro="" textlink="">
      <cdr:nvSpPr>
        <cdr:cNvPr id="23" name="TextBox 22"/>
        <cdr:cNvSpPr txBox="1"/>
      </cdr:nvSpPr>
      <cdr:spPr>
        <a:xfrm xmlns:a="http://schemas.openxmlformats.org/drawingml/2006/main">
          <a:off x="4140164" y="2704297"/>
          <a:ext cx="2387636" cy="31830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400">
              <a:solidFill>
                <a:srgbClr val="7F7F7F"/>
              </a:solidFill>
              <a:latin typeface="Arial"/>
              <a:cs typeface="Arial"/>
            </a:rPr>
            <a:t>IBM PS/2 E + Sun</a:t>
          </a:r>
          <a:r>
            <a:rPr lang="en-US" sz="1400" baseline="0">
              <a:solidFill>
                <a:srgbClr val="7F7F7F"/>
              </a:solidFill>
              <a:latin typeface="Arial"/>
              <a:cs typeface="Arial"/>
            </a:rPr>
            <a:t> SS1000</a:t>
          </a:r>
          <a:endParaRPr lang="en-US" sz="1400">
            <a:solidFill>
              <a:srgbClr val="7F7F7F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0.74211</cdr:x>
      <cdr:y>0.22453</cdr:y>
    </cdr:from>
    <cdr:to>
      <cdr:x>0.9079</cdr:x>
      <cdr:y>0.26135</cdr:y>
    </cdr:to>
    <cdr:sp macro="" textlink="">
      <cdr:nvSpPr>
        <cdr:cNvPr id="24" name="TextBox 23"/>
        <cdr:cNvSpPr txBox="1"/>
      </cdr:nvSpPr>
      <cdr:spPr>
        <a:xfrm xmlns:a="http://schemas.openxmlformats.org/drawingml/2006/main">
          <a:off x="7162881" y="2509368"/>
          <a:ext cx="1600205" cy="411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400">
              <a:solidFill>
                <a:srgbClr val="7F7F7F"/>
              </a:solidFill>
              <a:latin typeface="Arial"/>
              <a:cs typeface="Arial"/>
            </a:rPr>
            <a:t>Dell Optiplex GXI</a:t>
          </a:r>
        </a:p>
      </cdr:txBody>
    </cdr:sp>
  </cdr:relSizeAnchor>
  <cdr:relSizeAnchor xmlns:cdr="http://schemas.openxmlformats.org/drawingml/2006/chartDrawing">
    <cdr:from>
      <cdr:x>0.64474</cdr:x>
      <cdr:y>0.47941</cdr:y>
    </cdr:from>
    <cdr:to>
      <cdr:x>0.79211</cdr:x>
      <cdr:y>0.51623</cdr:y>
    </cdr:to>
    <cdr:sp macro="" textlink="">
      <cdr:nvSpPr>
        <cdr:cNvPr id="25" name="TextBox 24"/>
        <cdr:cNvSpPr txBox="1"/>
      </cdr:nvSpPr>
      <cdr:spPr>
        <a:xfrm xmlns:a="http://schemas.openxmlformats.org/drawingml/2006/main">
          <a:off x="6223015" y="5357906"/>
          <a:ext cx="1422415" cy="41150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400">
              <a:solidFill>
                <a:srgbClr val="7F7F7F"/>
              </a:solidFill>
              <a:latin typeface="Arial"/>
              <a:cs typeface="Arial"/>
            </a:rPr>
            <a:t>Commodore</a:t>
          </a:r>
          <a:r>
            <a:rPr lang="en-US" sz="1400" baseline="0">
              <a:solidFill>
                <a:srgbClr val="7F7F7F"/>
              </a:solidFill>
              <a:latin typeface="Arial"/>
              <a:cs typeface="Arial"/>
            </a:rPr>
            <a:t> 64</a:t>
          </a:r>
          <a:endParaRPr lang="en-US" sz="1400">
            <a:solidFill>
              <a:srgbClr val="7F7F7F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0.56579</cdr:x>
      <cdr:y>0.4315</cdr:y>
    </cdr:from>
    <cdr:to>
      <cdr:x>0.64605</cdr:x>
      <cdr:y>0.49498</cdr:y>
    </cdr:to>
    <cdr:sp macro="" textlink="">
      <cdr:nvSpPr>
        <cdr:cNvPr id="26" name="Straight Arrow Connector 25"/>
        <cdr:cNvSpPr/>
      </cdr:nvSpPr>
      <cdr:spPr>
        <a:xfrm xmlns:a="http://schemas.openxmlformats.org/drawingml/2006/main" flipH="1" flipV="1">
          <a:off x="5460990" y="4822464"/>
          <a:ext cx="774669" cy="709453"/>
        </a:xfrm>
        <a:prstGeom xmlns:a="http://schemas.openxmlformats.org/drawingml/2006/main" prst="straightConnector1">
          <a:avLst/>
        </a:prstGeom>
        <a:ln xmlns:a="http://schemas.openxmlformats.org/drawingml/2006/main" w="12700" cmpd="sng">
          <a:solidFill>
            <a:schemeClr val="bg1">
              <a:lumMod val="50000"/>
            </a:schemeClr>
          </a:solidFill>
          <a:tailEnd type="arrow"/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0.80658</cdr:x>
      <cdr:y>0.06932</cdr:y>
    </cdr:from>
    <cdr:to>
      <cdr:x>0.83026</cdr:x>
      <cdr:y>0.11818</cdr:y>
    </cdr:to>
    <cdr:sp macro="" textlink="">
      <cdr:nvSpPr>
        <cdr:cNvPr id="27" name="Straight Arrow Connector 26"/>
        <cdr:cNvSpPr/>
      </cdr:nvSpPr>
      <cdr:spPr>
        <a:xfrm xmlns:a="http://schemas.openxmlformats.org/drawingml/2006/main">
          <a:off x="7785110" y="774720"/>
          <a:ext cx="228590" cy="546080"/>
        </a:xfrm>
        <a:prstGeom xmlns:a="http://schemas.openxmlformats.org/drawingml/2006/main" prst="straightConnector1">
          <a:avLst/>
        </a:prstGeom>
        <a:ln xmlns:a="http://schemas.openxmlformats.org/drawingml/2006/main" w="12700" cmpd="sng">
          <a:solidFill>
            <a:schemeClr val="bg1">
              <a:lumMod val="50000"/>
            </a:schemeClr>
          </a:solidFill>
          <a:tailEnd type="arrow"/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0.40789</cdr:x>
      <cdr:y>0.78977</cdr:y>
    </cdr:from>
    <cdr:to>
      <cdr:x>0.84868</cdr:x>
      <cdr:y>0.89545</cdr:y>
    </cdr:to>
    <cdr:sp macro="" textlink="">
      <cdr:nvSpPr>
        <cdr:cNvPr id="28" name="TextBox 27"/>
        <cdr:cNvSpPr txBox="1"/>
      </cdr:nvSpPr>
      <cdr:spPr>
        <a:xfrm xmlns:a="http://schemas.openxmlformats.org/drawingml/2006/main">
          <a:off x="3937000" y="8826500"/>
          <a:ext cx="4254500" cy="11811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solidFill>
                <a:srgbClr val="7F7F7F"/>
              </a:solidFill>
              <a:latin typeface="Arial"/>
              <a:cs typeface="Arial"/>
            </a:rPr>
            <a:t>Regression results:</a:t>
          </a:r>
        </a:p>
        <a:p xmlns:a="http://schemas.openxmlformats.org/drawingml/2006/main">
          <a:r>
            <a:rPr lang="en-US" sz="1400">
              <a:solidFill>
                <a:srgbClr val="7F7F7F"/>
              </a:solidFill>
              <a:latin typeface="Arial"/>
              <a:cs typeface="Arial"/>
            </a:rPr>
            <a:t>N = 80</a:t>
          </a:r>
        </a:p>
        <a:p xmlns:a="http://schemas.openxmlformats.org/drawingml/2006/main">
          <a:r>
            <a:rPr lang="en-US" sz="1400">
              <a:solidFill>
                <a:srgbClr val="7F7F7F"/>
              </a:solidFill>
              <a:latin typeface="Arial"/>
              <a:cs typeface="Arial"/>
            </a:rPr>
            <a:t>Adjusted R-squared</a:t>
          </a:r>
          <a:r>
            <a:rPr lang="en-US" sz="1400" baseline="0">
              <a:solidFill>
                <a:srgbClr val="7F7F7F"/>
              </a:solidFill>
              <a:latin typeface="Arial"/>
              <a:cs typeface="Arial"/>
            </a:rPr>
            <a:t> </a:t>
          </a:r>
          <a:r>
            <a:rPr lang="en-US" sz="1400">
              <a:solidFill>
                <a:srgbClr val="7F7F7F"/>
              </a:solidFill>
              <a:latin typeface="Arial"/>
              <a:cs typeface="Arial"/>
            </a:rPr>
            <a:t>= 0.983</a:t>
          </a:r>
        </a:p>
        <a:p xmlns:a="http://schemas.openxmlformats.org/drawingml/2006/main">
          <a:r>
            <a:rPr lang="en-US" sz="1400">
              <a:solidFill>
                <a:srgbClr val="7F7F7F"/>
              </a:solidFill>
              <a:latin typeface="Arial"/>
              <a:cs typeface="Arial"/>
            </a:rPr>
            <a:t>Comps/kWh</a:t>
          </a:r>
          <a:r>
            <a:rPr lang="en-US" sz="1400" baseline="0">
              <a:solidFill>
                <a:srgbClr val="7F7F7F"/>
              </a:solidFill>
              <a:latin typeface="Arial"/>
              <a:cs typeface="Arial"/>
            </a:rPr>
            <a:t> = exp(0.4401939 x Year - 849.1617)</a:t>
          </a:r>
          <a:endParaRPr lang="en-US" sz="1400">
            <a:solidFill>
              <a:srgbClr val="7F7F7F"/>
            </a:solidFill>
            <a:latin typeface="Arial"/>
            <a:cs typeface="Arial"/>
          </a:endParaRPr>
        </a:p>
        <a:p xmlns:a="http://schemas.openxmlformats.org/drawingml/2006/main">
          <a:r>
            <a:rPr lang="en-US" sz="1400">
              <a:solidFill>
                <a:srgbClr val="7F7F7F"/>
              </a:solidFill>
              <a:latin typeface="Arial"/>
              <a:cs typeface="Arial"/>
            </a:rPr>
            <a:t>Average</a:t>
          </a:r>
          <a:r>
            <a:rPr lang="en-US" sz="1400" baseline="0">
              <a:solidFill>
                <a:srgbClr val="7F7F7F"/>
              </a:solidFill>
              <a:latin typeface="Arial"/>
              <a:cs typeface="Arial"/>
            </a:rPr>
            <a:t> d</a:t>
          </a:r>
          <a:r>
            <a:rPr lang="en-US" sz="1400">
              <a:solidFill>
                <a:srgbClr val="7F7F7F"/>
              </a:solidFill>
              <a:latin typeface="Arial"/>
              <a:cs typeface="Arial"/>
            </a:rPr>
            <a:t>oubling</a:t>
          </a:r>
          <a:r>
            <a:rPr lang="en-US" sz="1400" baseline="0">
              <a:solidFill>
                <a:srgbClr val="7F7F7F"/>
              </a:solidFill>
              <a:latin typeface="Arial"/>
              <a:cs typeface="Arial"/>
            </a:rPr>
            <a:t> time (1946 to 2009) = 1.57 years</a:t>
          </a:r>
          <a:endParaRPr lang="en-US" sz="1400">
            <a:solidFill>
              <a:srgbClr val="7F7F7F"/>
            </a:solidFill>
            <a:latin typeface="Arial"/>
            <a:cs typeface="Arial"/>
          </a:endParaRPr>
        </a:p>
        <a:p xmlns:a="http://schemas.openxmlformats.org/drawingml/2006/main">
          <a:endParaRPr lang="en-US" sz="1400">
            <a:solidFill>
              <a:srgbClr val="7F7F7F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0.49211</cdr:x>
      <cdr:y>0.44324</cdr:y>
    </cdr:from>
    <cdr:to>
      <cdr:x>0.55263</cdr:x>
      <cdr:y>0.49297</cdr:y>
    </cdr:to>
    <cdr:sp macro="" textlink="">
      <cdr:nvSpPr>
        <cdr:cNvPr id="29" name="TextBox 28"/>
        <cdr:cNvSpPr txBox="1"/>
      </cdr:nvSpPr>
      <cdr:spPr>
        <a:xfrm xmlns:a="http://schemas.openxmlformats.org/drawingml/2006/main">
          <a:off x="4749800" y="5207000"/>
          <a:ext cx="584200" cy="5842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solidFill>
                <a:srgbClr val="7F7F7F"/>
              </a:solidFill>
              <a:latin typeface="Arial"/>
              <a:cs typeface="Arial"/>
            </a:rPr>
            <a:t>Altair</a:t>
          </a:r>
        </a:p>
        <a:p xmlns:a="http://schemas.openxmlformats.org/drawingml/2006/main">
          <a:r>
            <a:rPr lang="en-US" sz="1400">
              <a:solidFill>
                <a:srgbClr val="7F7F7F"/>
              </a:solidFill>
              <a:latin typeface="Arial"/>
              <a:cs typeface="Arial"/>
            </a:rPr>
            <a:t>8800</a:t>
          </a:r>
        </a:p>
      </cdr:txBody>
    </cdr:sp>
  </cdr:relSizeAnchor>
  <cdr:relSizeAnchor xmlns:cdr="http://schemas.openxmlformats.org/drawingml/2006/chartDrawing">
    <cdr:from>
      <cdr:x>0.57895</cdr:x>
      <cdr:y>0.41081</cdr:y>
    </cdr:from>
    <cdr:to>
      <cdr:x>0.72632</cdr:x>
      <cdr:y>0.44763</cdr:y>
    </cdr:to>
    <cdr:sp macro="" textlink="">
      <cdr:nvSpPr>
        <cdr:cNvPr id="30" name="TextBox 29"/>
        <cdr:cNvSpPr txBox="1"/>
      </cdr:nvSpPr>
      <cdr:spPr>
        <a:xfrm xmlns:a="http://schemas.openxmlformats.org/drawingml/2006/main">
          <a:off x="5588000" y="4826000"/>
          <a:ext cx="1422415" cy="43254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400">
              <a:solidFill>
                <a:srgbClr val="7F7F7F"/>
              </a:solidFill>
              <a:latin typeface="Arial"/>
              <a:cs typeface="Arial"/>
            </a:rPr>
            <a:t>Apple IIe</a:t>
          </a:r>
        </a:p>
      </cdr:txBody>
    </cdr:sp>
  </cdr:relSizeAnchor>
  <cdr:relSizeAnchor xmlns:cdr="http://schemas.openxmlformats.org/drawingml/2006/chartDrawing">
    <cdr:from>
      <cdr:x>0.43553</cdr:x>
      <cdr:y>0.32757</cdr:y>
    </cdr:from>
    <cdr:to>
      <cdr:x>0.5829</cdr:x>
      <cdr:y>0.36439</cdr:y>
    </cdr:to>
    <cdr:sp macro="" textlink="">
      <cdr:nvSpPr>
        <cdr:cNvPr id="31" name="TextBox 30"/>
        <cdr:cNvSpPr txBox="1"/>
      </cdr:nvSpPr>
      <cdr:spPr>
        <a:xfrm xmlns:a="http://schemas.openxmlformats.org/drawingml/2006/main">
          <a:off x="4203700" y="3848100"/>
          <a:ext cx="1422415" cy="43254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400">
              <a:solidFill>
                <a:srgbClr val="7F7F7F"/>
              </a:solidFill>
              <a:latin typeface="Arial"/>
              <a:cs typeface="Arial"/>
            </a:rPr>
            <a:t>Macintosh 128k</a:t>
          </a:r>
        </a:p>
      </cdr:txBody>
    </cdr:sp>
  </cdr:relSizeAnchor>
  <cdr:relSizeAnchor xmlns:cdr="http://schemas.openxmlformats.org/drawingml/2006/chartDrawing">
    <cdr:from>
      <cdr:x>0.61579</cdr:x>
      <cdr:y>0.31784</cdr:y>
    </cdr:from>
    <cdr:to>
      <cdr:x>0.87105</cdr:x>
      <cdr:y>0.35459</cdr:y>
    </cdr:to>
    <cdr:sp macro="" textlink="">
      <cdr:nvSpPr>
        <cdr:cNvPr id="32" name="TextBox 31"/>
        <cdr:cNvSpPr txBox="1"/>
      </cdr:nvSpPr>
      <cdr:spPr>
        <a:xfrm xmlns:a="http://schemas.openxmlformats.org/drawingml/2006/main">
          <a:off x="5943600" y="3733801"/>
          <a:ext cx="2463800" cy="431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solidFill>
                <a:srgbClr val="7F7F7F"/>
              </a:solidFill>
              <a:latin typeface="Arial"/>
              <a:cs typeface="Arial"/>
            </a:rPr>
            <a:t>Compaq</a:t>
          </a:r>
          <a:r>
            <a:rPr lang="en-US" sz="1400" baseline="0">
              <a:solidFill>
                <a:srgbClr val="7F7F7F"/>
              </a:solidFill>
              <a:latin typeface="Arial"/>
              <a:cs typeface="Arial"/>
            </a:rPr>
            <a:t> Deskpro 386/20e</a:t>
          </a:r>
          <a:endParaRPr lang="en-US" sz="1400">
            <a:solidFill>
              <a:srgbClr val="7F7F7F"/>
            </a:solidFill>
            <a:latin typeface="Arial"/>
            <a:cs typeface="Arial"/>
          </a:endParaRP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85724</xdr:colOff>
      <xdr:row>4</xdr:row>
      <xdr:rowOff>9525</xdr:rowOff>
    </xdr:from>
    <xdr:to>
      <xdr:col>14</xdr:col>
      <xdr:colOff>400050</xdr:colOff>
      <xdr:row>13</xdr:row>
      <xdr:rowOff>9525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92CC7C2-095A-4722-8A70-764C94DB4D67}"/>
            </a:ext>
          </a:extLst>
        </xdr:cNvPr>
        <xdr:cNvSpPr txBox="1"/>
      </xdr:nvSpPr>
      <xdr:spPr>
        <a:xfrm>
          <a:off x="3752849" y="200025"/>
          <a:ext cx="6915151" cy="1714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"Since a watt is a joule/sec, we should be able to perform at least 1020 bit operations a second for just a watt expenditure. Compare this to the 9.89 megawatts it takes for the RIKEN K Computer to perform 8.2 petaflops; that is, 8.2 x 1015 floating point operations per seconds, as described in a previous article (Special K, June 23, 2011). </a:t>
          </a:r>
        </a:p>
        <a:p>
          <a:r>
            <a:rPr lang="en-GB" sz="1100"/>
            <a:t>A floating point operation does take a few bit operations to perform, so to be generous, let's say that these 8.2 petaflops convert to 1020 bit operations per second, so our computing efficiency is about 0.00001%. We're obviously computing under the wrong paradigm!"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sosheskaz.github.io/technology/2017/04/08/Computers-Are-Black-Magic.html" TargetMode="External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hyperlink" Target="http://www.tikalon.com/blog/blog.php?article=2011/Landaue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32"/>
  <sheetViews>
    <sheetView zoomScale="80" zoomScaleNormal="80" workbookViewId="0">
      <selection activeCell="I14" sqref="I14"/>
    </sheetView>
  </sheetViews>
  <sheetFormatPr baseColWidth="10" defaultColWidth="8.7109375" defaultRowHeight="16" x14ac:dyDescent="0.2"/>
  <cols>
    <col min="1" max="1" width="8.7109375" style="25"/>
    <col min="2" max="16384" width="8.7109375" style="23"/>
  </cols>
  <sheetData>
    <row r="1" spans="1:1" x14ac:dyDescent="0.2">
      <c r="A1" s="25" t="s">
        <v>152</v>
      </c>
    </row>
    <row r="2" spans="1:1" x14ac:dyDescent="0.2">
      <c r="A2" s="25" t="s">
        <v>153</v>
      </c>
    </row>
    <row r="3" spans="1:1" x14ac:dyDescent="0.2">
      <c r="A3" s="25" t="s">
        <v>154</v>
      </c>
    </row>
    <row r="4" spans="1:1" x14ac:dyDescent="0.2">
      <c r="A4" s="25" t="s">
        <v>155</v>
      </c>
    </row>
    <row r="5" spans="1:1" x14ac:dyDescent="0.2">
      <c r="A5" s="25" t="s">
        <v>156</v>
      </c>
    </row>
    <row r="6" spans="1:1" x14ac:dyDescent="0.2">
      <c r="A6" s="25" t="s">
        <v>157</v>
      </c>
    </row>
    <row r="7" spans="1:1" x14ac:dyDescent="0.2">
      <c r="A7" s="25" t="s">
        <v>158</v>
      </c>
    </row>
    <row r="8" spans="1:1" x14ac:dyDescent="0.2">
      <c r="A8" s="25" t="s">
        <v>159</v>
      </c>
    </row>
    <row r="9" spans="1:1" x14ac:dyDescent="0.2">
      <c r="A9" s="25" t="s">
        <v>160</v>
      </c>
    </row>
    <row r="10" spans="1:1" x14ac:dyDescent="0.2">
      <c r="A10" s="25" t="s">
        <v>161</v>
      </c>
    </row>
    <row r="11" spans="1:1" x14ac:dyDescent="0.2">
      <c r="A11" s="25" t="s">
        <v>162</v>
      </c>
    </row>
    <row r="13" spans="1:1" x14ac:dyDescent="0.2">
      <c r="A13" s="25" t="s">
        <v>176</v>
      </c>
    </row>
    <row r="14" spans="1:1" x14ac:dyDescent="0.2">
      <c r="A14" s="25" t="s">
        <v>177</v>
      </c>
    </row>
    <row r="15" spans="1:1" x14ac:dyDescent="0.2">
      <c r="A15" s="25" t="s">
        <v>178</v>
      </c>
    </row>
    <row r="16" spans="1:1" x14ac:dyDescent="0.2">
      <c r="A16" s="25" t="s">
        <v>179</v>
      </c>
    </row>
    <row r="17" spans="1:1" x14ac:dyDescent="0.2">
      <c r="A17" s="25" t="s">
        <v>180</v>
      </c>
    </row>
    <row r="18" spans="1:1" x14ac:dyDescent="0.2">
      <c r="A18" s="25" t="s">
        <v>181</v>
      </c>
    </row>
    <row r="19" spans="1:1" x14ac:dyDescent="0.2">
      <c r="A19" s="25" t="s">
        <v>182</v>
      </c>
    </row>
    <row r="20" spans="1:1" x14ac:dyDescent="0.2">
      <c r="A20" s="25" t="s">
        <v>162</v>
      </c>
    </row>
    <row r="22" spans="1:1" x14ac:dyDescent="0.2">
      <c r="A22" s="25" t="s">
        <v>183</v>
      </c>
    </row>
    <row r="23" spans="1:1" x14ac:dyDescent="0.2">
      <c r="A23" s="25" t="s">
        <v>184</v>
      </c>
    </row>
    <row r="24" spans="1:1" x14ac:dyDescent="0.2">
      <c r="A24" s="25" t="s">
        <v>185</v>
      </c>
    </row>
    <row r="25" spans="1:1" x14ac:dyDescent="0.2">
      <c r="A25" s="25" t="s">
        <v>186</v>
      </c>
    </row>
    <row r="26" spans="1:1" x14ac:dyDescent="0.2">
      <c r="A26" s="25" t="s">
        <v>187</v>
      </c>
    </row>
    <row r="27" spans="1:1" x14ac:dyDescent="0.2">
      <c r="A27" s="25" t="s">
        <v>157</v>
      </c>
    </row>
    <row r="28" spans="1:1" x14ac:dyDescent="0.2">
      <c r="A28" s="25" t="s">
        <v>188</v>
      </c>
    </row>
    <row r="29" spans="1:1" x14ac:dyDescent="0.2">
      <c r="A29" s="25" t="s">
        <v>189</v>
      </c>
    </row>
    <row r="30" spans="1:1" x14ac:dyDescent="0.2">
      <c r="A30" s="25" t="s">
        <v>190</v>
      </c>
    </row>
    <row r="31" spans="1:1" x14ac:dyDescent="0.2">
      <c r="A31" s="25" t="s">
        <v>191</v>
      </c>
    </row>
    <row r="32" spans="1:1" x14ac:dyDescent="0.2">
      <c r="A32" s="25" t="s">
        <v>162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P51"/>
  <sheetViews>
    <sheetView tabSelected="1" topLeftCell="AI1" zoomScale="80" zoomScaleNormal="80" workbookViewId="0">
      <selection activeCell="H2" sqref="H2:BP2"/>
    </sheetView>
  </sheetViews>
  <sheetFormatPr baseColWidth="10" defaultColWidth="7.28515625" defaultRowHeight="16" x14ac:dyDescent="0.2"/>
  <cols>
    <col min="1" max="1" width="13.28515625" style="19" bestFit="1" customWidth="1"/>
    <col min="2" max="2" width="9.28515625" style="11" bestFit="1" customWidth="1"/>
    <col min="3" max="3" width="7.7109375" style="11" bestFit="1" customWidth="1"/>
    <col min="4" max="4" width="9.5703125" bestFit="1" customWidth="1"/>
    <col min="5" max="5" width="9" style="19" bestFit="1" customWidth="1"/>
    <col min="6" max="6" width="18.7109375" style="19" bestFit="1" customWidth="1"/>
    <col min="7" max="7" width="6.7109375" style="19" bestFit="1" customWidth="1"/>
    <col min="8" max="16384" width="7.28515625" style="19"/>
  </cols>
  <sheetData>
    <row r="1" spans="1:68" s="20" customFormat="1" ht="15" x14ac:dyDescent="0.2">
      <c r="A1" s="20" t="s">
        <v>140</v>
      </c>
      <c r="B1" s="22" t="s">
        <v>143</v>
      </c>
      <c r="C1" s="22" t="s">
        <v>144</v>
      </c>
      <c r="D1" s="22" t="s">
        <v>145</v>
      </c>
      <c r="E1" s="20" t="s">
        <v>60</v>
      </c>
      <c r="F1" s="20" t="s">
        <v>141</v>
      </c>
      <c r="G1" s="20" t="s">
        <v>142</v>
      </c>
      <c r="H1" s="20">
        <v>1960</v>
      </c>
      <c r="I1" s="20">
        <v>1961</v>
      </c>
      <c r="J1" s="20">
        <v>1962</v>
      </c>
      <c r="K1" s="20">
        <v>1963</v>
      </c>
      <c r="L1" s="20">
        <v>1964</v>
      </c>
      <c r="M1" s="20">
        <v>1965</v>
      </c>
      <c r="N1" s="20">
        <v>1966</v>
      </c>
      <c r="O1" s="20">
        <v>1967</v>
      </c>
      <c r="P1" s="20">
        <v>1968</v>
      </c>
      <c r="Q1" s="20">
        <v>1969</v>
      </c>
      <c r="R1" s="20">
        <v>1970</v>
      </c>
      <c r="S1" s="20">
        <v>1971</v>
      </c>
      <c r="T1" s="20">
        <v>1972</v>
      </c>
      <c r="U1" s="20">
        <v>1973</v>
      </c>
      <c r="V1" s="20">
        <v>1974</v>
      </c>
      <c r="W1" s="20">
        <v>1975</v>
      </c>
      <c r="X1" s="20">
        <v>1976</v>
      </c>
      <c r="Y1" s="20">
        <v>1977</v>
      </c>
      <c r="Z1" s="20">
        <v>1978</v>
      </c>
      <c r="AA1" s="20">
        <v>1979</v>
      </c>
      <c r="AB1" s="20">
        <v>1980</v>
      </c>
      <c r="AC1" s="20">
        <v>1981</v>
      </c>
      <c r="AD1" s="20">
        <v>1982</v>
      </c>
      <c r="AE1" s="20">
        <v>1983</v>
      </c>
      <c r="AF1" s="20">
        <v>1984</v>
      </c>
      <c r="AG1" s="20">
        <v>1985</v>
      </c>
      <c r="AH1" s="20">
        <v>1986</v>
      </c>
      <c r="AI1" s="20">
        <v>1987</v>
      </c>
      <c r="AJ1" s="20">
        <v>1988</v>
      </c>
      <c r="AK1" s="20">
        <v>1989</v>
      </c>
      <c r="AL1" s="20">
        <v>1990</v>
      </c>
      <c r="AM1" s="20">
        <v>1991</v>
      </c>
      <c r="AN1" s="20">
        <v>1992</v>
      </c>
      <c r="AO1" s="20">
        <v>1993</v>
      </c>
      <c r="AP1" s="20">
        <v>1994</v>
      </c>
      <c r="AQ1" s="20">
        <v>1995</v>
      </c>
      <c r="AR1" s="20">
        <v>1996</v>
      </c>
      <c r="AS1" s="20">
        <v>1997</v>
      </c>
      <c r="AT1" s="20">
        <v>1998</v>
      </c>
      <c r="AU1" s="20">
        <v>1999</v>
      </c>
      <c r="AV1" s="20">
        <v>2000</v>
      </c>
      <c r="AW1" s="20">
        <v>2001</v>
      </c>
      <c r="AX1" s="20">
        <v>2002</v>
      </c>
      <c r="AY1" s="20">
        <v>2003</v>
      </c>
      <c r="AZ1" s="20">
        <v>2004</v>
      </c>
      <c r="BA1" s="20">
        <v>2005</v>
      </c>
      <c r="BB1" s="20">
        <v>2006</v>
      </c>
      <c r="BC1" s="20">
        <v>2007</v>
      </c>
      <c r="BD1" s="20">
        <v>2008</v>
      </c>
      <c r="BE1" s="20">
        <v>2009</v>
      </c>
      <c r="BF1" s="20">
        <v>2010</v>
      </c>
      <c r="BG1" s="20">
        <v>2011</v>
      </c>
      <c r="BH1" s="20">
        <v>2012</v>
      </c>
      <c r="BI1" s="20">
        <v>2013</v>
      </c>
      <c r="BJ1" s="20">
        <v>2014</v>
      </c>
      <c r="BK1" s="20">
        <v>2015</v>
      </c>
      <c r="BL1" s="20">
        <v>2016</v>
      </c>
      <c r="BM1" s="20">
        <v>2017</v>
      </c>
      <c r="BN1" s="20">
        <v>2018</v>
      </c>
      <c r="BO1" s="20">
        <v>2019</v>
      </c>
      <c r="BP1" s="20">
        <v>2020</v>
      </c>
    </row>
    <row r="2" spans="1:68" s="21" customFormat="1" ht="15" x14ac:dyDescent="0.2">
      <c r="A2" s="21" t="s">
        <v>164</v>
      </c>
      <c r="B2" s="21" t="s">
        <v>146</v>
      </c>
      <c r="C2" s="21" t="s">
        <v>147</v>
      </c>
      <c r="D2" s="21" t="s">
        <v>148</v>
      </c>
      <c r="E2" s="21" t="s">
        <v>53</v>
      </c>
      <c r="F2" s="21" t="s">
        <v>163</v>
      </c>
      <c r="G2" s="21" t="s">
        <v>149</v>
      </c>
      <c r="H2" s="21">
        <v>1E-3</v>
      </c>
      <c r="I2" s="21">
        <v>1E-3</v>
      </c>
      <c r="J2" s="21">
        <v>1E-3</v>
      </c>
      <c r="K2" s="21">
        <v>1E-3</v>
      </c>
      <c r="L2" s="21">
        <v>1E-3</v>
      </c>
      <c r="M2" s="21">
        <v>1E-3</v>
      </c>
      <c r="N2" s="21">
        <v>1E-3</v>
      </c>
      <c r="O2" s="21">
        <v>1E-3</v>
      </c>
      <c r="P2" s="21">
        <v>1E-3</v>
      </c>
      <c r="Q2" s="21">
        <v>1E-3</v>
      </c>
      <c r="R2" s="21">
        <v>1E-3</v>
      </c>
      <c r="S2" s="21">
        <v>1E-3</v>
      </c>
      <c r="T2" s="21">
        <v>1E-3</v>
      </c>
      <c r="U2" s="21">
        <v>1E-3</v>
      </c>
      <c r="V2" s="21">
        <v>1E-3</v>
      </c>
      <c r="W2" s="21">
        <v>1E-3</v>
      </c>
      <c r="X2" s="21">
        <v>1E-3</v>
      </c>
      <c r="Y2" s="21">
        <v>1E-3</v>
      </c>
      <c r="Z2" s="21">
        <v>1E-3</v>
      </c>
      <c r="AA2" s="21">
        <v>1E-3</v>
      </c>
      <c r="AB2" s="21">
        <v>1E-3</v>
      </c>
      <c r="AC2" s="21">
        <v>1E-3</v>
      </c>
      <c r="AD2" s="21">
        <v>1E-3</v>
      </c>
      <c r="AE2" s="21">
        <v>1E-3</v>
      </c>
      <c r="AF2" s="21">
        <v>1E-3</v>
      </c>
      <c r="AG2" s="21">
        <v>1E-3</v>
      </c>
      <c r="AH2" s="21">
        <v>1E-3</v>
      </c>
      <c r="AI2" s="21">
        <v>1E-3</v>
      </c>
      <c r="AJ2" s="21">
        <v>1E-3</v>
      </c>
      <c r="AK2" s="21">
        <v>1E-3</v>
      </c>
      <c r="AL2" s="21">
        <v>1E-3</v>
      </c>
      <c r="AM2" s="21">
        <v>1E-3</v>
      </c>
      <c r="AN2" s="21">
        <v>1E-3</v>
      </c>
      <c r="AO2" s="21">
        <v>1E-3</v>
      </c>
      <c r="AP2" s="21">
        <v>1E-3</v>
      </c>
      <c r="AQ2" s="21">
        <v>1E-3</v>
      </c>
      <c r="AR2" s="21">
        <v>1E-3</v>
      </c>
      <c r="AS2" s="21">
        <v>1E-3</v>
      </c>
      <c r="AT2" s="21">
        <v>1E-3</v>
      </c>
      <c r="AU2" s="21">
        <v>1E-3</v>
      </c>
      <c r="AV2" s="21">
        <v>1E-3</v>
      </c>
      <c r="AW2" s="21">
        <v>1E-3</v>
      </c>
      <c r="AX2" s="21">
        <v>1E-3</v>
      </c>
      <c r="AY2" s="21">
        <v>1E-3</v>
      </c>
      <c r="AZ2" s="21">
        <v>1E-3</v>
      </c>
      <c r="BA2" s="21">
        <v>1E-3</v>
      </c>
      <c r="BB2" s="21">
        <v>1E-3</v>
      </c>
      <c r="BC2" s="21">
        <v>1E-3</v>
      </c>
      <c r="BD2" s="21">
        <v>1E-3</v>
      </c>
      <c r="BE2" s="21">
        <v>1E-3</v>
      </c>
      <c r="BF2" s="21">
        <v>1E-3</v>
      </c>
      <c r="BG2" s="21">
        <v>1E-3</v>
      </c>
      <c r="BH2" s="21">
        <v>1E-3</v>
      </c>
      <c r="BI2" s="21">
        <v>1E-3</v>
      </c>
      <c r="BJ2" s="21">
        <v>1E-3</v>
      </c>
      <c r="BK2" s="21">
        <v>1E-3</v>
      </c>
      <c r="BL2" s="21">
        <v>1E-3</v>
      </c>
      <c r="BM2" s="21">
        <v>1E-3</v>
      </c>
      <c r="BN2" s="21">
        <v>1E-3</v>
      </c>
      <c r="BO2" s="21">
        <v>1E-3</v>
      </c>
      <c r="BP2" s="21">
        <v>1E-3</v>
      </c>
    </row>
    <row r="3" spans="1:68" x14ac:dyDescent="0.2">
      <c r="D3" s="11"/>
    </row>
    <row r="4" spans="1:68" x14ac:dyDescent="0.2">
      <c r="D4" s="11"/>
    </row>
    <row r="5" spans="1:68" x14ac:dyDescent="0.2">
      <c r="D5" s="11"/>
    </row>
    <row r="6" spans="1:68" x14ac:dyDescent="0.2">
      <c r="D6" s="11"/>
    </row>
    <row r="7" spans="1:68" x14ac:dyDescent="0.2">
      <c r="D7" s="11"/>
    </row>
    <row r="8" spans="1:68" x14ac:dyDescent="0.2">
      <c r="D8" s="11"/>
    </row>
    <row r="9" spans="1:68" x14ac:dyDescent="0.2">
      <c r="D9" s="11"/>
    </row>
    <row r="10" spans="1:68" x14ac:dyDescent="0.2">
      <c r="D10" s="11"/>
    </row>
    <row r="11" spans="1:68" x14ac:dyDescent="0.2">
      <c r="D11" s="11"/>
    </row>
    <row r="12" spans="1:68" x14ac:dyDescent="0.2">
      <c r="D12" s="11"/>
    </row>
    <row r="13" spans="1:68" x14ac:dyDescent="0.2">
      <c r="D13" s="11"/>
    </row>
    <row r="14" spans="1:68" x14ac:dyDescent="0.2">
      <c r="D14" s="11"/>
    </row>
    <row r="15" spans="1:68" x14ac:dyDescent="0.2">
      <c r="D15" s="11"/>
    </row>
    <row r="16" spans="1:68" x14ac:dyDescent="0.2">
      <c r="D16" s="11"/>
    </row>
    <row r="17" spans="4:4" x14ac:dyDescent="0.2">
      <c r="D17" s="11"/>
    </row>
    <row r="18" spans="4:4" x14ac:dyDescent="0.2">
      <c r="D18" s="11"/>
    </row>
    <row r="19" spans="4:4" x14ac:dyDescent="0.2">
      <c r="D19" s="11"/>
    </row>
    <row r="20" spans="4:4" x14ac:dyDescent="0.2">
      <c r="D20" s="11"/>
    </row>
    <row r="21" spans="4:4" x14ac:dyDescent="0.2">
      <c r="D21" s="11"/>
    </row>
    <row r="22" spans="4:4" x14ac:dyDescent="0.2">
      <c r="D22" s="11"/>
    </row>
    <row r="23" spans="4:4" x14ac:dyDescent="0.2">
      <c r="D23" s="11"/>
    </row>
    <row r="24" spans="4:4" x14ac:dyDescent="0.2">
      <c r="D24" s="11"/>
    </row>
    <row r="25" spans="4:4" x14ac:dyDescent="0.2">
      <c r="D25" s="11"/>
    </row>
    <row r="26" spans="4:4" x14ac:dyDescent="0.2">
      <c r="D26" s="11"/>
    </row>
    <row r="27" spans="4:4" x14ac:dyDescent="0.2">
      <c r="D27" s="11"/>
    </row>
    <row r="28" spans="4:4" x14ac:dyDescent="0.2">
      <c r="D28" s="11"/>
    </row>
    <row r="29" spans="4:4" x14ac:dyDescent="0.2">
      <c r="D29" s="11"/>
    </row>
    <row r="30" spans="4:4" x14ac:dyDescent="0.2">
      <c r="D30" s="11"/>
    </row>
    <row r="31" spans="4:4" x14ac:dyDescent="0.2">
      <c r="D31" s="11"/>
    </row>
    <row r="32" spans="4:4" x14ac:dyDescent="0.2">
      <c r="D32" s="11"/>
    </row>
    <row r="33" spans="4:4" x14ac:dyDescent="0.2">
      <c r="D33" s="11"/>
    </row>
    <row r="34" spans="4:4" x14ac:dyDescent="0.2">
      <c r="D34" s="11"/>
    </row>
    <row r="35" spans="4:4" x14ac:dyDescent="0.2">
      <c r="D35" s="11"/>
    </row>
    <row r="36" spans="4:4" x14ac:dyDescent="0.2">
      <c r="D36" s="11"/>
    </row>
    <row r="37" spans="4:4" x14ac:dyDescent="0.2">
      <c r="D37" s="11"/>
    </row>
    <row r="38" spans="4:4" x14ac:dyDescent="0.2">
      <c r="D38" s="11"/>
    </row>
    <row r="39" spans="4:4" x14ac:dyDescent="0.2">
      <c r="D39" s="11"/>
    </row>
    <row r="40" spans="4:4" x14ac:dyDescent="0.2">
      <c r="D40" s="11"/>
    </row>
    <row r="41" spans="4:4" x14ac:dyDescent="0.2">
      <c r="D41" s="11"/>
    </row>
    <row r="42" spans="4:4" x14ac:dyDescent="0.2">
      <c r="D42" s="11"/>
    </row>
    <row r="43" spans="4:4" x14ac:dyDescent="0.2">
      <c r="D43" s="11"/>
    </row>
    <row r="44" spans="4:4" x14ac:dyDescent="0.2">
      <c r="D44" s="11"/>
    </row>
    <row r="45" spans="4:4" x14ac:dyDescent="0.2">
      <c r="D45" s="11"/>
    </row>
    <row r="46" spans="4:4" x14ac:dyDescent="0.2">
      <c r="D46" s="11"/>
    </row>
    <row r="47" spans="4:4" x14ac:dyDescent="0.2">
      <c r="D47" s="11"/>
    </row>
    <row r="48" spans="4:4" x14ac:dyDescent="0.2">
      <c r="D48" s="11"/>
    </row>
    <row r="49" spans="4:4" x14ac:dyDescent="0.2">
      <c r="D49" s="11"/>
    </row>
    <row r="50" spans="4:4" x14ac:dyDescent="0.2">
      <c r="D50" s="11"/>
    </row>
    <row r="51" spans="4:4" x14ac:dyDescent="0.2">
      <c r="D51" s="11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76"/>
  <sheetViews>
    <sheetView topLeftCell="G37" zoomScale="70" zoomScaleNormal="70" workbookViewId="0">
      <selection activeCell="J9" sqref="J9"/>
    </sheetView>
  </sheetViews>
  <sheetFormatPr baseColWidth="10" defaultColWidth="8.7109375" defaultRowHeight="16" x14ac:dyDescent="0.2"/>
  <cols>
    <col min="1" max="1" width="5.5703125" style="13" bestFit="1" customWidth="1"/>
    <col min="2" max="2" width="21.28515625" style="13" bestFit="1" customWidth="1"/>
    <col min="3" max="3" width="18.5703125" style="13" bestFit="1" customWidth="1"/>
    <col min="4" max="4" width="20.7109375" style="13" bestFit="1" customWidth="1"/>
    <col min="5" max="5" width="19.28515625" style="13" bestFit="1" customWidth="1"/>
    <col min="6" max="6" width="29" style="13" bestFit="1" customWidth="1"/>
    <col min="7" max="7" width="19.7109375" style="13" bestFit="1" customWidth="1"/>
    <col min="8" max="8" width="25.28515625" style="13" bestFit="1" customWidth="1"/>
    <col min="9" max="9" width="33.5703125" style="44" bestFit="1" customWidth="1"/>
    <col min="10" max="10" width="32.7109375" style="45" bestFit="1" customWidth="1"/>
    <col min="11" max="11" width="27.7109375" style="45" bestFit="1" customWidth="1"/>
    <col min="12" max="12" width="30.7109375" style="51" bestFit="1" customWidth="1"/>
    <col min="13" max="13" width="29.7109375" style="51" bestFit="1" customWidth="1"/>
    <col min="14" max="14" width="25" style="51" bestFit="1" customWidth="1"/>
    <col min="15" max="16" width="8.7109375" style="11"/>
    <col min="17" max="16384" width="8.7109375" style="13"/>
  </cols>
  <sheetData>
    <row r="1" spans="1:14" s="18" customFormat="1" ht="14" x14ac:dyDescent="0.15">
      <c r="A1" s="18" t="s">
        <v>49</v>
      </c>
      <c r="B1" s="18" t="s">
        <v>45</v>
      </c>
      <c r="C1" s="18" t="s">
        <v>44</v>
      </c>
      <c r="D1" s="18" t="s">
        <v>57</v>
      </c>
      <c r="E1" s="18" t="s">
        <v>55</v>
      </c>
      <c r="F1" s="18" t="s">
        <v>58</v>
      </c>
      <c r="G1" s="18" t="s">
        <v>59</v>
      </c>
      <c r="H1" s="18" t="s">
        <v>168</v>
      </c>
      <c r="I1" s="36" t="s">
        <v>170</v>
      </c>
      <c r="J1" s="36" t="s">
        <v>171</v>
      </c>
      <c r="K1" s="36" t="s">
        <v>174</v>
      </c>
      <c r="L1" s="46" t="s">
        <v>169</v>
      </c>
      <c r="M1" s="46" t="s">
        <v>172</v>
      </c>
      <c r="N1" s="46" t="s">
        <v>173</v>
      </c>
    </row>
    <row r="2" spans="1:14" x14ac:dyDescent="0.2">
      <c r="A2" s="13">
        <v>1946</v>
      </c>
      <c r="B2" s="13">
        <f>'Koomey et al (2011)'!F12</f>
        <v>1729.700031654522</v>
      </c>
      <c r="C2" s="13">
        <f>B2/3600000</f>
        <v>4.8047223101514502E-4</v>
      </c>
      <c r="D2" s="13">
        <v>1.6</v>
      </c>
      <c r="E2" s="15">
        <f>1+(70/D2)/100</f>
        <v>1.4375</v>
      </c>
      <c r="F2" s="13">
        <f>C2</f>
        <v>4.8047223101514502E-4</v>
      </c>
      <c r="G2" s="13" t="s">
        <v>54</v>
      </c>
      <c r="H2" s="13">
        <f>F2/$F$2</f>
        <v>1</v>
      </c>
      <c r="I2" s="37">
        <f>H2*Miller_2017!$F$5</f>
        <v>6097560.9756097561</v>
      </c>
      <c r="J2" s="38">
        <f>1/I2</f>
        <v>1.6400000000000001E-7</v>
      </c>
      <c r="K2" s="39">
        <f t="shared" ref="K2:K33" si="0">LandauerLimit/J2</f>
        <v>1.7389634146341462E-14</v>
      </c>
      <c r="L2" s="47">
        <f>H2*Miller_2017!$G$5</f>
        <v>739.83739837398366</v>
      </c>
      <c r="M2" s="47">
        <f>1/L2</f>
        <v>1.3516483516483517E-3</v>
      </c>
      <c r="N2" s="48">
        <f t="shared" ref="N2:N33" si="1">LandauerLimit/M2</f>
        <v>2.1099422764227639E-18</v>
      </c>
    </row>
    <row r="3" spans="1:14" x14ac:dyDescent="0.2">
      <c r="A3" s="13">
        <v>1947</v>
      </c>
      <c r="B3" s="13">
        <f>'Koomey et al (2011)'!F13</f>
        <v>2686.2385637357652</v>
      </c>
      <c r="C3" s="13">
        <f t="shared" ref="C3:C56" si="2">B3/3600000</f>
        <v>7.4617737881549036E-4</v>
      </c>
      <c r="D3" s="13">
        <v>1.6</v>
      </c>
      <c r="E3" s="15">
        <f t="shared" ref="E3:E65" si="3">1+(70/D3)/100</f>
        <v>1.4375</v>
      </c>
      <c r="F3" s="13">
        <f t="shared" ref="F3:F56" si="4">C3</f>
        <v>7.4617737881549036E-4</v>
      </c>
      <c r="G3" s="13" t="s">
        <v>54</v>
      </c>
      <c r="H3" s="13">
        <f t="shared" ref="H3:H33" si="5">F3/$F$2</f>
        <v>1.5530083335699998</v>
      </c>
      <c r="I3" s="37">
        <f>H3*Miller_2017!$F$5</f>
        <v>9469563.0095731691</v>
      </c>
      <c r="J3" s="38">
        <f t="shared" ref="J3:J66" si="6">1/I3</f>
        <v>1.0560149385869856E-7</v>
      </c>
      <c r="K3" s="39">
        <f t="shared" si="0"/>
        <v>2.7006246747001718E-14</v>
      </c>
      <c r="L3" s="47">
        <f>H3*Miller_2017!$G$5</f>
        <v>1148.9736451615445</v>
      </c>
      <c r="M3" s="47">
        <f t="shared" ref="M3:M66" si="7">1/L3</f>
        <v>8.7034198235191114E-4</v>
      </c>
      <c r="N3" s="48">
        <f t="shared" si="1"/>
        <v>3.2767579386362087E-18</v>
      </c>
    </row>
    <row r="4" spans="1:14" x14ac:dyDescent="0.2">
      <c r="A4" s="13">
        <v>1948</v>
      </c>
      <c r="B4" s="13">
        <f>'Koomey et al (2011)'!F14</f>
        <v>4171.7508754382761</v>
      </c>
      <c r="C4" s="13">
        <f t="shared" si="2"/>
        <v>1.1588196876217434E-3</v>
      </c>
      <c r="D4" s="13">
        <v>1.6</v>
      </c>
      <c r="E4" s="15">
        <f t="shared" si="3"/>
        <v>1.4375</v>
      </c>
      <c r="F4" s="13">
        <f t="shared" si="4"/>
        <v>1.1588196876217434E-3</v>
      </c>
      <c r="G4" s="13" t="s">
        <v>54</v>
      </c>
      <c r="H4" s="13">
        <f t="shared" si="5"/>
        <v>2.4118348841375936</v>
      </c>
      <c r="I4" s="37">
        <f>H4*Miller_2017!$F$5</f>
        <v>14706310.269131668</v>
      </c>
      <c r="J4" s="38">
        <f t="shared" si="6"/>
        <v>6.7998021373109842E-8</v>
      </c>
      <c r="K4" s="39">
        <f t="shared" si="0"/>
        <v>4.1940926256536607E-14</v>
      </c>
      <c r="L4" s="47">
        <f>H4*Miller_2017!$G$5</f>
        <v>1784.3656459879755</v>
      </c>
      <c r="M4" s="47">
        <f t="shared" si="7"/>
        <v>5.6042325307508118E-4</v>
      </c>
      <c r="N4" s="48">
        <f t="shared" si="1"/>
        <v>5.0888323857931075E-18</v>
      </c>
    </row>
    <row r="5" spans="1:14" x14ac:dyDescent="0.2">
      <c r="A5" s="13">
        <v>1949</v>
      </c>
      <c r="B5" s="13">
        <f>'Koomey et al (2011)'!F15</f>
        <v>6478.7638751335853</v>
      </c>
      <c r="C5" s="13">
        <f t="shared" si="2"/>
        <v>1.7996566319815515E-3</v>
      </c>
      <c r="D5" s="13">
        <v>1.6</v>
      </c>
      <c r="E5" s="15">
        <f t="shared" si="3"/>
        <v>1.4375</v>
      </c>
      <c r="F5" s="13">
        <f t="shared" si="4"/>
        <v>1.7996566319815515E-3</v>
      </c>
      <c r="G5" s="13" t="s">
        <v>54</v>
      </c>
      <c r="H5" s="13">
        <f t="shared" si="5"/>
        <v>3.745599674260518</v>
      </c>
      <c r="I5" s="37">
        <f>H5*Miller_2017!$F$5</f>
        <v>22839022.404027548</v>
      </c>
      <c r="J5" s="38">
        <f t="shared" si="6"/>
        <v>4.3784711197781169E-8</v>
      </c>
      <c r="K5" s="39">
        <f t="shared" si="0"/>
        <v>6.513460799404617E-14</v>
      </c>
      <c r="L5" s="47">
        <f>H5*Miller_2017!$G$5</f>
        <v>2771.1347183553421</v>
      </c>
      <c r="M5" s="47">
        <f t="shared" si="7"/>
        <v>3.6086300437731736E-4</v>
      </c>
      <c r="N5" s="48">
        <f t="shared" si="1"/>
        <v>7.9029991032776011E-18</v>
      </c>
    </row>
    <row r="6" spans="1:14" x14ac:dyDescent="0.2">
      <c r="A6" s="13">
        <v>1950</v>
      </c>
      <c r="B6" s="13">
        <f>'Koomey et al (2011)'!F16</f>
        <v>10061.574289314724</v>
      </c>
      <c r="C6" s="13">
        <f t="shared" si="2"/>
        <v>2.7948817470318677E-3</v>
      </c>
      <c r="D6" s="13">
        <v>1.6</v>
      </c>
      <c r="E6" s="15">
        <f t="shared" si="3"/>
        <v>1.4375</v>
      </c>
      <c r="F6" s="13">
        <f t="shared" si="4"/>
        <v>2.7948817470318677E-3</v>
      </c>
      <c r="G6" s="13" t="s">
        <v>54</v>
      </c>
      <c r="H6" s="13">
        <f t="shared" si="5"/>
        <v>5.8169475083436613</v>
      </c>
      <c r="I6" s="37">
        <f>H6*Miller_2017!$F$5</f>
        <v>35469192.124046713</v>
      </c>
      <c r="J6" s="38">
        <f t="shared" si="6"/>
        <v>2.8193481162544985E-8</v>
      </c>
      <c r="K6" s="39">
        <f t="shared" si="0"/>
        <v>1.0115458901856883E-13</v>
      </c>
      <c r="L6" s="47">
        <f>H6*Miller_2017!$G$5</f>
        <v>4303.5953110510009</v>
      </c>
      <c r="M6" s="47">
        <f t="shared" si="7"/>
        <v>2.3236385573526089E-4</v>
      </c>
      <c r="N6" s="48">
        <f t="shared" si="1"/>
        <v>1.2273423467586349E-17</v>
      </c>
    </row>
    <row r="7" spans="1:14" x14ac:dyDescent="0.2">
      <c r="A7" s="13">
        <v>1951</v>
      </c>
      <c r="B7" s="13">
        <f>'Koomey et al (2011)'!F17</f>
        <v>15625.708720137638</v>
      </c>
      <c r="C7" s="13">
        <f t="shared" si="2"/>
        <v>4.3404746444826768E-3</v>
      </c>
      <c r="D7" s="13">
        <v>1.6</v>
      </c>
      <c r="E7" s="15">
        <f t="shared" si="3"/>
        <v>1.4375</v>
      </c>
      <c r="F7" s="13">
        <f t="shared" si="4"/>
        <v>4.3404746444826768E-3</v>
      </c>
      <c r="G7" s="13" t="s">
        <v>54</v>
      </c>
      <c r="H7" s="13">
        <f t="shared" si="5"/>
        <v>9.0337679563959234</v>
      </c>
      <c r="I7" s="37">
        <f>H7*Miller_2017!$F$5</f>
        <v>55083950.953633681</v>
      </c>
      <c r="J7" s="38">
        <f t="shared" si="6"/>
        <v>1.8154108096598575E-8</v>
      </c>
      <c r="K7" s="39">
        <f t="shared" si="0"/>
        <v>1.570939197246679E-13</v>
      </c>
      <c r="L7" s="47">
        <f>H7*Miller_2017!$G$5</f>
        <v>6683.5193823742193</v>
      </c>
      <c r="M7" s="47">
        <f t="shared" si="7"/>
        <v>1.4962177002691136E-4</v>
      </c>
      <c r="N7" s="48">
        <f t="shared" si="1"/>
        <v>1.9060728926593034E-17</v>
      </c>
    </row>
    <row r="8" spans="1:14" x14ac:dyDescent="0.2">
      <c r="A8" s="13">
        <v>1952</v>
      </c>
      <c r="B8" s="13">
        <f>'Koomey et al (2011)'!F18</f>
        <v>24266.855860311167</v>
      </c>
      <c r="C8" s="13">
        <f t="shared" si="2"/>
        <v>6.7407932945308799E-3</v>
      </c>
      <c r="D8" s="13">
        <v>1.6</v>
      </c>
      <c r="E8" s="15">
        <f t="shared" si="3"/>
        <v>1.4375</v>
      </c>
      <c r="F8" s="13">
        <f t="shared" si="4"/>
        <v>6.7407932945308799E-3</v>
      </c>
      <c r="G8" s="13" t="s">
        <v>54</v>
      </c>
      <c r="H8" s="13">
        <f t="shared" si="5"/>
        <v>14.029516919820498</v>
      </c>
      <c r="I8" s="37">
        <f>H8*Miller_2017!$F$5</f>
        <v>85545834.876954257</v>
      </c>
      <c r="J8" s="38">
        <f t="shared" si="6"/>
        <v>1.1689639845567706E-8</v>
      </c>
      <c r="K8" s="39">
        <f t="shared" si="0"/>
        <v>2.4396816648558583E-13</v>
      </c>
      <c r="L8" s="47">
        <f>H8*Miller_2017!$G$5</f>
        <v>10379.561298403782</v>
      </c>
      <c r="M8" s="47">
        <f t="shared" si="7"/>
        <v>9.6343185540393199E-5</v>
      </c>
      <c r="N8" s="48">
        <f t="shared" si="1"/>
        <v>2.960147086691774E-17</v>
      </c>
    </row>
    <row r="9" spans="1:14" x14ac:dyDescent="0.2">
      <c r="A9" s="13">
        <v>1953</v>
      </c>
      <c r="B9" s="13">
        <f>'Koomey et al (2011)'!F19</f>
        <v>37686.629380600949</v>
      </c>
      <c r="C9" s="13">
        <f t="shared" si="2"/>
        <v>1.0468508161278041E-2</v>
      </c>
      <c r="D9" s="13">
        <v>1.6</v>
      </c>
      <c r="E9" s="15">
        <f t="shared" si="3"/>
        <v>1.4375</v>
      </c>
      <c r="F9" s="13">
        <f t="shared" si="4"/>
        <v>1.0468508161278041E-2</v>
      </c>
      <c r="G9" s="13" t="s">
        <v>54</v>
      </c>
      <c r="H9" s="13">
        <f t="shared" si="5"/>
        <v>21.787956692440073</v>
      </c>
      <c r="I9" s="37">
        <f>H9*Miller_2017!$F$5</f>
        <v>132853394.46609801</v>
      </c>
      <c r="J9" s="38">
        <f t="shared" si="6"/>
        <v>7.5270940875747318E-9</v>
      </c>
      <c r="K9" s="39">
        <f t="shared" si="0"/>
        <v>3.7888459567786495E-13</v>
      </c>
      <c r="L9" s="47">
        <f>H9*Miller_2017!$G$5</f>
        <v>16119.545195219889</v>
      </c>
      <c r="M9" s="47">
        <f t="shared" si="7"/>
        <v>6.2036489732758795E-5</v>
      </c>
      <c r="N9" s="48">
        <f t="shared" si="1"/>
        <v>4.5971330942247598E-17</v>
      </c>
    </row>
    <row r="10" spans="1:14" x14ac:dyDescent="0.2">
      <c r="A10" s="13">
        <v>1954</v>
      </c>
      <c r="B10" s="13">
        <f>'Koomey et al (2011)'!F20</f>
        <v>58527.649492237273</v>
      </c>
      <c r="C10" s="13">
        <f t="shared" si="2"/>
        <v>1.6257680414510353E-2</v>
      </c>
      <c r="D10" s="13">
        <v>1.6</v>
      </c>
      <c r="E10" s="15">
        <f t="shared" si="3"/>
        <v>1.4375</v>
      </c>
      <c r="F10" s="13">
        <f t="shared" si="4"/>
        <v>1.6257680414510353E-2</v>
      </c>
      <c r="G10" s="13" t="s">
        <v>54</v>
      </c>
      <c r="H10" s="13">
        <f t="shared" si="5"/>
        <v>33.836878314821682</v>
      </c>
      <c r="I10" s="37">
        <f>H10*Miller_2017!$F$5</f>
        <v>206322428.74891269</v>
      </c>
      <c r="J10" s="38">
        <f t="shared" si="6"/>
        <v>4.8467828052613978E-9</v>
      </c>
      <c r="K10" s="39">
        <f t="shared" si="0"/>
        <v>5.8841093454902413E-13</v>
      </c>
      <c r="L10" s="47">
        <f>H10*Miller_2017!$G$5</f>
        <v>25033.788021534736</v>
      </c>
      <c r="M10" s="47">
        <f t="shared" si="7"/>
        <v>3.9946012131275266E-5</v>
      </c>
      <c r="N10" s="48">
        <f t="shared" si="1"/>
        <v>7.1393860058614912E-17</v>
      </c>
    </row>
    <row r="11" spans="1:14" x14ac:dyDescent="0.2">
      <c r="A11" s="13">
        <v>1955</v>
      </c>
      <c r="B11" s="13">
        <f>'Koomey et al (2011)'!F21</f>
        <v>90893.927405698123</v>
      </c>
      <c r="C11" s="13">
        <f t="shared" si="2"/>
        <v>2.5248313168249478E-2</v>
      </c>
      <c r="D11" s="13">
        <v>1.6</v>
      </c>
      <c r="E11" s="15">
        <f t="shared" si="3"/>
        <v>1.4375</v>
      </c>
      <c r="F11" s="13">
        <f t="shared" si="4"/>
        <v>2.5248313168249478E-2</v>
      </c>
      <c r="G11" s="13" t="s">
        <v>54</v>
      </c>
      <c r="H11" s="13">
        <f t="shared" si="5"/>
        <v>52.548954004906108</v>
      </c>
      <c r="I11" s="37">
        <f>H11*Miller_2017!$F$5</f>
        <v>320420451.2494275</v>
      </c>
      <c r="J11" s="38">
        <f t="shared" si="6"/>
        <v>3.1208994185628992E-9</v>
      </c>
      <c r="K11" s="39">
        <f t="shared" si="0"/>
        <v>9.1380708491824214E-13</v>
      </c>
      <c r="L11" s="47">
        <f>H11*Miller_2017!$G$5</f>
        <v>38877.681418263863</v>
      </c>
      <c r="M11" s="47">
        <f t="shared" si="7"/>
        <v>2.5721698504639281E-5</v>
      </c>
      <c r="N11" s="48">
        <f t="shared" si="1"/>
        <v>1.1087525963674672E-16</v>
      </c>
    </row>
    <row r="12" spans="1:14" x14ac:dyDescent="0.2">
      <c r="A12" s="13">
        <v>1956</v>
      </c>
      <c r="B12" s="13">
        <f>'Koomey et al (2011)'!F22</f>
        <v>141159.02673195579</v>
      </c>
      <c r="C12" s="13">
        <f t="shared" si="2"/>
        <v>3.9210840758876611E-2</v>
      </c>
      <c r="D12" s="13">
        <v>1.6</v>
      </c>
      <c r="E12" s="15">
        <f t="shared" si="3"/>
        <v>1.4375</v>
      </c>
      <c r="F12" s="13">
        <f t="shared" si="4"/>
        <v>3.9210840758876611E-2</v>
      </c>
      <c r="G12" s="13" t="s">
        <v>54</v>
      </c>
      <c r="H12" s="13">
        <f t="shared" si="5"/>
        <v>81.60896349000582</v>
      </c>
      <c r="I12" s="37">
        <f>H12*Miller_2017!$F$5</f>
        <v>497615631.03662086</v>
      </c>
      <c r="J12" s="38">
        <f t="shared" si="6"/>
        <v>2.009583175506011E-9</v>
      </c>
      <c r="K12" s="39">
        <f t="shared" si="0"/>
        <v>1.4191500181533389E-12</v>
      </c>
      <c r="L12" s="47">
        <f>H12*Miller_2017!$G$5</f>
        <v>60377.363232443327</v>
      </c>
      <c r="M12" s="47">
        <f t="shared" si="7"/>
        <v>1.6562498699225367E-5</v>
      </c>
      <c r="N12" s="48">
        <f t="shared" si="1"/>
        <v>1.7219020220260512E-16</v>
      </c>
    </row>
    <row r="13" spans="1:14" x14ac:dyDescent="0.2">
      <c r="A13" s="13">
        <v>1957</v>
      </c>
      <c r="B13" s="13">
        <f>'Koomey et al (2011)'!F23</f>
        <v>219221.14487333279</v>
      </c>
      <c r="C13" s="13">
        <f t="shared" si="2"/>
        <v>6.0894762464814664E-2</v>
      </c>
      <c r="D13" s="13">
        <v>1.6</v>
      </c>
      <c r="E13" s="15">
        <f t="shared" si="3"/>
        <v>1.4375</v>
      </c>
      <c r="F13" s="13">
        <f t="shared" si="4"/>
        <v>6.0894762464814664E-2</v>
      </c>
      <c r="G13" s="13" t="s">
        <v>54</v>
      </c>
      <c r="H13" s="13">
        <f t="shared" si="5"/>
        <v>126.73940039397448</v>
      </c>
      <c r="I13" s="37">
        <f>H13*Miller_2017!$F$5</f>
        <v>772801221.91447854</v>
      </c>
      <c r="J13" s="38">
        <f t="shared" si="6"/>
        <v>1.2939938132119882E-9</v>
      </c>
      <c r="K13" s="39">
        <f t="shared" si="0"/>
        <v>2.2039518047779014E-12</v>
      </c>
      <c r="L13" s="47">
        <f>H13*Miller_2017!$G$5</f>
        <v>93766.548258956711</v>
      </c>
      <c r="M13" s="47">
        <f t="shared" si="7"/>
        <v>1.0664784174824081E-5</v>
      </c>
      <c r="N13" s="48">
        <f t="shared" si="1"/>
        <v>2.6741281897971864E-16</v>
      </c>
    </row>
    <row r="14" spans="1:14" x14ac:dyDescent="0.2">
      <c r="A14" s="13">
        <v>1958</v>
      </c>
      <c r="B14" s="13">
        <f>'Koomey et al (2011)'!F24</f>
        <v>340452.26488304208</v>
      </c>
      <c r="C14" s="13">
        <f t="shared" si="2"/>
        <v>9.4570073578622807E-2</v>
      </c>
      <c r="D14" s="13">
        <v>1.6</v>
      </c>
      <c r="E14" s="15">
        <f t="shared" si="3"/>
        <v>1.4375</v>
      </c>
      <c r="F14" s="13">
        <f t="shared" si="4"/>
        <v>9.4570073578622807E-2</v>
      </c>
      <c r="G14" s="13" t="s">
        <v>54</v>
      </c>
      <c r="H14" s="13">
        <f t="shared" si="5"/>
        <v>196.8273450035073</v>
      </c>
      <c r="I14" s="37">
        <f>H14*Miller_2017!$F$5</f>
        <v>1200166737.8262641</v>
      </c>
      <c r="J14" s="38">
        <f t="shared" si="6"/>
        <v>8.3321755926280281E-10</v>
      </c>
      <c r="K14" s="39">
        <f t="shared" si="0"/>
        <v>3.4227555196067227E-12</v>
      </c>
      <c r="L14" s="47">
        <f>H14*Miller_2017!$G$5</f>
        <v>145620.23085625336</v>
      </c>
      <c r="M14" s="47">
        <f t="shared" si="7"/>
        <v>6.8671776862318929E-6</v>
      </c>
      <c r="N14" s="48">
        <f t="shared" si="1"/>
        <v>4.1529433637894893E-16</v>
      </c>
    </row>
    <row r="15" spans="1:14" x14ac:dyDescent="0.2">
      <c r="A15" s="13">
        <v>1959</v>
      </c>
      <c r="B15" s="13">
        <f>'Koomey et al (2011)'!F25</f>
        <v>528725.20454608521</v>
      </c>
      <c r="C15" s="13">
        <f t="shared" si="2"/>
        <v>0.14686811237391256</v>
      </c>
      <c r="D15" s="13">
        <v>1.6</v>
      </c>
      <c r="E15" s="15">
        <f t="shared" si="3"/>
        <v>1.4375</v>
      </c>
      <c r="F15" s="13">
        <f t="shared" si="4"/>
        <v>0.14686811237391256</v>
      </c>
      <c r="G15" s="13" t="s">
        <v>54</v>
      </c>
      <c r="H15" s="13">
        <f t="shared" si="5"/>
        <v>305.67450706486949</v>
      </c>
      <c r="I15" s="37">
        <f>H15*Miller_2017!$F$5</f>
        <v>1863868945.5174968</v>
      </c>
      <c r="J15" s="38">
        <f t="shared" si="6"/>
        <v>5.3651840833817499E-10</v>
      </c>
      <c r="K15" s="39">
        <f t="shared" si="0"/>
        <v>5.315567845721349E-12</v>
      </c>
      <c r="L15" s="47">
        <f>H15*Miller_2017!$G$5</f>
        <v>226149.43205612293</v>
      </c>
      <c r="M15" s="47">
        <f t="shared" si="7"/>
        <v>4.4218550137761678E-6</v>
      </c>
      <c r="N15" s="48">
        <f t="shared" si="1"/>
        <v>6.4495556528085701E-16</v>
      </c>
    </row>
    <row r="16" spans="1:14" x14ac:dyDescent="0.2">
      <c r="A16" s="13">
        <v>1960</v>
      </c>
      <c r="B16" s="13">
        <f>'Koomey et al (2011)'!F26</f>
        <v>821114.64882857306</v>
      </c>
      <c r="C16" s="13">
        <f t="shared" si="2"/>
        <v>0.2280874024523814</v>
      </c>
      <c r="D16" s="13">
        <v>1.6</v>
      </c>
      <c r="E16" s="15">
        <f t="shared" si="3"/>
        <v>1.4375</v>
      </c>
      <c r="F16" s="13">
        <f t="shared" si="4"/>
        <v>0.2280874024523814</v>
      </c>
      <c r="G16" s="13" t="s">
        <v>54</v>
      </c>
      <c r="H16" s="13">
        <f t="shared" si="5"/>
        <v>474.71505683164412</v>
      </c>
      <c r="I16" s="37">
        <f>H16*Miller_2017!$F$5</f>
        <v>2894604005.0710006</v>
      </c>
      <c r="J16" s="38">
        <f t="shared" si="6"/>
        <v>3.4547039880001526E-10</v>
      </c>
      <c r="K16" s="39">
        <f t="shared" si="0"/>
        <v>8.2551211620619868E-12</v>
      </c>
      <c r="L16" s="47">
        <f>H16*Miller_2017!$G$5</f>
        <v>351211.95261528139</v>
      </c>
      <c r="M16" s="47">
        <f t="shared" si="7"/>
        <v>2.8472835065935324E-6</v>
      </c>
      <c r="N16" s="48">
        <f t="shared" si="1"/>
        <v>1.001621367663521E-15</v>
      </c>
    </row>
    <row r="17" spans="1:14" x14ac:dyDescent="0.2">
      <c r="A17" s="13">
        <v>1961</v>
      </c>
      <c r="B17" s="13">
        <f>'Koomey et al (2011)'!F27</f>
        <v>1275197.892447033</v>
      </c>
      <c r="C17" s="13">
        <f t="shared" si="2"/>
        <v>0.35422163679084251</v>
      </c>
      <c r="D17" s="13">
        <v>1.6</v>
      </c>
      <c r="E17" s="15">
        <f t="shared" si="3"/>
        <v>1.4375</v>
      </c>
      <c r="F17" s="13">
        <f t="shared" si="4"/>
        <v>0.35422163679084251</v>
      </c>
      <c r="G17" s="13" t="s">
        <v>54</v>
      </c>
      <c r="H17" s="13">
        <f t="shared" si="5"/>
        <v>737.23643933061567</v>
      </c>
      <c r="I17" s="37">
        <f>H17*Miller_2017!$F$5</f>
        <v>4495344142.2598515</v>
      </c>
      <c r="J17" s="38">
        <f t="shared" si="6"/>
        <v>2.2245237925150057E-10</v>
      </c>
      <c r="K17" s="39">
        <f t="shared" si="0"/>
        <v>1.282027195931087E-11</v>
      </c>
      <c r="L17" s="47">
        <f>H17*Miller_2017!$G$5</f>
        <v>545435.08926086198</v>
      </c>
      <c r="M17" s="47">
        <f t="shared" si="7"/>
        <v>1.8333987300947848E-6</v>
      </c>
      <c r="N17" s="48">
        <f t="shared" si="1"/>
        <v>1.5555263310630523E-15</v>
      </c>
    </row>
    <row r="18" spans="1:14" x14ac:dyDescent="0.2">
      <c r="A18" s="13">
        <v>1962</v>
      </c>
      <c r="B18" s="13">
        <f>'Koomey et al (2011)'!F28</f>
        <v>1980392.9539211425</v>
      </c>
      <c r="C18" s="13">
        <f t="shared" si="2"/>
        <v>0.550109153866984</v>
      </c>
      <c r="D18" s="13">
        <v>1.6</v>
      </c>
      <c r="E18" s="15">
        <f t="shared" si="3"/>
        <v>1.4375</v>
      </c>
      <c r="F18" s="13">
        <f t="shared" si="4"/>
        <v>0.550109153866984</v>
      </c>
      <c r="G18" s="13" t="s">
        <v>54</v>
      </c>
      <c r="H18" s="13">
        <f t="shared" si="5"/>
        <v>1144.9343340919195</v>
      </c>
      <c r="I18" s="37">
        <f>H18*Miller_2017!$F$5</f>
        <v>6981306915.1946306</v>
      </c>
      <c r="J18" s="38">
        <f t="shared" si="6"/>
        <v>1.4323965586207453E-10</v>
      </c>
      <c r="K18" s="39">
        <f t="shared" si="0"/>
        <v>1.9909989191443565E-11</v>
      </c>
      <c r="L18" s="47">
        <f>H18*Miller_2017!$G$5</f>
        <v>847065.23904361518</v>
      </c>
      <c r="M18" s="47">
        <f t="shared" si="7"/>
        <v>1.1805466142478669E-6</v>
      </c>
      <c r="N18" s="48">
        <f t="shared" si="1"/>
        <v>2.4157453552284864E-15</v>
      </c>
    </row>
    <row r="19" spans="1:14" x14ac:dyDescent="0.2">
      <c r="A19" s="13">
        <v>1963</v>
      </c>
      <c r="B19" s="13">
        <f>'Koomey et al (2011)'!F29</f>
        <v>3075566.7611824935</v>
      </c>
      <c r="C19" s="13">
        <f t="shared" si="2"/>
        <v>0.85432410032847039</v>
      </c>
      <c r="D19" s="13">
        <v>1.6</v>
      </c>
      <c r="E19" s="15">
        <f t="shared" si="3"/>
        <v>1.4375</v>
      </c>
      <c r="F19" s="13">
        <f t="shared" si="4"/>
        <v>0.85432410032847039</v>
      </c>
      <c r="G19" s="13" t="s">
        <v>54</v>
      </c>
      <c r="H19" s="13">
        <f t="shared" si="5"/>
        <v>1778.0925622349673</v>
      </c>
      <c r="I19" s="37">
        <f>H19*Miller_2017!$F$5</f>
        <v>10842027818.505898</v>
      </c>
      <c r="J19" s="38">
        <f t="shared" si="6"/>
        <v>9.2233668529528508E-11</v>
      </c>
      <c r="K19" s="39">
        <f t="shared" si="0"/>
        <v>3.0920379135596965E-11</v>
      </c>
      <c r="L19" s="47">
        <f>H19*Miller_2017!$G$5</f>
        <v>1315499.3753120489</v>
      </c>
      <c r="M19" s="47">
        <f t="shared" si="7"/>
        <v>7.6016759777083929E-7</v>
      </c>
      <c r="N19" s="48">
        <f t="shared" si="1"/>
        <v>3.7516726684524324E-15</v>
      </c>
    </row>
    <row r="20" spans="1:14" x14ac:dyDescent="0.2">
      <c r="A20" s="13">
        <v>1964</v>
      </c>
      <c r="B20" s="13">
        <f>'Koomey et al (2011)'!F30</f>
        <v>4776380.8105673054</v>
      </c>
      <c r="C20" s="13">
        <f t="shared" si="2"/>
        <v>1.326772447379807</v>
      </c>
      <c r="D20" s="13">
        <v>1.6</v>
      </c>
      <c r="E20" s="15">
        <f t="shared" si="3"/>
        <v>1.4375</v>
      </c>
      <c r="F20" s="13">
        <f t="shared" si="4"/>
        <v>1.326772447379807</v>
      </c>
      <c r="G20" s="13" t="s">
        <v>54</v>
      </c>
      <c r="H20" s="13">
        <f t="shared" si="5"/>
        <v>2761.3925670097378</v>
      </c>
      <c r="I20" s="37">
        <f>H20*Miller_2017!$F$5</f>
        <v>16837759554.937426</v>
      </c>
      <c r="J20" s="38">
        <f t="shared" si="6"/>
        <v>5.9390324273086836E-11</v>
      </c>
      <c r="K20" s="39">
        <f t="shared" si="0"/>
        <v>4.8019606474726041E-11</v>
      </c>
      <c r="L20" s="47">
        <f>H20*Miller_2017!$G$5</f>
        <v>2042981.4926657409</v>
      </c>
      <c r="M20" s="47">
        <f t="shared" si="7"/>
        <v>4.8948069455840805E-7</v>
      </c>
      <c r="N20" s="48">
        <f t="shared" si="1"/>
        <v>5.8263789189334262E-15</v>
      </c>
    </row>
    <row r="21" spans="1:14" x14ac:dyDescent="0.2">
      <c r="A21" s="13">
        <v>1965</v>
      </c>
      <c r="B21" s="13">
        <f>'Koomey et al (2011)'!F31</f>
        <v>7417759.2031140132</v>
      </c>
      <c r="C21" s="13">
        <f t="shared" si="2"/>
        <v>2.0604886675316703</v>
      </c>
      <c r="D21" s="13">
        <v>1.6</v>
      </c>
      <c r="E21" s="15">
        <f t="shared" si="3"/>
        <v>1.4375</v>
      </c>
      <c r="F21" s="13">
        <f t="shared" si="4"/>
        <v>2.0604886675316703</v>
      </c>
      <c r="G21" s="13" t="s">
        <v>54</v>
      </c>
      <c r="H21" s="13">
        <f t="shared" si="5"/>
        <v>4288.4656688238892</v>
      </c>
      <c r="I21" s="37">
        <f>H21*Miller_2017!$F$5</f>
        <v>26149180907.462738</v>
      </c>
      <c r="J21" s="38">
        <f t="shared" si="6"/>
        <v>3.8242115634092735E-11</v>
      </c>
      <c r="K21" s="39">
        <f t="shared" si="0"/>
        <v>7.4574849029992983E-11</v>
      </c>
      <c r="L21" s="47">
        <f>H21*Miller_2017!$G$5</f>
        <v>3172767.283438812</v>
      </c>
      <c r="M21" s="47">
        <f t="shared" si="7"/>
        <v>3.151822717095555E-7</v>
      </c>
      <c r="N21" s="48">
        <f t="shared" si="1"/>
        <v>9.0484150156391482E-15</v>
      </c>
    </row>
    <row r="22" spans="1:14" x14ac:dyDescent="0.2">
      <c r="A22" s="13">
        <v>1966</v>
      </c>
      <c r="B22" s="13">
        <f>'Koomey et al (2011)'!F32</f>
        <v>11519841.858851625</v>
      </c>
      <c r="C22" s="13">
        <f t="shared" si="2"/>
        <v>3.1999560719032289</v>
      </c>
      <c r="D22" s="13">
        <v>1.6</v>
      </c>
      <c r="E22" s="15">
        <f t="shared" si="3"/>
        <v>1.4375</v>
      </c>
      <c r="F22" s="13">
        <f t="shared" si="4"/>
        <v>3.1999560719032289</v>
      </c>
      <c r="G22" s="13" t="s">
        <v>54</v>
      </c>
      <c r="H22" s="13">
        <f t="shared" si="5"/>
        <v>6660.0229219123439</v>
      </c>
      <c r="I22" s="37">
        <f>H22*Miller_2017!$F$5</f>
        <v>40609895865.319168</v>
      </c>
      <c r="J22" s="38">
        <f t="shared" si="6"/>
        <v>2.4624539873641969E-11</v>
      </c>
      <c r="K22" s="39">
        <f t="shared" si="0"/>
        <v>1.1581536201830374E-10</v>
      </c>
      <c r="L22" s="47">
        <f>H22*Miller_2017!$G$5</f>
        <v>4927334.0316587258</v>
      </c>
      <c r="M22" s="47">
        <f t="shared" si="7"/>
        <v>2.0294950445309315E-7</v>
      </c>
      <c r="N22" s="48">
        <f t="shared" si="1"/>
        <v>1.405226392488752E-14</v>
      </c>
    </row>
    <row r="23" spans="1:14" x14ac:dyDescent="0.2">
      <c r="A23" s="13">
        <v>1967</v>
      </c>
      <c r="B23" s="13">
        <f>'Koomey et al (2011)'!F33</f>
        <v>17890410.408203054</v>
      </c>
      <c r="C23" s="13">
        <f t="shared" si="2"/>
        <v>4.9695584467230702</v>
      </c>
      <c r="D23" s="13">
        <v>1.6</v>
      </c>
      <c r="E23" s="15">
        <f t="shared" si="3"/>
        <v>1.4375</v>
      </c>
      <c r="F23" s="13">
        <f t="shared" si="4"/>
        <v>4.9695584467230702</v>
      </c>
      <c r="G23" s="13" t="s">
        <v>54</v>
      </c>
      <c r="H23" s="13">
        <f t="shared" si="5"/>
        <v>10343.071099495914</v>
      </c>
      <c r="I23" s="37">
        <f>H23*Miller_2017!$F$5</f>
        <v>63067506704.243378</v>
      </c>
      <c r="J23" s="38">
        <f t="shared" si="6"/>
        <v>1.585602558682912E-11</v>
      </c>
      <c r="K23" s="39">
        <f t="shared" si="0"/>
        <v>1.7986222236983167E-10</v>
      </c>
      <c r="L23" s="47">
        <f>H23*Miller_2017!$G$5</f>
        <v>7652190.8134481953</v>
      </c>
      <c r="M23" s="47">
        <f t="shared" si="7"/>
        <v>1.3068152956177847E-7</v>
      </c>
      <c r="N23" s="48">
        <f t="shared" si="1"/>
        <v>2.1823282980872907E-14</v>
      </c>
    </row>
    <row r="24" spans="1:14" x14ac:dyDescent="0.2">
      <c r="A24" s="13">
        <v>1968</v>
      </c>
      <c r="B24" s="13">
        <f>'Koomey et al (2011)'!F34</f>
        <v>27783956.454926807</v>
      </c>
      <c r="C24" s="13">
        <f t="shared" si="2"/>
        <v>7.7177656819241136</v>
      </c>
      <c r="D24" s="13">
        <v>1.6</v>
      </c>
      <c r="E24" s="15">
        <f t="shared" si="3"/>
        <v>1.4375</v>
      </c>
      <c r="F24" s="13">
        <f t="shared" si="4"/>
        <v>7.7177656819241136</v>
      </c>
      <c r="G24" s="13" t="s">
        <v>54</v>
      </c>
      <c r="H24" s="13">
        <f t="shared" si="5"/>
        <v>16062.875612224178</v>
      </c>
      <c r="I24" s="37">
        <f>H24*Miller_2017!$F$5</f>
        <v>97944363489.171814</v>
      </c>
      <c r="J24" s="38">
        <f t="shared" si="6"/>
        <v>1.0209877979456719E-11</v>
      </c>
      <c r="K24" s="39">
        <f t="shared" si="0"/>
        <v>2.7932753023476907E-10</v>
      </c>
      <c r="L24" s="47">
        <f>H24*Miller_2017!$G$5</f>
        <v>11883916.103352845</v>
      </c>
      <c r="M24" s="47">
        <f t="shared" si="7"/>
        <v>8.414734598453342E-8</v>
      </c>
      <c r="N24" s="48">
        <f t="shared" si="1"/>
        <v>3.3891740335151977E-14</v>
      </c>
    </row>
    <row r="25" spans="1:14" x14ac:dyDescent="0.2">
      <c r="A25" s="13">
        <v>1969</v>
      </c>
      <c r="B25" s="13">
        <f>'Koomey et al (2011)'!F35</f>
        <v>43148715.914042421</v>
      </c>
      <c r="C25" s="13">
        <f t="shared" si="2"/>
        <v>11.985754420567339</v>
      </c>
      <c r="D25" s="13">
        <v>1.6</v>
      </c>
      <c r="E25" s="15">
        <f t="shared" si="3"/>
        <v>1.4375</v>
      </c>
      <c r="F25" s="13">
        <f t="shared" si="4"/>
        <v>11.985754420567339</v>
      </c>
      <c r="G25" s="13" t="s">
        <v>54</v>
      </c>
      <c r="H25" s="13">
        <f t="shared" si="5"/>
        <v>24945.779686879625</v>
      </c>
      <c r="I25" s="37">
        <f>H25*Miller_2017!$F$5</f>
        <v>152108412724.87576</v>
      </c>
      <c r="J25" s="38">
        <f t="shared" si="6"/>
        <v>6.574258333815749E-12</v>
      </c>
      <c r="K25" s="39">
        <f t="shared" si="0"/>
        <v>4.3379798225007317E-10</v>
      </c>
      <c r="L25" s="47">
        <f>H25*Miller_2017!$G$5</f>
        <v>18455820.743951589</v>
      </c>
      <c r="M25" s="47">
        <f t="shared" si="7"/>
        <v>5.4183447806173768E-8</v>
      </c>
      <c r="N25" s="48">
        <f t="shared" si="1"/>
        <v>5.2634155179675531E-14</v>
      </c>
    </row>
    <row r="26" spans="1:14" x14ac:dyDescent="0.2">
      <c r="A26" s="13">
        <v>1970</v>
      </c>
      <c r="B26" s="13">
        <f>'Koomey et al (2011)'!F36</f>
        <v>67010315.397352345</v>
      </c>
      <c r="C26" s="13">
        <f t="shared" si="2"/>
        <v>18.613976499264542</v>
      </c>
      <c r="D26" s="13">
        <v>1.6</v>
      </c>
      <c r="E26" s="15">
        <f t="shared" si="3"/>
        <v>1.4375</v>
      </c>
      <c r="F26" s="13">
        <f t="shared" si="4"/>
        <v>18.613976499264542</v>
      </c>
      <c r="G26" s="13" t="s">
        <v>54</v>
      </c>
      <c r="H26" s="13">
        <f t="shared" si="5"/>
        <v>38741.003741125278</v>
      </c>
      <c r="I26" s="37">
        <f>H26*Miller_2017!$F$5</f>
        <v>236225632567.83707</v>
      </c>
      <c r="J26" s="38">
        <f t="shared" si="6"/>
        <v>4.2332408601459853E-12</v>
      </c>
      <c r="K26" s="39">
        <f t="shared" si="0"/>
        <v>6.7369188152021453E-10</v>
      </c>
      <c r="L26" s="47">
        <f>H26*Miller_2017!$G$5</f>
        <v>28662043.418230895</v>
      </c>
      <c r="M26" s="47">
        <f t="shared" si="7"/>
        <v>3.4889347748455925E-8</v>
      </c>
      <c r="N26" s="48">
        <f t="shared" si="1"/>
        <v>8.1741281624452691E-14</v>
      </c>
    </row>
    <row r="27" spans="1:14" x14ac:dyDescent="0.2">
      <c r="A27" s="13">
        <v>1971</v>
      </c>
      <c r="B27" s="13">
        <f>'Koomey et al (2011)'!F37</f>
        <v>104067578.24723044</v>
      </c>
      <c r="C27" s="13">
        <f t="shared" si="2"/>
        <v>28.90766062423068</v>
      </c>
      <c r="D27" s="13">
        <v>1.6</v>
      </c>
      <c r="E27" s="15">
        <f t="shared" si="3"/>
        <v>1.4375</v>
      </c>
      <c r="F27" s="13">
        <f t="shared" si="4"/>
        <v>28.90766062423068</v>
      </c>
      <c r="G27" s="13" t="s">
        <v>54</v>
      </c>
      <c r="H27" s="13">
        <f t="shared" si="5"/>
        <v>60165.101660827255</v>
      </c>
      <c r="I27" s="37">
        <f>H27*Miller_2017!$F$5</f>
        <v>366860375980.65399</v>
      </c>
      <c r="J27" s="38">
        <f t="shared" si="6"/>
        <v>2.7258326749704196E-12</v>
      </c>
      <c r="K27" s="40">
        <f t="shared" si="0"/>
        <v>1.0462491062592272E-9</v>
      </c>
      <c r="L27" s="47">
        <f>H27*Miller_2017!$G$5</f>
        <v>44512392.285652682</v>
      </c>
      <c r="M27" s="47">
        <f t="shared" si="7"/>
        <v>2.2465653914591371E-8</v>
      </c>
      <c r="N27" s="48">
        <f t="shared" si="1"/>
        <v>1.2694489155945288E-13</v>
      </c>
    </row>
    <row r="28" spans="1:14" x14ac:dyDescent="0.2">
      <c r="A28" s="13">
        <v>1972</v>
      </c>
      <c r="B28" s="13">
        <f>'Koomey et al (2011)'!F38</f>
        <v>161617816.27239692</v>
      </c>
      <c r="C28" s="13">
        <f t="shared" si="2"/>
        <v>44.893837853443593</v>
      </c>
      <c r="D28" s="13">
        <v>1.6</v>
      </c>
      <c r="E28" s="15">
        <f t="shared" si="3"/>
        <v>1.4375</v>
      </c>
      <c r="F28" s="13">
        <f t="shared" si="4"/>
        <v>44.893837853443593</v>
      </c>
      <c r="G28" s="13" t="s">
        <v>54</v>
      </c>
      <c r="H28" s="13">
        <f t="shared" si="5"/>
        <v>93436.904269350984</v>
      </c>
      <c r="I28" s="37">
        <f>H28*Miller_2017!$F$5</f>
        <v>569737221154.57922</v>
      </c>
      <c r="J28" s="38">
        <f t="shared" si="6"/>
        <v>1.7551951371081008E-12</v>
      </c>
      <c r="K28" s="39">
        <f t="shared" si="0"/>
        <v>1.6248335810107445E-9</v>
      </c>
      <c r="L28" s="47">
        <f>H28*Miller_2017!$G$5</f>
        <v>69128116.166755602</v>
      </c>
      <c r="M28" s="47">
        <f t="shared" si="7"/>
        <v>1.4465893987154679E-8</v>
      </c>
      <c r="N28" s="48">
        <f t="shared" si="1"/>
        <v>1.971464744959703E-13</v>
      </c>
    </row>
    <row r="29" spans="1:14" x14ac:dyDescent="0.2">
      <c r="A29" s="13">
        <v>1973</v>
      </c>
      <c r="B29" s="13">
        <f>'Koomey et al (2011)'!F39</f>
        <v>250993815.524389</v>
      </c>
      <c r="C29" s="13">
        <f t="shared" si="2"/>
        <v>69.720504312330277</v>
      </c>
      <c r="D29" s="13">
        <v>1.6</v>
      </c>
      <c r="E29" s="15">
        <f t="shared" si="3"/>
        <v>1.4375</v>
      </c>
      <c r="F29" s="13">
        <f t="shared" si="4"/>
        <v>69.720504312330277</v>
      </c>
      <c r="G29" s="13" t="s">
        <v>54</v>
      </c>
      <c r="H29" s="13">
        <f t="shared" si="5"/>
        <v>145108.29099326784</v>
      </c>
      <c r="I29" s="37">
        <f>H29*Miller_2017!$F$5</f>
        <v>884806652397.97461</v>
      </c>
      <c r="J29" s="38">
        <f t="shared" si="6"/>
        <v>1.1301904176351208E-12</v>
      </c>
      <c r="K29" s="39">
        <f t="shared" si="0"/>
        <v>2.5233800919737834E-9</v>
      </c>
      <c r="L29" s="47">
        <f>H29*Miller_2017!$G$5</f>
        <v>107356540.49095425</v>
      </c>
      <c r="M29" s="47">
        <f t="shared" si="7"/>
        <v>9.3147561893004463E-9</v>
      </c>
      <c r="N29" s="48">
        <f t="shared" si="1"/>
        <v>3.0617011782615241E-13</v>
      </c>
    </row>
    <row r="30" spans="1:14" x14ac:dyDescent="0.2">
      <c r="A30" s="13">
        <v>1974</v>
      </c>
      <c r="B30" s="13">
        <f>'Koomey et al (2011)'!F40</f>
        <v>389795487.18390733</v>
      </c>
      <c r="C30" s="13">
        <f t="shared" si="2"/>
        <v>108.27652421775204</v>
      </c>
      <c r="D30" s="13">
        <v>1.6</v>
      </c>
      <c r="E30" s="15">
        <f t="shared" si="3"/>
        <v>1.4375</v>
      </c>
      <c r="F30" s="13">
        <f t="shared" si="4"/>
        <v>108.27652421775204</v>
      </c>
      <c r="G30" s="13" t="s">
        <v>54</v>
      </c>
      <c r="H30" s="13">
        <f t="shared" si="5"/>
        <v>225354.38518264555</v>
      </c>
      <c r="I30" s="37">
        <f>H30*Miller_2017!$F$5</f>
        <v>1374112104772.229</v>
      </c>
      <c r="J30" s="38">
        <f t="shared" si="6"/>
        <v>7.2774266126253115E-13</v>
      </c>
      <c r="K30" s="39">
        <f t="shared" si="0"/>
        <v>3.9188303115999201E-9</v>
      </c>
      <c r="L30" s="47">
        <f>H30*Miller_2017!$G$5</f>
        <v>166725602.04569709</v>
      </c>
      <c r="M30" s="47">
        <f t="shared" si="7"/>
        <v>5.9978790763395438E-9</v>
      </c>
      <c r="N30" s="48">
        <f t="shared" si="1"/>
        <v>4.7548474447412354E-13</v>
      </c>
    </row>
    <row r="31" spans="1:14" x14ac:dyDescent="0.2">
      <c r="A31" s="13">
        <v>1975</v>
      </c>
      <c r="B31" s="13">
        <f>'Koomey et al (2011)'!F41</f>
        <v>605355639.98451734</v>
      </c>
      <c r="C31" s="13">
        <f t="shared" si="2"/>
        <v>168.15434444014372</v>
      </c>
      <c r="D31" s="13">
        <v>1.6</v>
      </c>
      <c r="E31" s="15">
        <f t="shared" si="3"/>
        <v>1.4375</v>
      </c>
      <c r="F31" s="13">
        <f t="shared" si="4"/>
        <v>168.15434444014372</v>
      </c>
      <c r="G31" s="13" t="s">
        <v>54</v>
      </c>
      <c r="H31" s="13">
        <f t="shared" si="5"/>
        <v>349977.23819515243</v>
      </c>
      <c r="I31" s="37">
        <f>H31*Miller_2017!$F$5</f>
        <v>2134007549970.4417</v>
      </c>
      <c r="J31" s="38">
        <f t="shared" si="6"/>
        <v>4.6860190350022479E-13</v>
      </c>
      <c r="K31" s="39">
        <f t="shared" si="0"/>
        <v>6.0859761317607019E-9</v>
      </c>
      <c r="L31" s="47">
        <f>H31*Miller_2017!$G$5</f>
        <v>258926249.39641356</v>
      </c>
      <c r="M31" s="47">
        <f t="shared" si="7"/>
        <v>3.8621036002765778E-9</v>
      </c>
      <c r="N31" s="48">
        <f t="shared" si="1"/>
        <v>7.3843177065363191E-13</v>
      </c>
    </row>
    <row r="32" spans="1:14" x14ac:dyDescent="0.2">
      <c r="A32" s="13">
        <v>1976</v>
      </c>
      <c r="B32" s="13">
        <f>'Koomey et al (2011)'!F42</f>
        <v>940122353.66955602</v>
      </c>
      <c r="C32" s="13">
        <f t="shared" si="2"/>
        <v>261.14509824154334</v>
      </c>
      <c r="D32" s="13">
        <v>1.6</v>
      </c>
      <c r="E32" s="15">
        <f t="shared" si="3"/>
        <v>1.4375</v>
      </c>
      <c r="F32" s="13">
        <f t="shared" si="4"/>
        <v>261.14509824154334</v>
      </c>
      <c r="G32" s="13" t="s">
        <v>54</v>
      </c>
      <c r="H32" s="13">
        <f t="shared" si="5"/>
        <v>543517.56747688458</v>
      </c>
      <c r="I32" s="37">
        <f>H32*Miller_2017!$F$5</f>
        <v>3314131509005.3936</v>
      </c>
      <c r="J32" s="38">
        <f t="shared" si="6"/>
        <v>3.0173817704056974E-13</v>
      </c>
      <c r="K32" s="39">
        <f t="shared" si="0"/>
        <v>9.4515716505324818E-9</v>
      </c>
      <c r="L32" s="47">
        <f>H32*Miller_2017!$G$5</f>
        <v>402114623.09265441</v>
      </c>
      <c r="M32" s="47">
        <f t="shared" si="7"/>
        <v>2.4868531074772232E-9</v>
      </c>
      <c r="N32" s="48">
        <f t="shared" si="1"/>
        <v>1.1467906935979411E-12</v>
      </c>
    </row>
    <row r="33" spans="1:14" x14ac:dyDescent="0.2">
      <c r="A33" s="13">
        <v>1977</v>
      </c>
      <c r="B33" s="13">
        <f>'Koomey et al (2011)'!F43</f>
        <v>1460017849.8240972</v>
      </c>
      <c r="C33" s="13">
        <f t="shared" si="2"/>
        <v>405.560513840027</v>
      </c>
      <c r="D33" s="13">
        <v>1.6</v>
      </c>
      <c r="E33" s="15">
        <f t="shared" si="3"/>
        <v>1.4375</v>
      </c>
      <c r="F33" s="13">
        <f t="shared" si="4"/>
        <v>405.560513840027</v>
      </c>
      <c r="G33" s="13" t="s">
        <v>54</v>
      </c>
      <c r="H33" s="13">
        <f t="shared" si="5"/>
        <v>844087.31173320045</v>
      </c>
      <c r="I33" s="37">
        <f>H33*Miller_2017!$F$5</f>
        <v>5146873852031.71</v>
      </c>
      <c r="J33" s="38">
        <f t="shared" si="6"/>
        <v>1.9429269664444051E-13</v>
      </c>
      <c r="K33" s="39">
        <f t="shared" si="0"/>
        <v>1.4678369538609234E-8</v>
      </c>
      <c r="L33" s="47">
        <f>H33*Miller_2017!$G$5</f>
        <v>624487360.71318078</v>
      </c>
      <c r="M33" s="47">
        <f t="shared" si="7"/>
        <v>1.6013134338827516E-9</v>
      </c>
      <c r="N33" s="48">
        <f t="shared" si="1"/>
        <v>1.7809755040179201E-12</v>
      </c>
    </row>
    <row r="34" spans="1:14" x14ac:dyDescent="0.2">
      <c r="A34" s="13">
        <v>1978</v>
      </c>
      <c r="B34" s="13">
        <f>'Koomey et al (2011)'!F44</f>
        <v>2267419887.9377756</v>
      </c>
      <c r="C34" s="13">
        <f t="shared" si="2"/>
        <v>629.83885776049317</v>
      </c>
      <c r="D34" s="13">
        <v>1.6</v>
      </c>
      <c r="E34" s="15">
        <f t="shared" si="3"/>
        <v>1.4375</v>
      </c>
      <c r="F34" s="13">
        <f t="shared" si="4"/>
        <v>629.83885776049317</v>
      </c>
      <c r="G34" s="13" t="s">
        <v>54</v>
      </c>
      <c r="H34" s="13">
        <f t="shared" ref="H34:H65" si="8">F34/$F$2</f>
        <v>1310874.6293823586</v>
      </c>
      <c r="I34" s="37">
        <f>H34*Miller_2017!$F$5</f>
        <v>7993137984038.7725</v>
      </c>
      <c r="J34" s="38">
        <f t="shared" si="6"/>
        <v>1.251073110456577E-13</v>
      </c>
      <c r="K34" s="39">
        <f t="shared" ref="K34:K65" si="9">LandauerLimit/J34</f>
        <v>2.2795630216680175E-8</v>
      </c>
      <c r="L34" s="47">
        <f>H34*Miller_2017!$G$5</f>
        <v>969834075.3967042</v>
      </c>
      <c r="M34" s="47">
        <f t="shared" si="7"/>
        <v>1.0311042119147614E-9</v>
      </c>
      <c r="N34" s="48">
        <f t="shared" ref="N34:N65" si="10">LandauerLimit/M34</f>
        <v>2.7658697996238607E-12</v>
      </c>
    </row>
    <row r="35" spans="1:14" x14ac:dyDescent="0.2">
      <c r="A35" s="13">
        <v>1979</v>
      </c>
      <c r="B35" s="13">
        <f>'Koomey et al (2011)'!F45</f>
        <v>3521321981.6693201</v>
      </c>
      <c r="C35" s="13">
        <f t="shared" si="2"/>
        <v>978.14499490814444</v>
      </c>
      <c r="D35" s="13">
        <v>1.6</v>
      </c>
      <c r="E35" s="15">
        <f t="shared" si="3"/>
        <v>1.4375</v>
      </c>
      <c r="F35" s="13">
        <f t="shared" si="4"/>
        <v>978.14499490814444</v>
      </c>
      <c r="G35" s="13" t="s">
        <v>54</v>
      </c>
      <c r="H35" s="13">
        <f t="shared" si="8"/>
        <v>2035799.2236960563</v>
      </c>
      <c r="I35" s="37">
        <f>H35*Miller_2017!$F$5</f>
        <v>12413409900585.709</v>
      </c>
      <c r="J35" s="38">
        <f t="shared" si="6"/>
        <v>8.0558042311389108E-14</v>
      </c>
      <c r="K35" s="39">
        <f t="shared" si="9"/>
        <v>3.5401803695480385E-8</v>
      </c>
      <c r="L35" s="47">
        <f>H35*Miller_2017!$G$5</f>
        <v>1506160401.271066</v>
      </c>
      <c r="M35" s="47">
        <f t="shared" si="7"/>
        <v>6.6393990915980039E-10</v>
      </c>
      <c r="N35" s="48">
        <f t="shared" si="10"/>
        <v>4.2954188483849525E-12</v>
      </c>
    </row>
    <row r="36" spans="1:14" x14ac:dyDescent="0.2">
      <c r="A36" s="13">
        <v>1980</v>
      </c>
      <c r="B36" s="13">
        <f>'Koomey et al (2011)'!F46</f>
        <v>5468642382.7156801</v>
      </c>
      <c r="C36" s="13">
        <f t="shared" si="2"/>
        <v>1519.0673285321334</v>
      </c>
      <c r="D36" s="13">
        <v>1.6</v>
      </c>
      <c r="E36" s="15">
        <f t="shared" si="3"/>
        <v>1.4375</v>
      </c>
      <c r="F36" s="13">
        <f t="shared" si="4"/>
        <v>1519.0673285321334</v>
      </c>
      <c r="G36" s="13" t="s">
        <v>54</v>
      </c>
      <c r="H36" s="13">
        <f t="shared" si="8"/>
        <v>3161613.1598753119</v>
      </c>
      <c r="I36" s="37">
        <f>H36*Miller_2017!$F$5</f>
        <v>19278129023629.949</v>
      </c>
      <c r="J36" s="38">
        <f t="shared" si="6"/>
        <v>5.1872253722042281E-14</v>
      </c>
      <c r="K36" s="39">
        <f t="shared" si="9"/>
        <v>5.4979296162490255E-8</v>
      </c>
      <c r="L36" s="47">
        <f>H36*Miller_2017!$G$5</f>
        <v>2339079654.8671002</v>
      </c>
      <c r="M36" s="47">
        <f t="shared" si="7"/>
        <v>4.2751857463221668E-10</v>
      </c>
      <c r="N36" s="48">
        <f t="shared" si="10"/>
        <v>6.6708212677154828E-12</v>
      </c>
    </row>
    <row r="37" spans="1:14" x14ac:dyDescent="0.2">
      <c r="A37" s="13">
        <v>1981</v>
      </c>
      <c r="B37" s="13">
        <f>'Koomey et al (2011)'!F47</f>
        <v>8492847193.6705866</v>
      </c>
      <c r="C37" s="13">
        <f t="shared" si="2"/>
        <v>2359.1242204640516</v>
      </c>
      <c r="D37" s="13">
        <v>1.6</v>
      </c>
      <c r="E37" s="15">
        <f t="shared" si="3"/>
        <v>1.4375</v>
      </c>
      <c r="F37" s="13">
        <f t="shared" si="4"/>
        <v>2359.1242204640516</v>
      </c>
      <c r="G37" s="13" t="s">
        <v>54</v>
      </c>
      <c r="H37" s="13">
        <f t="shared" si="8"/>
        <v>4910011.5848103808</v>
      </c>
      <c r="I37" s="37">
        <f>H37*Miller_2017!$F$5</f>
        <v>29939095029331.59</v>
      </c>
      <c r="J37" s="38">
        <f t="shared" si="6"/>
        <v>3.3401143188205637E-14</v>
      </c>
      <c r="K37" s="39">
        <f t="shared" si="9"/>
        <v>8.5383305114150751E-8</v>
      </c>
      <c r="L37" s="47">
        <f>H37*Miller_2017!$G$5</f>
        <v>3632610196.8922324</v>
      </c>
      <c r="M37" s="47">
        <f t="shared" si="7"/>
        <v>2.7528414715554098E-10</v>
      </c>
      <c r="N37" s="48">
        <f t="shared" si="10"/>
        <v>1.0359841020516957E-11</v>
      </c>
    </row>
    <row r="38" spans="1:14" x14ac:dyDescent="0.2">
      <c r="A38" s="13">
        <v>1982</v>
      </c>
      <c r="B38" s="13">
        <f>'Koomey et al (2011)'!F48</f>
        <v>13189462467.507008</v>
      </c>
      <c r="C38" s="13">
        <f t="shared" si="2"/>
        <v>3663.7395743075022</v>
      </c>
      <c r="D38" s="13">
        <v>1.6</v>
      </c>
      <c r="E38" s="15">
        <f t="shared" si="3"/>
        <v>1.4375</v>
      </c>
      <c r="F38" s="13">
        <f t="shared" si="4"/>
        <v>3663.7395743075022</v>
      </c>
      <c r="G38" s="13" t="s">
        <v>54</v>
      </c>
      <c r="H38" s="13">
        <f t="shared" si="8"/>
        <v>7625288.9091357645</v>
      </c>
      <c r="I38" s="37">
        <f>H38*Miller_2017!$F$5</f>
        <v>46495664080096.125</v>
      </c>
      <c r="J38" s="38">
        <f t="shared" si="6"/>
        <v>2.1507381812578093E-14</v>
      </c>
      <c r="K38" s="39">
        <f t="shared" si="9"/>
        <v>1.3260098439002615E-7</v>
      </c>
      <c r="L38" s="47">
        <f>H38*Miller_2017!$G$5</f>
        <v>5641473908.3849955</v>
      </c>
      <c r="M38" s="47">
        <f t="shared" si="7"/>
        <v>1.7725864131245685E-10</v>
      </c>
      <c r="N38" s="48">
        <f t="shared" si="10"/>
        <v>1.6088919439323167E-11</v>
      </c>
    </row>
    <row r="39" spans="1:14" x14ac:dyDescent="0.2">
      <c r="A39" s="13">
        <v>1983</v>
      </c>
      <c r="B39" s="13">
        <f>'Koomey et al (2011)'!F49</f>
        <v>20483345127.347115</v>
      </c>
      <c r="C39" s="13">
        <f t="shared" si="2"/>
        <v>5689.8180909297544</v>
      </c>
      <c r="D39" s="13">
        <v>1.6</v>
      </c>
      <c r="E39" s="15">
        <f t="shared" si="3"/>
        <v>1.4375</v>
      </c>
      <c r="F39" s="13">
        <f t="shared" si="4"/>
        <v>5689.8180909297544</v>
      </c>
      <c r="G39" s="13" t="s">
        <v>54</v>
      </c>
      <c r="H39" s="13">
        <f t="shared" si="8"/>
        <v>11842137.221766734</v>
      </c>
      <c r="I39" s="37">
        <f>H39*Miller_2017!$F$5</f>
        <v>72208153791260.578</v>
      </c>
      <c r="J39" s="38">
        <f t="shared" si="6"/>
        <v>1.3848851514619821E-14</v>
      </c>
      <c r="K39" s="39">
        <f t="shared" si="9"/>
        <v>2.0593043379729602E-7</v>
      </c>
      <c r="L39" s="47">
        <f>H39*Miller_2017!$G$5</f>
        <v>8761255993.3396149</v>
      </c>
      <c r="M39" s="47">
        <f t="shared" si="7"/>
        <v>1.1413888610950404E-10</v>
      </c>
      <c r="N39" s="48">
        <f t="shared" si="10"/>
        <v>2.4986225967405247E-11</v>
      </c>
    </row>
    <row r="40" spans="1:14" x14ac:dyDescent="0.2">
      <c r="A40" s="13">
        <v>1984</v>
      </c>
      <c r="B40" s="13">
        <f>'Koomey et al (2011)'!F50</f>
        <v>31810805682.156902</v>
      </c>
      <c r="C40" s="13">
        <f t="shared" si="2"/>
        <v>8836.3349117102498</v>
      </c>
      <c r="D40" s="13">
        <v>1.6</v>
      </c>
      <c r="E40" s="15">
        <f t="shared" si="3"/>
        <v>1.4375</v>
      </c>
      <c r="F40" s="13">
        <f t="shared" si="4"/>
        <v>8836.3349117102498</v>
      </c>
      <c r="G40" s="13" t="s">
        <v>54</v>
      </c>
      <c r="H40" s="13">
        <f t="shared" si="8"/>
        <v>18390937.792681132</v>
      </c>
      <c r="I40" s="37">
        <f>H40*Miller_2017!$F$5</f>
        <v>112139864589519.09</v>
      </c>
      <c r="J40" s="38">
        <f t="shared" si="6"/>
        <v>8.917435415678777E-15</v>
      </c>
      <c r="K40" s="39">
        <f t="shared" si="9"/>
        <v>3.1981167982284953E-7</v>
      </c>
      <c r="L40" s="47">
        <f>H40*Miller_2017!$G$5</f>
        <v>13606303570.194983</v>
      </c>
      <c r="M40" s="47">
        <f t="shared" si="7"/>
        <v>7.3495346832517394E-11</v>
      </c>
      <c r="N40" s="48">
        <f t="shared" si="10"/>
        <v>3.8803817151839074E-11</v>
      </c>
    </row>
    <row r="41" spans="1:14" x14ac:dyDescent="0.2">
      <c r="A41" s="13">
        <v>1985</v>
      </c>
      <c r="B41" s="13">
        <f>'Koomey et al (2011)'!F51</f>
        <v>49402446321.965576</v>
      </c>
      <c r="C41" s="13">
        <f t="shared" si="2"/>
        <v>13722.90175610155</v>
      </c>
      <c r="D41" s="13">
        <v>1.6</v>
      </c>
      <c r="E41" s="15">
        <f t="shared" si="3"/>
        <v>1.4375</v>
      </c>
      <c r="F41" s="13">
        <f t="shared" si="4"/>
        <v>13722.90175610155</v>
      </c>
      <c r="G41" s="13" t="s">
        <v>54</v>
      </c>
      <c r="H41" s="13">
        <f t="shared" si="8"/>
        <v>28561279.654201262</v>
      </c>
      <c r="I41" s="37">
        <f>H41*Miller_2017!$F$5</f>
        <v>174154144232934.53</v>
      </c>
      <c r="J41" s="38">
        <f t="shared" si="6"/>
        <v>5.7420396419764821E-15</v>
      </c>
      <c r="K41" s="39">
        <f t="shared" si="9"/>
        <v>4.9667020393790599E-7</v>
      </c>
      <c r="L41" s="47">
        <f>H41*Miller_2017!$G$5</f>
        <v>21130702833.596054</v>
      </c>
      <c r="M41" s="47">
        <f t="shared" si="7"/>
        <v>4.7324502543762219E-11</v>
      </c>
      <c r="N41" s="48">
        <f t="shared" si="10"/>
        <v>6.026265141113259E-11</v>
      </c>
    </row>
    <row r="42" spans="1:14" x14ac:dyDescent="0.2">
      <c r="A42" s="13">
        <v>1986</v>
      </c>
      <c r="B42" s="13">
        <f>'Koomey et al (2011)'!F52</f>
        <v>76722410836.748398</v>
      </c>
      <c r="C42" s="13">
        <f t="shared" si="2"/>
        <v>21311.780787985666</v>
      </c>
      <c r="D42" s="13">
        <v>1.6</v>
      </c>
      <c r="E42" s="15">
        <f t="shared" si="3"/>
        <v>1.4375</v>
      </c>
      <c r="F42" s="13">
        <f t="shared" si="4"/>
        <v>21311.780787985666</v>
      </c>
      <c r="G42" s="13" t="s">
        <v>54</v>
      </c>
      <c r="H42" s="13">
        <f t="shared" si="8"/>
        <v>44355905.320392795</v>
      </c>
      <c r="I42" s="37">
        <f>H42*Miller_2017!$F$5</f>
        <v>270462837319468.25</v>
      </c>
      <c r="J42" s="38">
        <f t="shared" si="6"/>
        <v>3.6973656340771467E-15</v>
      </c>
      <c r="K42" s="39">
        <f t="shared" si="9"/>
        <v>7.7133296575139157E-7</v>
      </c>
      <c r="L42" s="47">
        <f>H42*Miller_2017!$G$5</f>
        <v>32816157594.762146</v>
      </c>
      <c r="M42" s="47">
        <f t="shared" si="7"/>
        <v>3.0472793687449014E-11</v>
      </c>
      <c r="N42" s="48">
        <f t="shared" si="10"/>
        <v>9.3588399844502172E-11</v>
      </c>
    </row>
    <row r="43" spans="1:14" x14ac:dyDescent="0.2">
      <c r="A43" s="13">
        <v>1987</v>
      </c>
      <c r="B43" s="13">
        <f>'Koomey et al (2011)'!F53</f>
        <v>119150543401.05153</v>
      </c>
      <c r="C43" s="13">
        <f t="shared" si="2"/>
        <v>33097.373166958758</v>
      </c>
      <c r="D43" s="13">
        <v>1.6</v>
      </c>
      <c r="E43" s="15">
        <f t="shared" si="3"/>
        <v>1.4375</v>
      </c>
      <c r="F43" s="13">
        <f t="shared" si="4"/>
        <v>33097.373166958758</v>
      </c>
      <c r="G43" s="13" t="s">
        <v>54</v>
      </c>
      <c r="H43" s="13">
        <f t="shared" si="8"/>
        <v>68885090.605611905</v>
      </c>
      <c r="I43" s="37">
        <f>H43*Miller_2017!$F$5</f>
        <v>420031040278121.38</v>
      </c>
      <c r="J43" s="38">
        <f t="shared" si="6"/>
        <v>2.3807764286607369E-15</v>
      </c>
      <c r="K43" s="39">
        <f t="shared" si="9"/>
        <v>1.1978865237691744E-6</v>
      </c>
      <c r="L43" s="47">
        <f>H43*Miller_2017!$G$5</f>
        <v>50963766220.412056</v>
      </c>
      <c r="M43" s="47">
        <f t="shared" si="7"/>
        <v>1.9621783752698382E-11</v>
      </c>
      <c r="N43" s="48">
        <f t="shared" si="10"/>
        <v>1.4534356488399316E-10</v>
      </c>
    </row>
    <row r="44" spans="1:14" x14ac:dyDescent="0.2">
      <c r="A44" s="13">
        <v>1988</v>
      </c>
      <c r="B44" s="13">
        <f>'Koomey et al (2011)'!F54</f>
        <v>185041786851.20593</v>
      </c>
      <c r="C44" s="13">
        <f t="shared" si="2"/>
        <v>51400.4963475572</v>
      </c>
      <c r="D44" s="13">
        <v>1.6</v>
      </c>
      <c r="E44" s="15">
        <f t="shared" si="3"/>
        <v>1.4375</v>
      </c>
      <c r="F44" s="13">
        <f t="shared" si="4"/>
        <v>51400.4963475572</v>
      </c>
      <c r="G44" s="13" t="s">
        <v>54</v>
      </c>
      <c r="H44" s="13">
        <f t="shared" si="8"/>
        <v>106979119.76922762</v>
      </c>
      <c r="I44" s="37">
        <f>H44*Miller_2017!$F$5</f>
        <v>652311705909924.5</v>
      </c>
      <c r="J44" s="38">
        <f t="shared" si="6"/>
        <v>1.533009435427925E-15</v>
      </c>
      <c r="K44" s="39">
        <f t="shared" si="9"/>
        <v>1.8603277540845137E-6</v>
      </c>
      <c r="L44" s="47">
        <f>H44*Miller_2017!$G$5</f>
        <v>79147153650.404175</v>
      </c>
      <c r="M44" s="47">
        <f t="shared" si="7"/>
        <v>1.2634693149131249E-11</v>
      </c>
      <c r="N44" s="48">
        <f t="shared" si="10"/>
        <v>2.2571976749558766E-10</v>
      </c>
    </row>
    <row r="45" spans="1:14" x14ac:dyDescent="0.2">
      <c r="A45" s="13">
        <v>1989</v>
      </c>
      <c r="B45" s="13">
        <f>'Koomey et al (2011)'!F55</f>
        <v>287371437038.60645</v>
      </c>
      <c r="C45" s="13">
        <f t="shared" si="2"/>
        <v>79825.399177390675</v>
      </c>
      <c r="D45" s="13">
        <v>1.6</v>
      </c>
      <c r="E45" s="15">
        <f t="shared" si="3"/>
        <v>1.4375</v>
      </c>
      <c r="F45" s="13">
        <f t="shared" si="4"/>
        <v>79825.399177390675</v>
      </c>
      <c r="G45" s="13" t="s">
        <v>54</v>
      </c>
      <c r="H45" s="13">
        <f t="shared" si="8"/>
        <v>166139464.51959363</v>
      </c>
      <c r="I45" s="37">
        <f>H45*Miller_2017!$F$5</f>
        <v>1013045515363375.8</v>
      </c>
      <c r="J45" s="38">
        <f t="shared" si="6"/>
        <v>9.8712247854066422E-16</v>
      </c>
      <c r="K45" s="39">
        <f t="shared" si="9"/>
        <v>2.889104505264811E-6</v>
      </c>
      <c r="L45" s="47">
        <f>H45*Miller_2017!$G$5</f>
        <v>122916189197.42291</v>
      </c>
      <c r="M45" s="47">
        <f t="shared" si="7"/>
        <v>8.1356248231373435E-12</v>
      </c>
      <c r="N45" s="48">
        <f t="shared" si="10"/>
        <v>3.505446799721304E-10</v>
      </c>
    </row>
    <row r="46" spans="1:14" x14ac:dyDescent="0.2">
      <c r="A46" s="13">
        <v>1990</v>
      </c>
      <c r="B46" s="13">
        <f>'Koomey et al (2011)'!F56</f>
        <v>446290236550.8916</v>
      </c>
      <c r="C46" s="13">
        <f t="shared" si="2"/>
        <v>123969.51015302545</v>
      </c>
      <c r="D46" s="13">
        <v>1.6</v>
      </c>
      <c r="E46" s="15">
        <f t="shared" si="3"/>
        <v>1.4375</v>
      </c>
      <c r="F46" s="13">
        <f t="shared" si="4"/>
        <v>123969.51015302545</v>
      </c>
      <c r="G46" s="13" t="s">
        <v>54</v>
      </c>
      <c r="H46" s="13">
        <f t="shared" si="8"/>
        <v>258015972.93375689</v>
      </c>
      <c r="I46" s="37">
        <f>H46*Miller_2017!$F$5</f>
        <v>1573268127644859</v>
      </c>
      <c r="J46" s="38">
        <f t="shared" si="6"/>
        <v>6.3561956314272614E-16</v>
      </c>
      <c r="K46" s="39">
        <f t="shared" si="9"/>
        <v>4.4868033732303737E-6</v>
      </c>
      <c r="L46" s="47">
        <f>H46*Miller_2017!$G$5</f>
        <v>190889866154.24289</v>
      </c>
      <c r="M46" s="47">
        <f t="shared" si="7"/>
        <v>5.2386227731543364E-12</v>
      </c>
      <c r="N46" s="48">
        <f t="shared" si="10"/>
        <v>5.4439880928528532E-10</v>
      </c>
    </row>
    <row r="47" spans="1:14" x14ac:dyDescent="0.2">
      <c r="A47" s="13">
        <v>1991</v>
      </c>
      <c r="B47" s="13">
        <f>'Koomey et al (2011)'!F57</f>
        <v>693092456554.46118</v>
      </c>
      <c r="C47" s="13">
        <f t="shared" si="2"/>
        <v>192525.68237623922</v>
      </c>
      <c r="D47" s="13">
        <v>1.6</v>
      </c>
      <c r="E47" s="15">
        <f t="shared" si="3"/>
        <v>1.4375</v>
      </c>
      <c r="F47" s="13">
        <f t="shared" si="4"/>
        <v>192525.68237623922</v>
      </c>
      <c r="G47" s="13" t="s">
        <v>54</v>
      </c>
      <c r="H47" s="13">
        <f t="shared" si="8"/>
        <v>400700956.16029596</v>
      </c>
      <c r="I47" s="37">
        <f>H47*Miller_2017!$F$5</f>
        <v>2443298513172536.5</v>
      </c>
      <c r="J47" s="38">
        <f t="shared" si="6"/>
        <v>4.0928277679076367E-16</v>
      </c>
      <c r="K47" s="39">
        <f t="shared" si="9"/>
        <v>6.9680430297167569E-6</v>
      </c>
      <c r="L47" s="47">
        <f>H47*Miller_2017!$G$5</f>
        <v>296453552931.60107</v>
      </c>
      <c r="M47" s="47">
        <f t="shared" si="7"/>
        <v>3.3732096988249756E-12</v>
      </c>
      <c r="N47" s="48">
        <f t="shared" si="10"/>
        <v>8.4545588760563306E-10</v>
      </c>
    </row>
    <row r="48" spans="1:14" x14ac:dyDescent="0.2">
      <c r="A48" s="13">
        <v>1992</v>
      </c>
      <c r="B48" s="13">
        <f>'Koomey et al (2011)'!F58</f>
        <v>1076378360963.4589</v>
      </c>
      <c r="C48" s="13">
        <f t="shared" si="2"/>
        <v>298993.98915651633</v>
      </c>
      <c r="D48" s="13">
        <v>1.6</v>
      </c>
      <c r="E48" s="15">
        <f t="shared" si="3"/>
        <v>1.4375</v>
      </c>
      <c r="F48" s="13">
        <f t="shared" si="4"/>
        <v>298993.98915651633</v>
      </c>
      <c r="G48" s="13" t="s">
        <v>54</v>
      </c>
      <c r="H48" s="13">
        <f t="shared" si="8"/>
        <v>622291924.18633592</v>
      </c>
      <c r="I48" s="37">
        <f>H48*Miller_2017!$F$5</f>
        <v>3794462952355707</v>
      </c>
      <c r="J48" s="38">
        <f t="shared" si="6"/>
        <v>2.6354190633991367E-16</v>
      </c>
      <c r="K48" s="39">
        <f t="shared" si="9"/>
        <v>1.082142889382324E-5</v>
      </c>
      <c r="L48" s="47">
        <f>H48*Miller_2017!$G$5</f>
        <v>460394838219.15906</v>
      </c>
      <c r="M48" s="47">
        <f t="shared" si="7"/>
        <v>2.1720486786256621E-12</v>
      </c>
      <c r="N48" s="48">
        <f t="shared" si="10"/>
        <v>1.3130000391172197E-9</v>
      </c>
    </row>
    <row r="49" spans="1:14" x14ac:dyDescent="0.2">
      <c r="A49" s="13">
        <v>1993</v>
      </c>
      <c r="B49" s="13">
        <f>'Koomey et al (2011)'!F59</f>
        <v>1671624564650.6692</v>
      </c>
      <c r="C49" s="13">
        <f t="shared" si="2"/>
        <v>464340.1568474081</v>
      </c>
      <c r="D49" s="13">
        <v>1.6</v>
      </c>
      <c r="E49" s="15">
        <f t="shared" si="3"/>
        <v>1.4375</v>
      </c>
      <c r="F49" s="13">
        <f t="shared" si="4"/>
        <v>464340.1568474081</v>
      </c>
      <c r="G49" s="13" t="s">
        <v>54</v>
      </c>
      <c r="H49" s="13">
        <f t="shared" si="8"/>
        <v>966424544.17469049</v>
      </c>
      <c r="I49" s="37">
        <f>H49*Miller_2017!$F$5</f>
        <v>5892832586431040</v>
      </c>
      <c r="J49" s="38">
        <f t="shared" si="6"/>
        <v>1.6969767685282983E-16</v>
      </c>
      <c r="K49" s="39">
        <f t="shared" si="9"/>
        <v>1.6805769253242681E-5</v>
      </c>
      <c r="L49" s="47">
        <f>H49*Miller_2017!$G$5</f>
        <v>714997020486.96606</v>
      </c>
      <c r="M49" s="47">
        <f t="shared" si="7"/>
        <v>1.3986072268090372E-12</v>
      </c>
      <c r="N49" s="48">
        <f t="shared" si="10"/>
        <v>2.0391000027267787E-9</v>
      </c>
    </row>
    <row r="50" spans="1:14" x14ac:dyDescent="0.2">
      <c r="A50" s="13">
        <v>1994</v>
      </c>
      <c r="B50" s="13">
        <f>'Koomey et al (2011)'!F60</f>
        <v>2596046879502.5171</v>
      </c>
      <c r="C50" s="13">
        <f t="shared" si="2"/>
        <v>721124.13319514366</v>
      </c>
      <c r="D50" s="13">
        <v>1.6</v>
      </c>
      <c r="E50" s="15">
        <f t="shared" si="3"/>
        <v>1.4375</v>
      </c>
      <c r="F50" s="13">
        <f t="shared" si="4"/>
        <v>721124.13319514366</v>
      </c>
      <c r="G50" s="13" t="s">
        <v>54</v>
      </c>
      <c r="H50" s="13">
        <f t="shared" si="8"/>
        <v>1500865370.8697121</v>
      </c>
      <c r="I50" s="37">
        <f>H50*Miller_2017!$F$5</f>
        <v>9151618115059220</v>
      </c>
      <c r="J50" s="38">
        <f t="shared" si="6"/>
        <v>1.0927029378055828E-16</v>
      </c>
      <c r="K50" s="39">
        <f t="shared" si="9"/>
        <v>2.6099499702337389E-5</v>
      </c>
      <c r="L50" s="47">
        <f>H50*Miller_2017!$G$5</f>
        <v>1110396331293.8521</v>
      </c>
      <c r="M50" s="47">
        <f t="shared" si="7"/>
        <v>9.0057934434526057E-13</v>
      </c>
      <c r="N50" s="48">
        <f t="shared" si="10"/>
        <v>3.1667392972169367E-9</v>
      </c>
    </row>
    <row r="51" spans="1:14" x14ac:dyDescent="0.2">
      <c r="A51" s="13">
        <v>1995</v>
      </c>
      <c r="B51" s="13">
        <f>'Koomey et al (2011)'!F61</f>
        <v>4031682438205.8018</v>
      </c>
      <c r="C51" s="13">
        <f t="shared" si="2"/>
        <v>1119911.7883905005</v>
      </c>
      <c r="D51" s="13">
        <v>1.6</v>
      </c>
      <c r="E51" s="15">
        <f t="shared" si="3"/>
        <v>1.4375</v>
      </c>
      <c r="F51" s="13">
        <f t="shared" si="4"/>
        <v>1119911.7883905005</v>
      </c>
      <c r="G51" s="13" t="s">
        <v>54</v>
      </c>
      <c r="H51" s="13">
        <f t="shared" si="8"/>
        <v>2330856428.5272913</v>
      </c>
      <c r="I51" s="37">
        <f>H51*Miller_2017!$F$5</f>
        <v>1.4212539198337142E+16</v>
      </c>
      <c r="J51" s="38">
        <f t="shared" si="6"/>
        <v>7.0360404009791531E-17</v>
      </c>
      <c r="K51" s="39">
        <f t="shared" si="9"/>
        <v>4.0532740539737697E-5</v>
      </c>
      <c r="L51" s="47">
        <f>H51*Miller_2017!$G$5</f>
        <v>1724454756064.9065</v>
      </c>
      <c r="M51" s="47">
        <f t="shared" si="7"/>
        <v>5.7989343964113907E-13</v>
      </c>
      <c r="N51" s="48">
        <f t="shared" si="10"/>
        <v>4.9179725188215065E-9</v>
      </c>
    </row>
    <row r="52" spans="1:14" x14ac:dyDescent="0.2">
      <c r="A52" s="13">
        <v>1996</v>
      </c>
      <c r="B52" s="13">
        <f>'Koomey et al (2011)'!F62</f>
        <v>6261236424840.7148</v>
      </c>
      <c r="C52" s="13">
        <f t="shared" si="2"/>
        <v>1739232.340233532</v>
      </c>
      <c r="D52" s="13">
        <v>1.6</v>
      </c>
      <c r="E52" s="15">
        <f t="shared" si="3"/>
        <v>1.4375</v>
      </c>
      <c r="F52" s="13">
        <f t="shared" si="4"/>
        <v>1739232.340233532</v>
      </c>
      <c r="G52" s="13" t="s">
        <v>54</v>
      </c>
      <c r="H52" s="13">
        <f t="shared" si="8"/>
        <v>3619839457.8576789</v>
      </c>
      <c r="I52" s="37">
        <f>H52*Miller_2017!$F$5</f>
        <v>2.207219181620536E+16</v>
      </c>
      <c r="J52" s="38">
        <f t="shared" si="6"/>
        <v>4.5305876658148737E-17</v>
      </c>
      <c r="K52" s="39">
        <f t="shared" si="9"/>
        <v>6.294768384063606E-5</v>
      </c>
      <c r="L52" s="47">
        <f>H52*Miller_2017!$G$5</f>
        <v>2678092607032.9165</v>
      </c>
      <c r="M52" s="47">
        <f t="shared" si="7"/>
        <v>3.7340008234737979E-13</v>
      </c>
      <c r="N52" s="48">
        <f t="shared" si="10"/>
        <v>7.6376523059971739E-9</v>
      </c>
    </row>
    <row r="53" spans="1:14" x14ac:dyDescent="0.2">
      <c r="A53" s="13">
        <v>1997</v>
      </c>
      <c r="B53" s="13">
        <f>'Koomey et al (2011)'!F63</f>
        <v>9723752346229.6621</v>
      </c>
      <c r="C53" s="13">
        <f t="shared" si="2"/>
        <v>2701042.3183971285</v>
      </c>
      <c r="D53" s="13">
        <v>1.6</v>
      </c>
      <c r="E53" s="15">
        <f t="shared" si="3"/>
        <v>1.4375</v>
      </c>
      <c r="F53" s="13">
        <f t="shared" si="4"/>
        <v>2701042.3183971285</v>
      </c>
      <c r="G53" s="13" t="s">
        <v>54</v>
      </c>
      <c r="H53" s="13">
        <f t="shared" si="8"/>
        <v>5621640844.2384853</v>
      </c>
      <c r="I53" s="37">
        <f>H53*Miller_2017!$F$5</f>
        <v>3.4278297830722472E+16</v>
      </c>
      <c r="J53" s="38">
        <f t="shared" si="6"/>
        <v>2.9172977168771026E-17</v>
      </c>
      <c r="K53" s="39">
        <f t="shared" si="9"/>
        <v>9.7758277583437405E-5</v>
      </c>
      <c r="L53" s="47">
        <f>H53*Miller_2017!$G$5</f>
        <v>4159100136794.3262</v>
      </c>
      <c r="M53" s="47">
        <f t="shared" si="7"/>
        <v>2.4043662501734363E-13</v>
      </c>
      <c r="N53" s="48">
        <f t="shared" si="10"/>
        <v>1.1861337680123738E-8</v>
      </c>
    </row>
    <row r="54" spans="1:14" x14ac:dyDescent="0.2">
      <c r="A54" s="13">
        <v>1998</v>
      </c>
      <c r="B54" s="13">
        <f>'Koomey et al (2011)'!F64</f>
        <v>15101068427263.787</v>
      </c>
      <c r="C54" s="13">
        <f t="shared" si="2"/>
        <v>4194741.229795496</v>
      </c>
      <c r="D54" s="13">
        <v>1.6</v>
      </c>
      <c r="E54" s="15">
        <f t="shared" si="3"/>
        <v>1.4375</v>
      </c>
      <c r="F54" s="13">
        <f t="shared" si="4"/>
        <v>4194741.229795496</v>
      </c>
      <c r="G54" s="13" t="s">
        <v>54</v>
      </c>
      <c r="H54" s="13">
        <f t="shared" si="8"/>
        <v>8730455079.4388638</v>
      </c>
      <c r="I54" s="37">
        <f>H54*Miller_2017!$F$5</f>
        <v>5.3234482191700392E+16</v>
      </c>
      <c r="J54" s="38">
        <f t="shared" si="6"/>
        <v>1.8784816886148027E-17</v>
      </c>
      <c r="K54" s="39">
        <f t="shared" si="9"/>
        <v>1.5181941976251035E-4</v>
      </c>
      <c r="L54" s="47">
        <f>H54*Miller_2017!$G$5</f>
        <v>6459117172592.9795</v>
      </c>
      <c r="M54" s="47">
        <f t="shared" si="7"/>
        <v>1.5481991939132993E-13</v>
      </c>
      <c r="N54" s="48">
        <f t="shared" si="10"/>
        <v>1.8420756264517919E-8</v>
      </c>
    </row>
    <row r="55" spans="1:14" x14ac:dyDescent="0.2">
      <c r="A55" s="13">
        <v>1999</v>
      </c>
      <c r="B55" s="13">
        <f>'Koomey et al (2011)'!F65</f>
        <v>23452085113351.473</v>
      </c>
      <c r="C55" s="13">
        <f t="shared" si="2"/>
        <v>6514468.0870420756</v>
      </c>
      <c r="D55" s="13">
        <v>1.6</v>
      </c>
      <c r="E55" s="15">
        <f t="shared" si="3"/>
        <v>1.4375</v>
      </c>
      <c r="F55" s="13">
        <f t="shared" si="4"/>
        <v>6514468.0870420756</v>
      </c>
      <c r="G55" s="13" t="s">
        <v>54</v>
      </c>
      <c r="H55" s="13">
        <f t="shared" si="8"/>
        <v>13558469494.227091</v>
      </c>
      <c r="I55" s="37">
        <f>H55*Miller_2017!$F$5</f>
        <v>8.2673594476994464E+16</v>
      </c>
      <c r="J55" s="38">
        <f t="shared" si="6"/>
        <v>1.2095760518532546E-17</v>
      </c>
      <c r="K55" s="39">
        <f t="shared" si="9"/>
        <v>2.3577682408894052E-4</v>
      </c>
      <c r="L55" s="47">
        <f>H55*Miller_2017!$G$5</f>
        <v>10031062796541.992</v>
      </c>
      <c r="M55" s="47">
        <f t="shared" si="7"/>
        <v>9.9690333943949583E-14</v>
      </c>
      <c r="N55" s="48">
        <f t="shared" si="10"/>
        <v>2.8607587989458107E-8</v>
      </c>
    </row>
    <row r="56" spans="1:14" s="16" customFormat="1" x14ac:dyDescent="0.2">
      <c r="A56" s="16">
        <v>2000</v>
      </c>
      <c r="B56" s="16">
        <f>'Koomey et al (2011)'!F66</f>
        <v>36421283620623.625</v>
      </c>
      <c r="C56" s="16">
        <f t="shared" si="2"/>
        <v>10117023.227951007</v>
      </c>
      <c r="D56" s="16">
        <v>1.6</v>
      </c>
      <c r="E56" s="17">
        <f t="shared" si="3"/>
        <v>1.4375</v>
      </c>
      <c r="F56" s="16">
        <f t="shared" si="4"/>
        <v>10117023.227951007</v>
      </c>
      <c r="G56" s="16" t="s">
        <v>54</v>
      </c>
      <c r="H56" s="16">
        <f t="shared" si="8"/>
        <v>21056416114.986897</v>
      </c>
      <c r="I56" s="41">
        <f>H56*Miller_2017!$F$5</f>
        <v>1.283927811889445E+17</v>
      </c>
      <c r="J56" s="42">
        <f t="shared" si="6"/>
        <v>7.788599878745417E-18</v>
      </c>
      <c r="K56" s="43">
        <f t="shared" si="9"/>
        <v>3.6616337267275081E-4</v>
      </c>
      <c r="L56" s="49">
        <f>H56*Miller_2017!$G$5</f>
        <v>15578324117591.93</v>
      </c>
      <c r="M56" s="49">
        <f t="shared" si="7"/>
        <v>6.4191757242407296E-14</v>
      </c>
      <c r="N56" s="50">
        <f t="shared" si="10"/>
        <v>4.4427822550960424E-8</v>
      </c>
    </row>
    <row r="57" spans="1:14" x14ac:dyDescent="0.2">
      <c r="A57" s="13">
        <v>2001</v>
      </c>
      <c r="B57" s="34">
        <f>'Koomey et al (2011)'!F67</f>
        <v>56562556982145.031</v>
      </c>
      <c r="C57" s="34">
        <f>B57/3600000</f>
        <v>15711821.383929176</v>
      </c>
      <c r="D57" s="13">
        <v>2.6</v>
      </c>
      <c r="E57" s="15">
        <f t="shared" si="3"/>
        <v>1.2692307692307692</v>
      </c>
      <c r="F57" s="13">
        <f>C56*E57</f>
        <v>12840837.173937816</v>
      </c>
      <c r="G57" s="13" t="s">
        <v>55</v>
      </c>
      <c r="H57" s="13">
        <f t="shared" si="8"/>
        <v>26725451222.867985</v>
      </c>
      <c r="I57" s="37">
        <f>H57*Miller_2017!$F$5</f>
        <v>1.6296006843212186E+17</v>
      </c>
      <c r="J57" s="38">
        <f t="shared" si="6"/>
        <v>6.1364726317388136E-18</v>
      </c>
      <c r="K57" s="39">
        <f t="shared" si="9"/>
        <v>4.6474581916156835E-4</v>
      </c>
      <c r="L57" s="47">
        <f>H57*Miller_2017!$G$5</f>
        <v>19772488303097.449</v>
      </c>
      <c r="M57" s="47">
        <f t="shared" si="7"/>
        <v>5.0575323887957265E-14</v>
      </c>
      <c r="N57" s="48">
        <f t="shared" si="10"/>
        <v>5.6389159391603611E-8</v>
      </c>
    </row>
    <row r="58" spans="1:14" x14ac:dyDescent="0.2">
      <c r="A58" s="13">
        <v>2002</v>
      </c>
      <c r="B58" s="34">
        <f>'Koomey et al (2011)'!F68</f>
        <v>87842122361289.234</v>
      </c>
      <c r="C58" s="34">
        <f t="shared" ref="C58:C65" si="11">B58/3600000</f>
        <v>24400589.544802565</v>
      </c>
      <c r="D58" s="13">
        <v>2.6</v>
      </c>
      <c r="E58" s="15">
        <f t="shared" si="3"/>
        <v>1.2692307692307692</v>
      </c>
      <c r="F58" s="13">
        <f t="shared" ref="F58:F65" si="12">C57*E58</f>
        <v>19941927.141140878</v>
      </c>
      <c r="G58" s="13" t="s">
        <v>55</v>
      </c>
      <c r="H58" s="13">
        <f t="shared" si="8"/>
        <v>41504848467.532532</v>
      </c>
      <c r="I58" s="37">
        <f>H58*Miller_2017!$F$5</f>
        <v>2.5307834431422275E+17</v>
      </c>
      <c r="J58" s="38">
        <f t="shared" si="6"/>
        <v>3.951345591064865E-18</v>
      </c>
      <c r="K58" s="39">
        <f t="shared" si="9"/>
        <v>7.2175413014973194E-4</v>
      </c>
      <c r="L58" s="47">
        <f>H58*Miller_2017!$G$5</f>
        <v>30706839110125.691</v>
      </c>
      <c r="M58" s="47">
        <f t="shared" si="7"/>
        <v>3.256603509119395E-14</v>
      </c>
      <c r="N58" s="48">
        <f t="shared" si="10"/>
        <v>8.7572834458167446E-8</v>
      </c>
    </row>
    <row r="59" spans="1:14" x14ac:dyDescent="0.2">
      <c r="A59" s="13">
        <v>2003</v>
      </c>
      <c r="B59" s="34">
        <f>'Koomey et al (2011)'!F69</f>
        <v>136419548065557.8</v>
      </c>
      <c r="C59" s="34">
        <f t="shared" si="11"/>
        <v>37894318.907099389</v>
      </c>
      <c r="D59" s="13">
        <v>2.6</v>
      </c>
      <c r="E59" s="15">
        <f t="shared" si="3"/>
        <v>1.2692307692307692</v>
      </c>
      <c r="F59" s="13">
        <f t="shared" si="12"/>
        <v>30969979.037634023</v>
      </c>
      <c r="G59" s="13" t="s">
        <v>55</v>
      </c>
      <c r="H59" s="13">
        <f t="shared" si="8"/>
        <v>64457375553.630722</v>
      </c>
      <c r="I59" s="37">
        <f>H59*Miller_2017!$F$5</f>
        <v>3.9303277776604096E+17</v>
      </c>
      <c r="J59" s="38">
        <f t="shared" si="6"/>
        <v>2.5443170559053627E-18</v>
      </c>
      <c r="K59" s="39">
        <f t="shared" si="9"/>
        <v>1.1208901789109722E-3</v>
      </c>
      <c r="L59" s="47">
        <f>H59*Miller_2017!$G$5</f>
        <v>47687977035612.969</v>
      </c>
      <c r="M59" s="47">
        <f t="shared" si="7"/>
        <v>2.0969646065154088E-14</v>
      </c>
      <c r="N59" s="48">
        <f t="shared" si="10"/>
        <v>1.3600134170786463E-7</v>
      </c>
    </row>
    <row r="60" spans="1:14" x14ac:dyDescent="0.2">
      <c r="A60" s="13">
        <v>2004</v>
      </c>
      <c r="B60" s="34">
        <f>'Koomey et al (2011)'!F70</f>
        <v>211860695007640.34</v>
      </c>
      <c r="C60" s="34">
        <f t="shared" si="11"/>
        <v>58850193.057677872</v>
      </c>
      <c r="D60" s="13">
        <v>2.6</v>
      </c>
      <c r="E60" s="15">
        <f t="shared" si="3"/>
        <v>1.2692307692307692</v>
      </c>
      <c r="F60" s="13">
        <f t="shared" si="12"/>
        <v>48096635.535933837</v>
      </c>
      <c r="G60" s="13" t="s">
        <v>55</v>
      </c>
      <c r="H60" s="13">
        <f t="shared" si="8"/>
        <v>100102841394.83969</v>
      </c>
      <c r="I60" s="37">
        <f>H60*Miller_2017!$F$5</f>
        <v>6.1038317923682739E+17</v>
      </c>
      <c r="J60" s="38">
        <f t="shared" si="6"/>
        <v>1.638315133864464E-18</v>
      </c>
      <c r="K60" s="39">
        <f t="shared" si="9"/>
        <v>1.7407517888655081E-3</v>
      </c>
      <c r="L60" s="47">
        <f>H60*Miller_2017!$G$5</f>
        <v>74059825747401.719</v>
      </c>
      <c r="M60" s="47">
        <f t="shared" si="7"/>
        <v>1.3502597257124705E-14</v>
      </c>
      <c r="N60" s="48">
        <f t="shared" si="10"/>
        <v>2.1121121704901496E-7</v>
      </c>
    </row>
    <row r="61" spans="1:14" x14ac:dyDescent="0.2">
      <c r="A61" s="13">
        <v>2005</v>
      </c>
      <c r="B61" s="34">
        <f>'Koomey et al (2011)'!F71</f>
        <v>329021424902797.5</v>
      </c>
      <c r="C61" s="34">
        <f t="shared" si="11"/>
        <v>91394840.250777081</v>
      </c>
      <c r="D61" s="13">
        <v>2.6</v>
      </c>
      <c r="E61" s="15">
        <f t="shared" si="3"/>
        <v>1.2692307692307692</v>
      </c>
      <c r="F61" s="13">
        <f t="shared" si="12"/>
        <v>74694475.803975761</v>
      </c>
      <c r="G61" s="13" t="s">
        <v>55</v>
      </c>
      <c r="H61" s="13">
        <f t="shared" si="8"/>
        <v>155460546900.20432</v>
      </c>
      <c r="I61" s="37">
        <f>H61*Miller_2017!$F$5</f>
        <v>9.479301640256361E+17</v>
      </c>
      <c r="J61" s="38">
        <f t="shared" si="6"/>
        <v>1.0549300338257363E-18</v>
      </c>
      <c r="K61" s="39">
        <f t="shared" si="9"/>
        <v>2.7034020347847113E-3</v>
      </c>
      <c r="L61" s="47">
        <f>H61*Miller_2017!$G$5</f>
        <v>115015526568443.83</v>
      </c>
      <c r="M61" s="47">
        <f t="shared" si="7"/>
        <v>8.6944783007615635E-15</v>
      </c>
      <c r="N61" s="48">
        <f t="shared" si="10"/>
        <v>3.2801278022054494E-7</v>
      </c>
    </row>
    <row r="62" spans="1:14" x14ac:dyDescent="0.2">
      <c r="A62" s="13">
        <v>2006</v>
      </c>
      <c r="B62" s="34">
        <f>'Koomey et al (2011)'!F72</f>
        <v>510973014797062.31</v>
      </c>
      <c r="C62" s="34">
        <f t="shared" si="11"/>
        <v>141936948.55473953</v>
      </c>
      <c r="D62" s="13">
        <v>2.6</v>
      </c>
      <c r="E62" s="15">
        <f t="shared" si="3"/>
        <v>1.2692307692307692</v>
      </c>
      <c r="F62" s="13">
        <f t="shared" si="12"/>
        <v>116001143.39521706</v>
      </c>
      <c r="G62" s="13" t="s">
        <v>55</v>
      </c>
      <c r="H62" s="13">
        <f t="shared" si="8"/>
        <v>241431524877.3671</v>
      </c>
      <c r="I62" s="37">
        <f>H62*Miller_2017!$F$5</f>
        <v>1.4721434443741896E+18</v>
      </c>
      <c r="J62" s="38">
        <f t="shared" si="6"/>
        <v>6.7928163102686066E-19</v>
      </c>
      <c r="K62" s="39">
        <f t="shared" si="9"/>
        <v>4.198405889010751E-3</v>
      </c>
      <c r="L62" s="47">
        <f>H62*Miller_2017!$G$5</f>
        <v>178620071250735</v>
      </c>
      <c r="M62" s="47">
        <f t="shared" si="7"/>
        <v>5.59847498099061E-15</v>
      </c>
      <c r="N62" s="48">
        <f t="shared" si="10"/>
        <v>5.0940658119997113E-7</v>
      </c>
    </row>
    <row r="63" spans="1:14" x14ac:dyDescent="0.2">
      <c r="A63" s="13">
        <v>2007</v>
      </c>
      <c r="B63" s="34">
        <f>'Koomey et al (2011)'!F73</f>
        <v>793545350209224.62</v>
      </c>
      <c r="C63" s="34">
        <f t="shared" si="11"/>
        <v>220429263.94700685</v>
      </c>
      <c r="D63" s="13">
        <v>2.6</v>
      </c>
      <c r="E63" s="15">
        <f t="shared" si="3"/>
        <v>1.2692307692307692</v>
      </c>
      <c r="F63" s="13">
        <f t="shared" si="12"/>
        <v>180150742.39640018</v>
      </c>
      <c r="G63" s="13" t="s">
        <v>55</v>
      </c>
      <c r="H63" s="13">
        <f t="shared" si="8"/>
        <v>374945170121.0213</v>
      </c>
      <c r="I63" s="37">
        <f>H63*Miller_2017!$F$5</f>
        <v>2.2862510373233006E+18</v>
      </c>
      <c r="J63" s="38">
        <f t="shared" si="6"/>
        <v>4.373972865074262E-19</v>
      </c>
      <c r="K63" s="39">
        <f t="shared" si="9"/>
        <v>6.5201593333423201E-3</v>
      </c>
      <c r="L63" s="47">
        <f>H63*Miller_2017!$G$5</f>
        <v>277398459195227.12</v>
      </c>
      <c r="M63" s="47">
        <f t="shared" si="7"/>
        <v>3.6049226909952708E-15</v>
      </c>
      <c r="N63" s="48">
        <f t="shared" si="10"/>
        <v>7.9111266577886821E-7</v>
      </c>
    </row>
    <row r="64" spans="1:14" x14ac:dyDescent="0.2">
      <c r="A64" s="13">
        <v>2008</v>
      </c>
      <c r="B64" s="34">
        <f>'Koomey et al (2011)'!F74</f>
        <v>1232382541940509.8</v>
      </c>
      <c r="C64" s="34">
        <f t="shared" si="11"/>
        <v>342328483.87236381</v>
      </c>
      <c r="D64" s="13">
        <v>2.6</v>
      </c>
      <c r="E64" s="15">
        <f t="shared" si="3"/>
        <v>1.2692307692307692</v>
      </c>
      <c r="F64" s="13">
        <f t="shared" si="12"/>
        <v>279775604.24043179</v>
      </c>
      <c r="G64" s="13" t="s">
        <v>55</v>
      </c>
      <c r="H64" s="13">
        <f t="shared" si="8"/>
        <v>582292973829.76733</v>
      </c>
      <c r="I64" s="37">
        <f>H64*Miller_2017!$F$5</f>
        <v>3.5505669135961421E+18</v>
      </c>
      <c r="J64" s="38">
        <f t="shared" si="6"/>
        <v>2.8164516381052059E-19</v>
      </c>
      <c r="K64" s="39">
        <f t="shared" si="9"/>
        <v>1.0125861780884838E-2</v>
      </c>
      <c r="L64" s="47">
        <f>H64*Miller_2017!$G$5</f>
        <v>430802118849665.19</v>
      </c>
      <c r="M64" s="47">
        <f t="shared" si="7"/>
        <v>2.3212513500867086E-15</v>
      </c>
      <c r="N64" s="48">
        <f t="shared" si="10"/>
        <v>1.22860456274736E-6</v>
      </c>
    </row>
    <row r="65" spans="1:14" s="16" customFormat="1" x14ac:dyDescent="0.2">
      <c r="A65" s="16">
        <v>2009</v>
      </c>
      <c r="B65" s="35">
        <f>'Koomey et al (2011)'!F75</f>
        <v>1913900357779791.5</v>
      </c>
      <c r="C65" s="35">
        <f t="shared" si="11"/>
        <v>531638988.27216429</v>
      </c>
      <c r="D65" s="16">
        <v>2.6</v>
      </c>
      <c r="E65" s="17">
        <f t="shared" si="3"/>
        <v>1.2692307692307692</v>
      </c>
      <c r="F65" s="16">
        <f t="shared" si="12"/>
        <v>434493844.91492325</v>
      </c>
      <c r="G65" s="16" t="s">
        <v>55</v>
      </c>
      <c r="H65" s="16">
        <f t="shared" si="8"/>
        <v>904305840936.78357</v>
      </c>
      <c r="I65" s="41">
        <f>H65*Miller_2017!$F$5</f>
        <v>5.5140600057120952E+18</v>
      </c>
      <c r="J65" s="42">
        <f t="shared" si="6"/>
        <v>1.8135457339312329E-19</v>
      </c>
      <c r="K65" s="43">
        <f t="shared" si="9"/>
        <v>1.5725547730290324E-2</v>
      </c>
      <c r="L65" s="49">
        <f>H65*Miller_2017!$G$5</f>
        <v>669039280693067.5</v>
      </c>
      <c r="M65" s="49">
        <f t="shared" si="7"/>
        <v>1.4946805499433239E-15</v>
      </c>
      <c r="N65" s="50">
        <f t="shared" si="10"/>
        <v>1.9080331246085594E-6</v>
      </c>
    </row>
    <row r="66" spans="1:14" x14ac:dyDescent="0.2">
      <c r="A66" s="13">
        <v>2010</v>
      </c>
      <c r="B66" s="13" t="s">
        <v>56</v>
      </c>
      <c r="C66" s="13" t="s">
        <v>56</v>
      </c>
      <c r="D66" s="13">
        <v>2.6</v>
      </c>
      <c r="E66" s="15">
        <f>1+(70/D66)/100</f>
        <v>1.2692307692307692</v>
      </c>
      <c r="F66" s="13">
        <f>F65*E66</f>
        <v>551472957.00740254</v>
      </c>
      <c r="G66" s="13" t="s">
        <v>55</v>
      </c>
      <c r="H66" s="13">
        <f t="shared" ref="H66:H76" si="13">F66/$F$2</f>
        <v>1147772798112.0713</v>
      </c>
      <c r="I66" s="37">
        <f>H66*Miller_2017!$F$5</f>
        <v>6.998614622634581E+18</v>
      </c>
      <c r="J66" s="38">
        <f t="shared" si="6"/>
        <v>1.4288542146124868E-19</v>
      </c>
      <c r="K66" s="39">
        <f t="shared" ref="K66:K76" si="14">LandauerLimit/J66</f>
        <v>1.995934904229156E-2</v>
      </c>
      <c r="L66" s="47">
        <f>H66*Miller_2017!$G$5</f>
        <v>849165240879662.38</v>
      </c>
      <c r="M66" s="47">
        <f t="shared" si="7"/>
        <v>1.1776270999553464E-15</v>
      </c>
      <c r="N66" s="48">
        <f t="shared" ref="N66:N76" si="15">LandauerLimit/M66</f>
        <v>2.4217343504647093E-6</v>
      </c>
    </row>
    <row r="67" spans="1:14" x14ac:dyDescent="0.2">
      <c r="A67" s="13">
        <v>2011</v>
      </c>
      <c r="B67" s="13" t="s">
        <v>56</v>
      </c>
      <c r="C67" s="13" t="s">
        <v>56</v>
      </c>
      <c r="D67" s="13">
        <v>2.6</v>
      </c>
      <c r="E67" s="15">
        <f t="shared" ref="E67:E76" si="16">1+(70/D67)/100</f>
        <v>1.2692307692307692</v>
      </c>
      <c r="F67" s="13">
        <f>F66*E67</f>
        <v>699946445.43247247</v>
      </c>
      <c r="G67" s="13" t="s">
        <v>55</v>
      </c>
      <c r="H67" s="13">
        <f t="shared" si="13"/>
        <v>1456788551449.9368</v>
      </c>
      <c r="I67" s="37">
        <f>H67*Miller_2017!$F$5</f>
        <v>8.8828570210361999E+18</v>
      </c>
      <c r="J67" s="38">
        <f t="shared" ref="J67:J76" si="17">1/I67</f>
        <v>1.1257639266643834E-19</v>
      </c>
      <c r="K67" s="39">
        <f t="shared" si="14"/>
        <v>2.5333019938293139E-2</v>
      </c>
      <c r="L67" s="47">
        <f>H67*Miller_2017!$G$5</f>
        <v>1077786651885725.5</v>
      </c>
      <c r="M67" s="47">
        <f t="shared" ref="M67:M76" si="18">1/L67</f>
        <v>9.2782741208603045E-16</v>
      </c>
      <c r="N67" s="48">
        <f t="shared" si="15"/>
        <v>3.0737397525129001E-6</v>
      </c>
    </row>
    <row r="68" spans="1:14" x14ac:dyDescent="0.2">
      <c r="A68" s="13">
        <v>2012</v>
      </c>
      <c r="B68" s="13" t="s">
        <v>56</v>
      </c>
      <c r="C68" s="13" t="s">
        <v>56</v>
      </c>
      <c r="D68" s="13">
        <v>2.6</v>
      </c>
      <c r="E68" s="15">
        <f t="shared" si="16"/>
        <v>1.2692307692307692</v>
      </c>
      <c r="F68" s="13">
        <f t="shared" ref="F68:F76" si="19">F67*E68</f>
        <v>888393565.35659957</v>
      </c>
      <c r="G68" s="13" t="s">
        <v>55</v>
      </c>
      <c r="H68" s="13">
        <f t="shared" si="13"/>
        <v>1849000853763.3811</v>
      </c>
      <c r="I68" s="37">
        <f>H68*Miller_2017!$F$5</f>
        <v>1.1274395449776714E+19</v>
      </c>
      <c r="J68" s="38">
        <f t="shared" si="17"/>
        <v>8.8696551797799917E-20</v>
      </c>
      <c r="K68" s="39">
        <f t="shared" si="14"/>
        <v>3.2153448383218208E-2</v>
      </c>
      <c r="L68" s="47">
        <f>H68*Miller_2017!$G$5</f>
        <v>1367959981239574.5</v>
      </c>
      <c r="M68" s="47">
        <f t="shared" si="18"/>
        <v>7.3101553679505428E-16</v>
      </c>
      <c r="N68" s="48">
        <f t="shared" si="15"/>
        <v>3.9012850704971428E-6</v>
      </c>
    </row>
    <row r="69" spans="1:14" x14ac:dyDescent="0.2">
      <c r="A69" s="13">
        <v>2013</v>
      </c>
      <c r="B69" s="13" t="s">
        <v>56</v>
      </c>
      <c r="C69" s="13" t="s">
        <v>56</v>
      </c>
      <c r="D69" s="13">
        <v>2.6</v>
      </c>
      <c r="E69" s="15">
        <f t="shared" si="16"/>
        <v>1.2692307692307692</v>
      </c>
      <c r="F69" s="13">
        <f t="shared" si="19"/>
        <v>1127576448.3372226</v>
      </c>
      <c r="G69" s="13" t="s">
        <v>55</v>
      </c>
      <c r="H69" s="13">
        <f t="shared" si="13"/>
        <v>2346808775930.4453</v>
      </c>
      <c r="I69" s="37">
        <f>H69*Miller_2017!$F$5</f>
        <v>1.4309809609331984E+19</v>
      </c>
      <c r="J69" s="38">
        <f t="shared" si="17"/>
        <v>6.9882131719478717E-20</v>
      </c>
      <c r="K69" s="39">
        <f t="shared" si="14"/>
        <v>4.0810146024853881E-2</v>
      </c>
      <c r="L69" s="47">
        <f>H69*Miller_2017!$G$5</f>
        <v>1736256899265613.8</v>
      </c>
      <c r="M69" s="47">
        <f t="shared" si="18"/>
        <v>5.7595163505064884E-16</v>
      </c>
      <c r="N69" s="48">
        <f t="shared" si="15"/>
        <v>4.9516310510156043E-6</v>
      </c>
    </row>
    <row r="70" spans="1:14" x14ac:dyDescent="0.2">
      <c r="A70" s="13">
        <v>2014</v>
      </c>
      <c r="B70" s="13" t="s">
        <v>56</v>
      </c>
      <c r="C70" s="13" t="s">
        <v>56</v>
      </c>
      <c r="D70" s="13">
        <v>2.6</v>
      </c>
      <c r="E70" s="15">
        <f t="shared" si="16"/>
        <v>1.2692307692307692</v>
      </c>
      <c r="F70" s="13">
        <f t="shared" si="19"/>
        <v>1431154722.8895516</v>
      </c>
      <c r="G70" s="13" t="s">
        <v>55</v>
      </c>
      <c r="H70" s="13">
        <f t="shared" si="13"/>
        <v>2978641907911.7188</v>
      </c>
      <c r="I70" s="37">
        <f>H70*Miller_2017!$F$5</f>
        <v>1.8162450657998285E+19</v>
      </c>
      <c r="J70" s="38">
        <f t="shared" si="17"/>
        <v>5.50586492335287E-20</v>
      </c>
      <c r="K70" s="39">
        <f t="shared" si="14"/>
        <v>5.1797493031545301E-2</v>
      </c>
      <c r="L70" s="47">
        <f>H70*Miller_2017!$G$5</f>
        <v>2203710679837125</v>
      </c>
      <c r="M70" s="47">
        <f t="shared" si="18"/>
        <v>4.5378007610051129E-16</v>
      </c>
      <c r="N70" s="48">
        <f t="shared" si="15"/>
        <v>6.2847624878274965E-6</v>
      </c>
    </row>
    <row r="71" spans="1:14" x14ac:dyDescent="0.2">
      <c r="A71" s="13">
        <v>2015</v>
      </c>
      <c r="B71" s="13" t="s">
        <v>56</v>
      </c>
      <c r="C71" s="13" t="s">
        <v>56</v>
      </c>
      <c r="D71" s="13">
        <v>2.6</v>
      </c>
      <c r="E71" s="15">
        <f t="shared" si="16"/>
        <v>1.2692307692307692</v>
      </c>
      <c r="F71" s="13">
        <f t="shared" si="19"/>
        <v>1816465609.8213539</v>
      </c>
      <c r="G71" s="13" t="s">
        <v>55</v>
      </c>
      <c r="H71" s="13">
        <f t="shared" si="13"/>
        <v>3780583960041.7969</v>
      </c>
      <c r="I71" s="37">
        <f>H71*Miller_2017!$F$5</f>
        <v>2.3052341219767054E+19</v>
      </c>
      <c r="J71" s="38">
        <f t="shared" si="17"/>
        <v>4.3379541820355938E-20</v>
      </c>
      <c r="K71" s="39">
        <f t="shared" si="14"/>
        <v>6.574297192465367E-2</v>
      </c>
      <c r="L71" s="47">
        <f>H71*Miller_2017!$G$5</f>
        <v>2797017401331735.5</v>
      </c>
      <c r="M71" s="47">
        <f t="shared" si="18"/>
        <v>3.5752369632161493E-16</v>
      </c>
      <c r="N71" s="48">
        <f t="shared" si="15"/>
        <v>7.9768139268579761E-6</v>
      </c>
    </row>
    <row r="72" spans="1:14" x14ac:dyDescent="0.2">
      <c r="A72" s="13">
        <v>2016</v>
      </c>
      <c r="B72" s="13" t="s">
        <v>56</v>
      </c>
      <c r="C72" s="13" t="s">
        <v>56</v>
      </c>
      <c r="D72" s="13">
        <v>2.6</v>
      </c>
      <c r="E72" s="15">
        <f t="shared" si="16"/>
        <v>1.2692307692307692</v>
      </c>
      <c r="F72" s="13">
        <f t="shared" si="19"/>
        <v>2305514043.2347951</v>
      </c>
      <c r="G72" s="13" t="s">
        <v>55</v>
      </c>
      <c r="H72" s="13">
        <f t="shared" si="13"/>
        <v>4798433487745.3564</v>
      </c>
      <c r="I72" s="37">
        <f>H72*Miller_2017!$F$5</f>
        <v>2.9258740778935099E+19</v>
      </c>
      <c r="J72" s="38">
        <f t="shared" si="17"/>
        <v>3.4177820828159237E-20</v>
      </c>
      <c r="K72" s="39">
        <f t="shared" si="14"/>
        <v>8.3443002827445004E-2</v>
      </c>
      <c r="L72" s="47">
        <f>H72*Miller_2017!$G$5</f>
        <v>3550060547844125</v>
      </c>
      <c r="M72" s="47">
        <f t="shared" si="18"/>
        <v>2.8168533649581788E-16</v>
      </c>
      <c r="N72" s="48">
        <f t="shared" si="15"/>
        <v>1.012441767639666E-5</v>
      </c>
    </row>
    <row r="73" spans="1:14" x14ac:dyDescent="0.2">
      <c r="A73" s="13">
        <v>2017</v>
      </c>
      <c r="B73" s="13" t="s">
        <v>56</v>
      </c>
      <c r="C73" s="13" t="s">
        <v>56</v>
      </c>
      <c r="D73" s="13">
        <v>2.6</v>
      </c>
      <c r="E73" s="15">
        <f t="shared" si="16"/>
        <v>1.2692307692307692</v>
      </c>
      <c r="F73" s="13">
        <f t="shared" si="19"/>
        <v>2926229362.5672398</v>
      </c>
      <c r="G73" s="13" t="s">
        <v>55</v>
      </c>
      <c r="H73" s="13">
        <f t="shared" si="13"/>
        <v>6090319426753.7217</v>
      </c>
      <c r="I73" s="37">
        <f>H73*Miller_2017!$F$5</f>
        <v>3.7136094065571471E+19</v>
      </c>
      <c r="J73" s="38">
        <f t="shared" si="17"/>
        <v>2.692798004642849E-20</v>
      </c>
      <c r="K73" s="39">
        <f t="shared" si="14"/>
        <v>0.10590842666560327</v>
      </c>
      <c r="L73" s="47">
        <f>H73*Miller_2017!$G$5</f>
        <v>4505846079956005</v>
      </c>
      <c r="M73" s="47">
        <f t="shared" si="18"/>
        <v>2.2193390148155348E-16</v>
      </c>
      <c r="N73" s="48">
        <f t="shared" si="15"/>
        <v>1.2850222435426531E-5</v>
      </c>
    </row>
    <row r="74" spans="1:14" x14ac:dyDescent="0.2">
      <c r="A74" s="13">
        <v>2018</v>
      </c>
      <c r="B74" s="13" t="s">
        <v>56</v>
      </c>
      <c r="C74" s="13" t="s">
        <v>56</v>
      </c>
      <c r="D74" s="13">
        <v>2.6</v>
      </c>
      <c r="E74" s="15">
        <f t="shared" si="16"/>
        <v>1.2692307692307692</v>
      </c>
      <c r="F74" s="13">
        <f t="shared" si="19"/>
        <v>3714060344.7968812</v>
      </c>
      <c r="G74" s="13" t="s">
        <v>55</v>
      </c>
      <c r="H74" s="13">
        <f t="shared" si="13"/>
        <v>7730020810879.7236</v>
      </c>
      <c r="I74" s="37">
        <f>H74*Miller_2017!$F$5</f>
        <v>4.7134273237071487E+19</v>
      </c>
      <c r="J74" s="38">
        <f t="shared" si="17"/>
        <v>2.1215984279004263E-20</v>
      </c>
      <c r="K74" s="39">
        <f t="shared" si="14"/>
        <v>0.13442223384480417</v>
      </c>
      <c r="L74" s="47">
        <f>H74*Miller_2017!$G$5</f>
        <v>5718958486098006</v>
      </c>
      <c r="M74" s="47">
        <f t="shared" si="18"/>
        <v>1.7485701328849669E-16</v>
      </c>
      <c r="N74" s="48">
        <f t="shared" si="15"/>
        <v>1.6309897706502903E-5</v>
      </c>
    </row>
    <row r="75" spans="1:14" x14ac:dyDescent="0.2">
      <c r="A75" s="13">
        <v>2019</v>
      </c>
      <c r="B75" s="13" t="s">
        <v>56</v>
      </c>
      <c r="C75" s="13" t="s">
        <v>56</v>
      </c>
      <c r="D75" s="13">
        <v>2.6</v>
      </c>
      <c r="E75" s="15">
        <f t="shared" si="16"/>
        <v>1.2692307692307692</v>
      </c>
      <c r="F75" s="13">
        <f t="shared" si="19"/>
        <v>4713999668.3960409</v>
      </c>
      <c r="G75" s="13" t="s">
        <v>55</v>
      </c>
      <c r="H75" s="13">
        <f t="shared" si="13"/>
        <v>9811180259962.7246</v>
      </c>
      <c r="I75" s="37">
        <f>H75*Miller_2017!$F$5</f>
        <v>5.9824269877821489E+19</v>
      </c>
      <c r="J75" s="38">
        <f t="shared" si="17"/>
        <v>1.6715623977397302E-20</v>
      </c>
      <c r="K75" s="39">
        <f t="shared" si="14"/>
        <v>0.17061283526455909</v>
      </c>
      <c r="L75" s="47">
        <f>H75*Miller_2017!$G$5</f>
        <v>7258678078509007</v>
      </c>
      <c r="M75" s="47">
        <f t="shared" si="18"/>
        <v>1.377661316818459E-16</v>
      </c>
      <c r="N75" s="48">
        <f t="shared" si="15"/>
        <v>2.0701024012099835E-5</v>
      </c>
    </row>
    <row r="76" spans="1:14" x14ac:dyDescent="0.2">
      <c r="A76" s="13">
        <v>2020</v>
      </c>
      <c r="B76" s="13" t="s">
        <v>56</v>
      </c>
      <c r="C76" s="13" t="s">
        <v>56</v>
      </c>
      <c r="D76" s="13">
        <v>2.6</v>
      </c>
      <c r="E76" s="15">
        <f t="shared" si="16"/>
        <v>1.2692307692307692</v>
      </c>
      <c r="F76" s="13">
        <f t="shared" si="19"/>
        <v>5983153425.2718973</v>
      </c>
      <c r="G76" s="13" t="s">
        <v>55</v>
      </c>
      <c r="H76" s="13">
        <f t="shared" si="13"/>
        <v>12452651868414.227</v>
      </c>
      <c r="I76" s="37">
        <f>H76*Miller_2017!$F$5</f>
        <v>7.5930804075696505E+19</v>
      </c>
      <c r="J76" s="38">
        <f t="shared" si="17"/>
        <v>1.3169885557949388E-20</v>
      </c>
      <c r="K76" s="39">
        <f t="shared" si="14"/>
        <v>0.21654706014347888</v>
      </c>
      <c r="L76" s="47">
        <f>H76*Miller_2017!$G$5</f>
        <v>9212937561184508</v>
      </c>
      <c r="M76" s="47">
        <f t="shared" si="18"/>
        <v>1.0854301284024223E-16</v>
      </c>
      <c r="N76" s="48">
        <f t="shared" si="15"/>
        <v>2.62743766307421E-5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E9265-7D3C-440E-B40F-C33C1B05A1FB}">
  <dimension ref="A3:B3"/>
  <sheetViews>
    <sheetView zoomScale="80" zoomScaleNormal="80" workbookViewId="0">
      <selection activeCell="D12" sqref="D12"/>
    </sheetView>
  </sheetViews>
  <sheetFormatPr baseColWidth="10" defaultColWidth="8.85546875" defaultRowHeight="16" x14ac:dyDescent="0.2"/>
  <cols>
    <col min="1" max="1" width="27.5703125" bestFit="1" customWidth="1"/>
    <col min="2" max="2" width="20.28515625" customWidth="1"/>
  </cols>
  <sheetData>
    <row r="3" spans="1:2" x14ac:dyDescent="0.2">
      <c r="A3" s="33" t="s">
        <v>43</v>
      </c>
      <c r="B3" s="14">
        <f>2.8519*10^-21</f>
        <v>2.8518999999999999E-21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A1:AL123"/>
  <sheetViews>
    <sheetView zoomScale="60" zoomScaleNormal="60" workbookViewId="0">
      <selection activeCell="E86" sqref="E86"/>
    </sheetView>
  </sheetViews>
  <sheetFormatPr baseColWidth="10" defaultColWidth="10.7109375" defaultRowHeight="16" x14ac:dyDescent="0.2"/>
  <cols>
    <col min="1" max="1" width="36" customWidth="1"/>
    <col min="3" max="3" width="21.5703125" bestFit="1" customWidth="1"/>
    <col min="7" max="7" width="11.28515625" bestFit="1" customWidth="1"/>
    <col min="9" max="9" width="16.42578125" bestFit="1" customWidth="1"/>
  </cols>
  <sheetData>
    <row r="1" spans="1:38" x14ac:dyDescent="0.2">
      <c r="E1" s="24" t="s">
        <v>151</v>
      </c>
      <c r="AJ1" t="s">
        <v>0</v>
      </c>
    </row>
    <row r="2" spans="1:38" x14ac:dyDescent="0.2">
      <c r="E2" t="s">
        <v>150</v>
      </c>
      <c r="AJ2">
        <v>1975</v>
      </c>
      <c r="AK2">
        <f>6.05*10^8</f>
        <v>605000000</v>
      </c>
      <c r="AL2" t="s">
        <v>1</v>
      </c>
    </row>
    <row r="4" spans="1:38" x14ac:dyDescent="0.2">
      <c r="G4" t="s">
        <v>2</v>
      </c>
      <c r="AJ4">
        <v>2009</v>
      </c>
      <c r="AK4">
        <f>7.93 * 10^13</f>
        <v>79300000000000</v>
      </c>
    </row>
    <row r="5" spans="1:38" x14ac:dyDescent="0.2">
      <c r="F5" t="s">
        <v>3</v>
      </c>
      <c r="G5">
        <f>LN(F75/F12)/(E75-E12)</f>
        <v>0.44019391026285165</v>
      </c>
    </row>
    <row r="6" spans="1:38" x14ac:dyDescent="0.2">
      <c r="F6" t="s">
        <v>4</v>
      </c>
      <c r="G6">
        <f>LN(2)/G5</f>
        <v>1.5746405490844897</v>
      </c>
    </row>
    <row r="10" spans="1:38" x14ac:dyDescent="0.2">
      <c r="E10" t="s">
        <v>5</v>
      </c>
    </row>
    <row r="11" spans="1:38" x14ac:dyDescent="0.2">
      <c r="A11" t="s">
        <v>6</v>
      </c>
      <c r="B11" t="s">
        <v>7</v>
      </c>
      <c r="C11" t="s">
        <v>8</v>
      </c>
      <c r="E11" t="s">
        <v>9</v>
      </c>
      <c r="F11" t="s">
        <v>8</v>
      </c>
    </row>
    <row r="12" spans="1:38" x14ac:dyDescent="0.2">
      <c r="A12" t="s">
        <v>50</v>
      </c>
      <c r="B12">
        <v>1946</v>
      </c>
      <c r="C12" s="1">
        <v>436.79999999999995</v>
      </c>
      <c r="E12">
        <v>1946</v>
      </c>
      <c r="F12" s="2">
        <v>1729.700031654522</v>
      </c>
    </row>
    <row r="13" spans="1:38" x14ac:dyDescent="0.2">
      <c r="A13" t="s">
        <v>61</v>
      </c>
      <c r="B13">
        <v>1951</v>
      </c>
      <c r="C13" s="1">
        <v>5406.1988370123636</v>
      </c>
      <c r="D13" s="3"/>
      <c r="E13">
        <v>1947</v>
      </c>
      <c r="F13" s="2">
        <v>2686.2385637357652</v>
      </c>
      <c r="G13" s="4"/>
    </row>
    <row r="14" spans="1:38" x14ac:dyDescent="0.2">
      <c r="A14" t="s">
        <v>62</v>
      </c>
      <c r="B14">
        <v>1952</v>
      </c>
      <c r="C14" s="1">
        <v>1395</v>
      </c>
      <c r="D14" s="3"/>
      <c r="E14">
        <v>1948</v>
      </c>
      <c r="F14" s="2">
        <v>4171.7508754382761</v>
      </c>
      <c r="G14" s="4"/>
    </row>
    <row r="15" spans="1:38" x14ac:dyDescent="0.2">
      <c r="A15" t="s">
        <v>63</v>
      </c>
      <c r="B15">
        <v>1952</v>
      </c>
      <c r="C15" s="1">
        <v>10647.479808550201</v>
      </c>
      <c r="D15" s="3"/>
      <c r="E15">
        <v>1949</v>
      </c>
      <c r="F15" s="2">
        <v>6478.7638751335853</v>
      </c>
      <c r="G15" s="4"/>
    </row>
    <row r="16" spans="1:38" x14ac:dyDescent="0.2">
      <c r="A16" t="s">
        <v>64</v>
      </c>
      <c r="B16">
        <v>1953</v>
      </c>
      <c r="C16" s="1">
        <v>2999.9999999999995</v>
      </c>
      <c r="D16" s="3"/>
      <c r="E16">
        <v>1950</v>
      </c>
      <c r="F16" s="2">
        <v>10061.574289314724</v>
      </c>
      <c r="G16" s="4"/>
    </row>
    <row r="17" spans="1:7" x14ac:dyDescent="0.2">
      <c r="A17" t="s">
        <v>65</v>
      </c>
      <c r="B17">
        <v>1954</v>
      </c>
      <c r="C17" s="1">
        <v>15940.959409594096</v>
      </c>
      <c r="D17" s="3"/>
      <c r="E17">
        <v>1951</v>
      </c>
      <c r="F17" s="2">
        <v>15625.708720137638</v>
      </c>
      <c r="G17" s="4"/>
    </row>
    <row r="18" spans="1:7" x14ac:dyDescent="0.2">
      <c r="A18" t="s">
        <v>66</v>
      </c>
      <c r="B18">
        <v>1955</v>
      </c>
      <c r="C18" s="1">
        <v>31241.65554072096</v>
      </c>
      <c r="D18" s="3"/>
      <c r="E18">
        <v>1952</v>
      </c>
      <c r="F18" s="2">
        <v>24266.855860311167</v>
      </c>
      <c r="G18" s="4"/>
    </row>
    <row r="19" spans="1:7" x14ac:dyDescent="0.2">
      <c r="A19" t="s">
        <v>67</v>
      </c>
      <c r="B19">
        <v>1956</v>
      </c>
      <c r="C19" s="1">
        <v>304800</v>
      </c>
      <c r="D19" s="3"/>
      <c r="E19">
        <v>1953</v>
      </c>
      <c r="F19" s="2">
        <v>37686.629380600949</v>
      </c>
      <c r="G19" s="4"/>
    </row>
    <row r="20" spans="1:7" x14ac:dyDescent="0.2">
      <c r="A20" t="s">
        <v>68</v>
      </c>
      <c r="B20">
        <v>1957</v>
      </c>
      <c r="C20" s="1">
        <v>47634.322373696872</v>
      </c>
      <c r="D20" s="3"/>
      <c r="E20">
        <v>1954</v>
      </c>
      <c r="F20" s="2">
        <v>58527.649492237273</v>
      </c>
      <c r="G20" s="4"/>
    </row>
    <row r="21" spans="1:7" x14ac:dyDescent="0.2">
      <c r="A21" t="s">
        <v>69</v>
      </c>
      <c r="B21">
        <v>1958</v>
      </c>
      <c r="C21" s="1">
        <v>111375</v>
      </c>
      <c r="D21" s="3"/>
      <c r="E21">
        <v>1955</v>
      </c>
      <c r="F21" s="2">
        <v>90893.927405698123</v>
      </c>
      <c r="G21" s="4"/>
    </row>
    <row r="22" spans="1:7" x14ac:dyDescent="0.2">
      <c r="A22" t="s">
        <v>70</v>
      </c>
      <c r="B22">
        <v>1959</v>
      </c>
      <c r="C22" s="1">
        <v>3214973.2620320856</v>
      </c>
      <c r="D22" s="3"/>
      <c r="E22">
        <v>1956</v>
      </c>
      <c r="F22" s="2">
        <v>141159.02673195579</v>
      </c>
      <c r="G22" s="4"/>
    </row>
    <row r="23" spans="1:7" x14ac:dyDescent="0.2">
      <c r="A23" t="s">
        <v>71</v>
      </c>
      <c r="B23">
        <v>1959</v>
      </c>
      <c r="C23" s="1">
        <v>142425.88330851495</v>
      </c>
      <c r="D23" s="3"/>
      <c r="E23">
        <v>1957</v>
      </c>
      <c r="F23" s="2">
        <v>219221.14487333279</v>
      </c>
      <c r="G23" s="4"/>
    </row>
    <row r="24" spans="1:7" x14ac:dyDescent="0.2">
      <c r="A24" t="s">
        <v>72</v>
      </c>
      <c r="B24">
        <v>1959</v>
      </c>
      <c r="C24" s="1">
        <v>8553857.1428571437</v>
      </c>
      <c r="D24" s="3"/>
      <c r="E24">
        <v>1958</v>
      </c>
      <c r="F24" s="2">
        <v>340452.26488304208</v>
      </c>
      <c r="G24" s="4"/>
    </row>
    <row r="25" spans="1:7" x14ac:dyDescent="0.2">
      <c r="A25" t="s">
        <v>73</v>
      </c>
      <c r="B25">
        <v>1959</v>
      </c>
      <c r="C25" s="1">
        <v>1395000</v>
      </c>
      <c r="D25" s="3"/>
      <c r="E25">
        <v>1959</v>
      </c>
      <c r="F25" s="2">
        <v>528725.20454608521</v>
      </c>
      <c r="G25" s="4"/>
    </row>
    <row r="26" spans="1:7" x14ac:dyDescent="0.2">
      <c r="A26" t="s">
        <v>74</v>
      </c>
      <c r="B26">
        <v>1960</v>
      </c>
      <c r="C26" s="1">
        <v>2941875</v>
      </c>
      <c r="D26" s="3"/>
      <c r="E26">
        <v>1960</v>
      </c>
      <c r="F26" s="2">
        <v>821114.64882857306</v>
      </c>
      <c r="G26" s="4"/>
    </row>
    <row r="27" spans="1:7" x14ac:dyDescent="0.2">
      <c r="A27" t="s">
        <v>75</v>
      </c>
      <c r="B27">
        <v>1960</v>
      </c>
      <c r="C27" s="1">
        <v>120420</v>
      </c>
      <c r="D27" s="3"/>
      <c r="E27">
        <v>1961</v>
      </c>
      <c r="F27" s="2">
        <v>1275197.892447033</v>
      </c>
      <c r="G27" s="4"/>
    </row>
    <row r="28" spans="1:7" x14ac:dyDescent="0.2">
      <c r="A28" t="s">
        <v>76</v>
      </c>
      <c r="B28">
        <v>1960</v>
      </c>
      <c r="C28" s="1">
        <v>396000</v>
      </c>
      <c r="D28" s="3"/>
      <c r="E28">
        <v>1962</v>
      </c>
      <c r="F28" s="2">
        <v>1980392.9539211425</v>
      </c>
      <c r="G28" s="4"/>
    </row>
    <row r="29" spans="1:7" x14ac:dyDescent="0.2">
      <c r="A29" t="s">
        <v>77</v>
      </c>
      <c r="B29">
        <v>1960</v>
      </c>
      <c r="C29" s="1">
        <v>8275199.9999999991</v>
      </c>
      <c r="D29" s="3"/>
      <c r="E29">
        <v>1963</v>
      </c>
      <c r="F29" s="2">
        <v>3075566.7611824935</v>
      </c>
      <c r="G29" s="4"/>
    </row>
    <row r="30" spans="1:7" x14ac:dyDescent="0.2">
      <c r="A30" t="s">
        <v>78</v>
      </c>
      <c r="B30">
        <v>1960</v>
      </c>
      <c r="C30" s="1">
        <v>5049300.9047125103</v>
      </c>
      <c r="D30" s="3"/>
      <c r="E30">
        <v>1964</v>
      </c>
      <c r="F30" s="2">
        <v>4776380.8105673054</v>
      </c>
      <c r="G30" s="4"/>
    </row>
    <row r="31" spans="1:7" x14ac:dyDescent="0.2">
      <c r="A31" t="s">
        <v>79</v>
      </c>
      <c r="B31">
        <v>1960</v>
      </c>
      <c r="C31" s="1">
        <v>456000</v>
      </c>
      <c r="D31" s="3"/>
      <c r="E31">
        <v>1965</v>
      </c>
      <c r="F31" s="2">
        <v>7417759.2031140132</v>
      </c>
      <c r="G31" s="4"/>
    </row>
    <row r="32" spans="1:7" x14ac:dyDescent="0.2">
      <c r="A32" t="s">
        <v>80</v>
      </c>
      <c r="B32">
        <v>1961</v>
      </c>
      <c r="C32" s="1">
        <v>5004804.392587509</v>
      </c>
      <c r="D32" s="3"/>
      <c r="E32">
        <v>1966</v>
      </c>
      <c r="F32" s="2">
        <v>11519841.858851625</v>
      </c>
      <c r="G32" s="4"/>
    </row>
    <row r="33" spans="1:7" x14ac:dyDescent="0.2">
      <c r="A33" t="s">
        <v>81</v>
      </c>
      <c r="B33">
        <v>1961</v>
      </c>
      <c r="C33" s="1">
        <v>17437320</v>
      </c>
      <c r="D33" s="3"/>
      <c r="E33">
        <v>1967</v>
      </c>
      <c r="F33" s="2">
        <v>17890410.408203054</v>
      </c>
      <c r="G33" s="4"/>
    </row>
    <row r="34" spans="1:7" x14ac:dyDescent="0.2">
      <c r="A34" t="s">
        <v>82</v>
      </c>
      <c r="B34">
        <v>1961</v>
      </c>
      <c r="C34" s="1">
        <v>5088000</v>
      </c>
      <c r="D34" s="3"/>
      <c r="E34">
        <v>1968</v>
      </c>
      <c r="F34" s="2">
        <v>27783956.454926807</v>
      </c>
      <c r="G34" s="4"/>
    </row>
    <row r="35" spans="1:7" x14ac:dyDescent="0.2">
      <c r="A35" t="s">
        <v>83</v>
      </c>
      <c r="B35">
        <v>1962</v>
      </c>
      <c r="C35" s="1">
        <v>1089095.7446808508</v>
      </c>
      <c r="D35" s="3"/>
      <c r="E35">
        <v>1969</v>
      </c>
      <c r="F35" s="2">
        <v>43148715.914042421</v>
      </c>
      <c r="G35" s="4"/>
    </row>
    <row r="36" spans="1:7" x14ac:dyDescent="0.2">
      <c r="A36" t="s">
        <v>84</v>
      </c>
      <c r="B36">
        <v>1962</v>
      </c>
      <c r="C36" s="1">
        <v>12324000</v>
      </c>
      <c r="D36" s="3"/>
      <c r="E36">
        <v>1970</v>
      </c>
      <c r="F36" s="2">
        <v>67010315.397352345</v>
      </c>
      <c r="G36" s="4"/>
    </row>
    <row r="37" spans="1:7" x14ac:dyDescent="0.2">
      <c r="A37" t="s">
        <v>85</v>
      </c>
      <c r="B37">
        <v>1962</v>
      </c>
      <c r="C37" s="1">
        <v>24618181.818181816</v>
      </c>
      <c r="D37" s="3"/>
      <c r="E37">
        <v>1971</v>
      </c>
      <c r="F37" s="2">
        <v>104067578.24723044</v>
      </c>
      <c r="G37" s="4"/>
    </row>
    <row r="38" spans="1:7" x14ac:dyDescent="0.2">
      <c r="A38" t="s">
        <v>86</v>
      </c>
      <c r="B38">
        <v>1962</v>
      </c>
      <c r="C38" s="1">
        <v>416000</v>
      </c>
      <c r="D38" s="3"/>
      <c r="E38">
        <v>1972</v>
      </c>
      <c r="F38" s="2">
        <v>161617816.27239692</v>
      </c>
      <c r="G38" s="4"/>
    </row>
    <row r="39" spans="1:7" x14ac:dyDescent="0.2">
      <c r="A39" t="s">
        <v>87</v>
      </c>
      <c r="B39">
        <v>1963</v>
      </c>
      <c r="C39" s="1">
        <v>8220342.8571428591</v>
      </c>
      <c r="D39" s="3"/>
      <c r="E39">
        <v>1973</v>
      </c>
      <c r="F39" s="2">
        <v>250993815.524389</v>
      </c>
      <c r="G39" s="4"/>
    </row>
    <row r="40" spans="1:7" x14ac:dyDescent="0.2">
      <c r="A40" t="s">
        <v>88</v>
      </c>
      <c r="B40">
        <v>1965</v>
      </c>
      <c r="C40" s="1">
        <v>6092307.692307692</v>
      </c>
      <c r="E40">
        <v>1974</v>
      </c>
      <c r="F40" s="2">
        <v>389795487.18390733</v>
      </c>
    </row>
    <row r="41" spans="1:7" x14ac:dyDescent="0.2">
      <c r="A41" t="s">
        <v>89</v>
      </c>
      <c r="B41">
        <v>1971</v>
      </c>
      <c r="C41" s="1">
        <v>516690000.00000006</v>
      </c>
      <c r="E41">
        <v>1975</v>
      </c>
      <c r="F41" s="2">
        <v>605355639.98451734</v>
      </c>
    </row>
    <row r="42" spans="1:7" x14ac:dyDescent="0.2">
      <c r="A42" t="s">
        <v>90</v>
      </c>
      <c r="B42">
        <v>1975</v>
      </c>
      <c r="C42" s="1">
        <v>582658959.53757226</v>
      </c>
      <c r="E42">
        <v>1976</v>
      </c>
      <c r="F42" s="2">
        <v>940122353.66955602</v>
      </c>
    </row>
    <row r="43" spans="1:7" x14ac:dyDescent="0.2">
      <c r="A43" t="s">
        <v>91</v>
      </c>
      <c r="B43">
        <v>1976</v>
      </c>
      <c r="C43" s="1">
        <v>2692173913.0434785</v>
      </c>
      <c r="E43">
        <v>1977</v>
      </c>
      <c r="F43" s="2">
        <v>1460017849.8240972</v>
      </c>
    </row>
    <row r="44" spans="1:7" x14ac:dyDescent="0.2">
      <c r="A44" t="s">
        <v>92</v>
      </c>
      <c r="B44">
        <v>1977</v>
      </c>
      <c r="C44" s="1">
        <v>2057142857.1428568</v>
      </c>
      <c r="E44">
        <v>1978</v>
      </c>
      <c r="F44" s="2">
        <v>2267419887.9377756</v>
      </c>
    </row>
    <row r="45" spans="1:7" x14ac:dyDescent="0.2">
      <c r="A45" t="s">
        <v>93</v>
      </c>
      <c r="B45">
        <v>1981</v>
      </c>
      <c r="C45" s="1">
        <v>5261538461.5384626</v>
      </c>
      <c r="E45">
        <v>1979</v>
      </c>
      <c r="F45" s="2">
        <v>3521321981.6693201</v>
      </c>
      <c r="G45" s="4"/>
    </row>
    <row r="46" spans="1:7" x14ac:dyDescent="0.2">
      <c r="A46" t="s">
        <v>94</v>
      </c>
      <c r="B46">
        <v>1981</v>
      </c>
      <c r="C46" s="1">
        <v>12563983248.022335</v>
      </c>
      <c r="E46">
        <v>1980</v>
      </c>
      <c r="F46" s="2">
        <v>5468642382.7156801</v>
      </c>
    </row>
    <row r="47" spans="1:7" x14ac:dyDescent="0.2">
      <c r="A47" t="s">
        <v>95</v>
      </c>
      <c r="B47">
        <v>1982</v>
      </c>
      <c r="C47" s="1">
        <v>2117647058.8235292</v>
      </c>
      <c r="E47">
        <v>1981</v>
      </c>
      <c r="F47" s="2">
        <v>8492847193.6705866</v>
      </c>
    </row>
    <row r="48" spans="1:7" x14ac:dyDescent="0.2">
      <c r="A48" t="s">
        <v>96</v>
      </c>
      <c r="B48">
        <v>1983</v>
      </c>
      <c r="C48" s="1">
        <v>10140845070.422535</v>
      </c>
      <c r="D48" s="3"/>
      <c r="E48">
        <v>1982</v>
      </c>
      <c r="F48" s="2">
        <v>13189462467.507008</v>
      </c>
    </row>
    <row r="49" spans="1:6" x14ac:dyDescent="0.2">
      <c r="A49" t="s">
        <v>97</v>
      </c>
      <c r="B49">
        <v>1983</v>
      </c>
      <c r="C49" s="1">
        <v>2057142857.1428568</v>
      </c>
      <c r="E49">
        <v>1983</v>
      </c>
      <c r="F49" s="2">
        <v>20483345127.347115</v>
      </c>
    </row>
    <row r="50" spans="1:6" x14ac:dyDescent="0.2">
      <c r="A50" t="s">
        <v>98</v>
      </c>
      <c r="B50">
        <v>1984</v>
      </c>
      <c r="C50" s="1">
        <v>54545454545.454544</v>
      </c>
      <c r="E50">
        <v>1984</v>
      </c>
      <c r="F50" s="2">
        <v>31810805682.156902</v>
      </c>
    </row>
    <row r="51" spans="1:6" x14ac:dyDescent="0.2">
      <c r="A51" t="s">
        <v>99</v>
      </c>
      <c r="B51">
        <v>1984</v>
      </c>
      <c r="C51" s="1">
        <v>13784785043.508228</v>
      </c>
      <c r="E51">
        <v>1985</v>
      </c>
      <c r="F51" s="2">
        <v>49402446321.965576</v>
      </c>
    </row>
    <row r="52" spans="1:6" x14ac:dyDescent="0.2">
      <c r="A52" t="s">
        <v>100</v>
      </c>
      <c r="B52">
        <v>1985</v>
      </c>
      <c r="C52" s="1">
        <v>16695652173.913042</v>
      </c>
      <c r="E52">
        <v>1986</v>
      </c>
      <c r="F52" s="2">
        <v>76722410836.748398</v>
      </c>
    </row>
    <row r="53" spans="1:6" x14ac:dyDescent="0.2">
      <c r="A53" t="s">
        <v>101</v>
      </c>
      <c r="B53">
        <v>1986</v>
      </c>
      <c r="C53" s="1">
        <v>44585253456.221199</v>
      </c>
      <c r="E53">
        <v>1987</v>
      </c>
      <c r="F53" s="2">
        <v>119150543401.05153</v>
      </c>
    </row>
    <row r="54" spans="1:6" x14ac:dyDescent="0.2">
      <c r="A54" t="s">
        <v>102</v>
      </c>
      <c r="B54">
        <v>1987</v>
      </c>
      <c r="C54" s="1">
        <v>134344769403.82449</v>
      </c>
      <c r="E54">
        <v>1988</v>
      </c>
      <c r="F54" s="2">
        <v>185041786851.20593</v>
      </c>
    </row>
    <row r="55" spans="1:6" x14ac:dyDescent="0.2">
      <c r="A55" t="s">
        <v>103</v>
      </c>
      <c r="B55">
        <v>1991</v>
      </c>
      <c r="C55" s="1">
        <v>810131608548.9314</v>
      </c>
      <c r="E55">
        <v>1989</v>
      </c>
      <c r="F55" s="2">
        <v>287371437038.60645</v>
      </c>
    </row>
    <row r="56" spans="1:6" x14ac:dyDescent="0.2">
      <c r="A56" t="s">
        <v>104</v>
      </c>
      <c r="B56">
        <v>1991</v>
      </c>
      <c r="C56" s="1">
        <v>830926538028.90015</v>
      </c>
      <c r="E56">
        <v>1990</v>
      </c>
      <c r="F56" s="2">
        <v>446290236550.8916</v>
      </c>
    </row>
    <row r="57" spans="1:6" x14ac:dyDescent="0.2">
      <c r="A57" t="s">
        <v>105</v>
      </c>
      <c r="B57">
        <v>1993</v>
      </c>
      <c r="C57" s="1">
        <v>3869129358830.1455</v>
      </c>
      <c r="E57">
        <v>1991</v>
      </c>
      <c r="F57" s="2">
        <v>693092456554.46118</v>
      </c>
    </row>
    <row r="58" spans="1:6" x14ac:dyDescent="0.2">
      <c r="A58" t="s">
        <v>106</v>
      </c>
      <c r="B58">
        <v>1993</v>
      </c>
      <c r="C58" s="1">
        <v>3726315789473.6841</v>
      </c>
      <c r="E58">
        <v>1992</v>
      </c>
      <c r="F58" s="2">
        <v>1076378360963.4589</v>
      </c>
    </row>
    <row r="59" spans="1:6" x14ac:dyDescent="0.2">
      <c r="A59" t="s">
        <v>107</v>
      </c>
      <c r="B59">
        <v>1994</v>
      </c>
      <c r="C59" s="1">
        <v>3451680000000</v>
      </c>
      <c r="E59">
        <v>1993</v>
      </c>
      <c r="F59" s="2">
        <v>1671624564650.6692</v>
      </c>
    </row>
    <row r="60" spans="1:6" x14ac:dyDescent="0.2">
      <c r="A60" t="s">
        <v>108</v>
      </c>
      <c r="B60">
        <v>1997</v>
      </c>
      <c r="C60" s="1">
        <v>4400000000000</v>
      </c>
      <c r="E60">
        <v>1994</v>
      </c>
      <c r="F60" s="2">
        <v>2596046879502.5171</v>
      </c>
    </row>
    <row r="61" spans="1:6" x14ac:dyDescent="0.2">
      <c r="A61" t="s">
        <v>109</v>
      </c>
      <c r="B61">
        <v>1999</v>
      </c>
      <c r="C61" s="1">
        <v>7681029952313.4688</v>
      </c>
      <c r="E61">
        <v>1995</v>
      </c>
      <c r="F61" s="2">
        <v>4031682438205.8018</v>
      </c>
    </row>
    <row r="62" spans="1:6" x14ac:dyDescent="0.2">
      <c r="A62" t="s">
        <v>110</v>
      </c>
      <c r="B62">
        <v>2000</v>
      </c>
      <c r="C62" s="1">
        <v>86622474946814.766</v>
      </c>
      <c r="E62">
        <v>1996</v>
      </c>
      <c r="F62" s="2">
        <v>6261236424840.7148</v>
      </c>
    </row>
    <row r="63" spans="1:6" x14ac:dyDescent="0.2">
      <c r="A63" t="s">
        <v>111</v>
      </c>
      <c r="B63">
        <v>2001</v>
      </c>
      <c r="C63" s="1">
        <v>60808064516129.031</v>
      </c>
      <c r="E63">
        <v>1997</v>
      </c>
      <c r="F63" s="2">
        <v>9723752346229.6621</v>
      </c>
    </row>
    <row r="64" spans="1:6" x14ac:dyDescent="0.2">
      <c r="A64" t="s">
        <v>112</v>
      </c>
      <c r="B64">
        <v>2001</v>
      </c>
      <c r="C64" s="1">
        <v>85238673148385.891</v>
      </c>
      <c r="E64">
        <v>1998</v>
      </c>
      <c r="F64" s="2">
        <v>15101068427263.787</v>
      </c>
    </row>
    <row r="65" spans="1:26" x14ac:dyDescent="0.2">
      <c r="A65" t="s">
        <v>113</v>
      </c>
      <c r="B65">
        <v>2001</v>
      </c>
      <c r="C65" s="1">
        <v>116626101905566.94</v>
      </c>
      <c r="E65">
        <v>1999</v>
      </c>
      <c r="F65" s="2">
        <v>23452085113351.473</v>
      </c>
    </row>
    <row r="66" spans="1:26" x14ac:dyDescent="0.2">
      <c r="A66" t="s">
        <v>114</v>
      </c>
      <c r="B66">
        <v>2001</v>
      </c>
      <c r="C66" s="1">
        <v>125113636363636.36</v>
      </c>
      <c r="E66">
        <v>2000</v>
      </c>
      <c r="F66" s="2">
        <v>36421283620623.625</v>
      </c>
    </row>
    <row r="67" spans="1:26" x14ac:dyDescent="0.2">
      <c r="A67" t="s">
        <v>115</v>
      </c>
      <c r="B67">
        <v>2001</v>
      </c>
      <c r="C67" s="1">
        <v>170202741719988.75</v>
      </c>
      <c r="E67">
        <v>2001</v>
      </c>
      <c r="F67" s="2">
        <v>56562556982145.031</v>
      </c>
    </row>
    <row r="68" spans="1:26" x14ac:dyDescent="0.2">
      <c r="A68" t="s">
        <v>116</v>
      </c>
      <c r="B68">
        <v>2001</v>
      </c>
      <c r="C68" s="1">
        <v>99040479760119.922</v>
      </c>
      <c r="E68">
        <v>2002</v>
      </c>
      <c r="F68" s="2">
        <v>87842122361289.234</v>
      </c>
    </row>
    <row r="69" spans="1:26" x14ac:dyDescent="0.2">
      <c r="A69" t="s">
        <v>117</v>
      </c>
      <c r="B69">
        <v>2001</v>
      </c>
      <c r="C69" s="1">
        <v>101301178860396.36</v>
      </c>
      <c r="E69">
        <v>2003</v>
      </c>
      <c r="F69" s="2">
        <v>136419548065557.8</v>
      </c>
    </row>
    <row r="70" spans="1:26" x14ac:dyDescent="0.2">
      <c r="A70" t="s">
        <v>118</v>
      </c>
      <c r="B70">
        <v>2001</v>
      </c>
      <c r="C70" s="1">
        <v>104360189573459.72</v>
      </c>
      <c r="E70">
        <v>2004</v>
      </c>
      <c r="F70" s="2">
        <v>211860695007640.34</v>
      </c>
    </row>
    <row r="71" spans="1:26" x14ac:dyDescent="0.2">
      <c r="A71" t="s">
        <v>119</v>
      </c>
      <c r="B71">
        <v>2002</v>
      </c>
      <c r="C71" s="1">
        <v>188742857142857.12</v>
      </c>
      <c r="D71" s="3"/>
      <c r="E71">
        <v>2005</v>
      </c>
      <c r="F71" s="2">
        <v>329021424902797.5</v>
      </c>
    </row>
    <row r="72" spans="1:26" x14ac:dyDescent="0.2">
      <c r="A72" t="s">
        <v>120</v>
      </c>
      <c r="B72">
        <v>2002</v>
      </c>
      <c r="C72" s="1">
        <v>170754005660782.22</v>
      </c>
      <c r="E72">
        <v>2006</v>
      </c>
      <c r="F72" s="2">
        <v>510973014797062.31</v>
      </c>
      <c r="U72">
        <v>1971</v>
      </c>
      <c r="V72" t="s">
        <v>10</v>
      </c>
      <c r="W72" s="5">
        <f>EXP(0.4401939*U72-849.1617)</f>
        <v>104059863.28331168</v>
      </c>
      <c r="X72" t="s">
        <v>11</v>
      </c>
    </row>
    <row r="73" spans="1:26" x14ac:dyDescent="0.2">
      <c r="A73" t="s">
        <v>121</v>
      </c>
      <c r="B73">
        <v>2003</v>
      </c>
      <c r="C73" s="1">
        <v>276911934147997.47</v>
      </c>
      <c r="E73">
        <v>2007</v>
      </c>
      <c r="F73" s="2">
        <v>793545350209224.62</v>
      </c>
      <c r="U73" t="s">
        <v>12</v>
      </c>
      <c r="W73">
        <v>1.8</v>
      </c>
      <c r="X73" t="s">
        <v>13</v>
      </c>
    </row>
    <row r="74" spans="1:26" x14ac:dyDescent="0.2">
      <c r="A74" t="s">
        <v>122</v>
      </c>
      <c r="B74">
        <v>2004</v>
      </c>
      <c r="C74" s="1">
        <v>247695657021051.03</v>
      </c>
      <c r="E74">
        <v>2008</v>
      </c>
      <c r="F74" s="2">
        <v>1232382541940509.8</v>
      </c>
      <c r="U74" t="s">
        <v>14</v>
      </c>
      <c r="W74">
        <f>(Z74-U72)/W73</f>
        <v>21.111111111111111</v>
      </c>
      <c r="Z74">
        <v>2009</v>
      </c>
    </row>
    <row r="75" spans="1:26" x14ac:dyDescent="0.2">
      <c r="A75" t="s">
        <v>123</v>
      </c>
      <c r="B75">
        <v>2004</v>
      </c>
      <c r="C75" s="1">
        <v>604152094292421.5</v>
      </c>
      <c r="E75">
        <v>2009</v>
      </c>
      <c r="F75" s="2">
        <v>1913900357779791.5</v>
      </c>
      <c r="U75" t="s">
        <v>15</v>
      </c>
      <c r="W75" s="5">
        <f>W72*2^W74</f>
        <v>235700735216331.03</v>
      </c>
    </row>
    <row r="76" spans="1:26" x14ac:dyDescent="0.2">
      <c r="A76" t="s">
        <v>124</v>
      </c>
      <c r="B76">
        <v>2004</v>
      </c>
      <c r="C76" s="1">
        <v>318136882106405.25</v>
      </c>
      <c r="H76" t="s">
        <v>16</v>
      </c>
    </row>
    <row r="77" spans="1:26" x14ac:dyDescent="0.2">
      <c r="A77" t="s">
        <v>125</v>
      </c>
      <c r="B77">
        <v>2004</v>
      </c>
      <c r="C77" s="1">
        <v>318653289843171.31</v>
      </c>
      <c r="H77">
        <v>1.57</v>
      </c>
      <c r="I77" t="s">
        <v>17</v>
      </c>
      <c r="W77" s="5">
        <f>W88/W75</f>
        <v>8.1303417215352063</v>
      </c>
      <c r="X77" t="s">
        <v>18</v>
      </c>
    </row>
    <row r="78" spans="1:26" x14ac:dyDescent="0.2">
      <c r="A78" t="s">
        <v>126</v>
      </c>
      <c r="B78">
        <v>2005</v>
      </c>
      <c r="C78" s="1">
        <v>66904258723404.25</v>
      </c>
      <c r="G78" t="s">
        <v>19</v>
      </c>
      <c r="H78" t="s">
        <v>20</v>
      </c>
      <c r="I78" t="s">
        <v>21</v>
      </c>
    </row>
    <row r="79" spans="1:26" x14ac:dyDescent="0.2">
      <c r="A79" t="s">
        <v>127</v>
      </c>
      <c r="B79">
        <v>2006</v>
      </c>
      <c r="C79" s="1">
        <v>246863630302684</v>
      </c>
      <c r="E79" t="s">
        <v>22</v>
      </c>
      <c r="F79" s="2">
        <f>F75/F51</f>
        <v>38741.003741120876</v>
      </c>
      <c r="G79">
        <f>E75-E51</f>
        <v>24</v>
      </c>
      <c r="H79" s="6">
        <f>G79/$H$77</f>
        <v>15.286624203821656</v>
      </c>
      <c r="I79" s="1">
        <f>2^H79</f>
        <v>39969.840737974941</v>
      </c>
    </row>
    <row r="80" spans="1:26" x14ac:dyDescent="0.2">
      <c r="A80" t="s">
        <v>128</v>
      </c>
      <c r="B80">
        <v>2007</v>
      </c>
      <c r="C80" s="1">
        <v>776229199084668.25</v>
      </c>
      <c r="E80" t="s">
        <v>23</v>
      </c>
      <c r="F80" s="2">
        <f>F51/F41</f>
        <v>81.608963490005806</v>
      </c>
      <c r="G80">
        <f>E51-E41</f>
        <v>10</v>
      </c>
      <c r="H80" s="6">
        <f t="shared" ref="H80:H81" si="0">G80/$H$77</f>
        <v>6.3694267515923562</v>
      </c>
      <c r="I80" s="1">
        <f t="shared" ref="I80:I81" si="1">2^H80</f>
        <v>82.677723010575519</v>
      </c>
      <c r="U80">
        <v>1975</v>
      </c>
      <c r="V80" t="s">
        <v>10</v>
      </c>
      <c r="W80" s="5">
        <f>EXP(0.4401939*U80-849.1617)</f>
        <v>605310737.59558368</v>
      </c>
      <c r="X80" t="s">
        <v>11</v>
      </c>
    </row>
    <row r="81" spans="1:26" x14ac:dyDescent="0.2">
      <c r="A81" t="s">
        <v>129</v>
      </c>
      <c r="B81">
        <v>2008</v>
      </c>
      <c r="C81" s="1">
        <v>801278566629339.62</v>
      </c>
      <c r="E81" s="7" t="s">
        <v>24</v>
      </c>
      <c r="F81" s="2">
        <f>F75/F41</f>
        <v>3161613.1598753119</v>
      </c>
      <c r="G81">
        <f>E75-E41</f>
        <v>34</v>
      </c>
      <c r="H81" s="6">
        <f t="shared" si="0"/>
        <v>21.656050955414013</v>
      </c>
      <c r="I81" s="1">
        <f t="shared" si="1"/>
        <v>3304615.4213111093</v>
      </c>
      <c r="U81" t="s">
        <v>12</v>
      </c>
      <c r="W81">
        <v>2</v>
      </c>
      <c r="X81" t="s">
        <v>13</v>
      </c>
    </row>
    <row r="82" spans="1:26" x14ac:dyDescent="0.2">
      <c r="A82" t="s">
        <v>130</v>
      </c>
      <c r="B82">
        <v>2008</v>
      </c>
      <c r="C82" s="1">
        <v>684674940388529.25</v>
      </c>
      <c r="U82" t="s">
        <v>25</v>
      </c>
      <c r="W82">
        <f>(Z82-U80)/W81</f>
        <v>17</v>
      </c>
      <c r="Z82">
        <v>2009</v>
      </c>
    </row>
    <row r="83" spans="1:26" x14ac:dyDescent="0.2">
      <c r="A83" t="s">
        <v>131</v>
      </c>
      <c r="B83">
        <v>2008</v>
      </c>
      <c r="C83" s="1">
        <v>1017228360000000</v>
      </c>
      <c r="U83" t="s">
        <v>15</v>
      </c>
      <c r="W83" s="5">
        <f>W80*2^W82</f>
        <v>79339288998128.344</v>
      </c>
    </row>
    <row r="84" spans="1:26" x14ac:dyDescent="0.2">
      <c r="A84" t="s">
        <v>132</v>
      </c>
      <c r="B84">
        <v>2008</v>
      </c>
      <c r="C84" s="1">
        <v>860844597010203.12</v>
      </c>
      <c r="D84" s="3"/>
    </row>
    <row r="85" spans="1:26" x14ac:dyDescent="0.2">
      <c r="A85" t="s">
        <v>133</v>
      </c>
      <c r="B85">
        <v>2008</v>
      </c>
      <c r="C85" s="1">
        <v>939381866430783.12</v>
      </c>
      <c r="W85" s="5">
        <f>W88/W83</f>
        <v>24.153575681413859</v>
      </c>
      <c r="X85" t="s">
        <v>18</v>
      </c>
    </row>
    <row r="86" spans="1:26" x14ac:dyDescent="0.2">
      <c r="A86" t="s">
        <v>134</v>
      </c>
      <c r="B86">
        <v>2008</v>
      </c>
      <c r="C86" s="1">
        <v>1708580571428571.5</v>
      </c>
    </row>
    <row r="87" spans="1:26" x14ac:dyDescent="0.2">
      <c r="A87" t="s">
        <v>135</v>
      </c>
      <c r="B87">
        <v>2009</v>
      </c>
      <c r="C87" s="1">
        <v>1543234064516129</v>
      </c>
    </row>
    <row r="88" spans="1:26" x14ac:dyDescent="0.2">
      <c r="A88" t="s">
        <v>136</v>
      </c>
      <c r="B88">
        <v>2009</v>
      </c>
      <c r="C88" s="1">
        <v>521508879420051.56</v>
      </c>
      <c r="U88">
        <v>2009</v>
      </c>
      <c r="V88" t="s">
        <v>10</v>
      </c>
      <c r="W88" s="5">
        <f>EXP(0.440243*U88-849.259)</f>
        <v>1916327521325858.8</v>
      </c>
      <c r="X88" t="s">
        <v>11</v>
      </c>
    </row>
    <row r="89" spans="1:26" x14ac:dyDescent="0.2">
      <c r="A89" t="s">
        <v>137</v>
      </c>
      <c r="B89">
        <v>2009</v>
      </c>
      <c r="C89" s="1">
        <v>767314669652855.62</v>
      </c>
    </row>
    <row r="90" spans="1:26" x14ac:dyDescent="0.2">
      <c r="A90" t="s">
        <v>138</v>
      </c>
      <c r="B90">
        <v>2009</v>
      </c>
      <c r="C90" s="1">
        <v>525572771023164.69</v>
      </c>
    </row>
    <row r="91" spans="1:26" x14ac:dyDescent="0.2">
      <c r="A91" t="s">
        <v>139</v>
      </c>
      <c r="B91">
        <v>2009</v>
      </c>
      <c r="C91" s="1">
        <v>897004800000000</v>
      </c>
    </row>
    <row r="97" spans="1:8" x14ac:dyDescent="0.2">
      <c r="B97" t="s">
        <v>26</v>
      </c>
      <c r="C97">
        <f>LN(F75/F51)/(E75-E51)</f>
        <v>0.44019391026284893</v>
      </c>
      <c r="D97" t="s">
        <v>27</v>
      </c>
    </row>
    <row r="98" spans="1:8" x14ac:dyDescent="0.2">
      <c r="B98" t="s">
        <v>28</v>
      </c>
      <c r="C98">
        <f>LN(2)/C97</f>
        <v>1.5746405490844995</v>
      </c>
      <c r="D98" t="s">
        <v>29</v>
      </c>
    </row>
    <row r="100" spans="1:8" x14ac:dyDescent="0.2">
      <c r="A100" t="s">
        <v>30</v>
      </c>
      <c r="C100" s="1">
        <f>F75/F51</f>
        <v>38741.003741120876</v>
      </c>
    </row>
    <row r="104" spans="1:8" x14ac:dyDescent="0.2">
      <c r="E104" s="4" t="s">
        <v>31</v>
      </c>
      <c r="G104" s="2">
        <f>F75/F31</f>
        <v>258015972.93375692</v>
      </c>
    </row>
    <row r="105" spans="1:8" x14ac:dyDescent="0.2">
      <c r="E105" s="4" t="s">
        <v>32</v>
      </c>
      <c r="G105">
        <v>2.5</v>
      </c>
      <c r="H105" t="s">
        <v>33</v>
      </c>
    </row>
    <row r="106" spans="1:8" x14ac:dyDescent="0.2">
      <c r="E106" s="4" t="s">
        <v>34</v>
      </c>
      <c r="G106">
        <v>4</v>
      </c>
    </row>
    <row r="107" spans="1:8" x14ac:dyDescent="0.2">
      <c r="C107" s="1"/>
      <c r="D107" s="3"/>
      <c r="E107" s="4" t="s">
        <v>35</v>
      </c>
      <c r="G107" s="2">
        <f>G104*G106</f>
        <v>1032063891.7350277</v>
      </c>
    </row>
    <row r="108" spans="1:8" x14ac:dyDescent="0.2">
      <c r="C108" s="1"/>
      <c r="D108" s="3"/>
      <c r="E108" s="4"/>
    </row>
    <row r="109" spans="1:8" x14ac:dyDescent="0.2">
      <c r="C109" s="1"/>
      <c r="D109" s="3"/>
      <c r="E109" s="4"/>
    </row>
    <row r="110" spans="1:8" x14ac:dyDescent="0.2">
      <c r="C110" s="1"/>
      <c r="D110" s="3"/>
      <c r="E110" s="4" t="s">
        <v>36</v>
      </c>
      <c r="G110" s="2">
        <f>F66/F31</f>
        <v>4910011.5848103808</v>
      </c>
    </row>
    <row r="111" spans="1:8" x14ac:dyDescent="0.2">
      <c r="C111" s="1"/>
      <c r="D111" s="3"/>
      <c r="E111" s="4" t="s">
        <v>37</v>
      </c>
      <c r="G111">
        <v>2.5</v>
      </c>
      <c r="H111" t="s">
        <v>33</v>
      </c>
    </row>
    <row r="112" spans="1:8" x14ac:dyDescent="0.2">
      <c r="D112" s="3"/>
      <c r="E112" s="4" t="s">
        <v>34</v>
      </c>
      <c r="G112">
        <f>2^6</f>
        <v>64</v>
      </c>
    </row>
    <row r="113" spans="3:10" x14ac:dyDescent="0.2">
      <c r="E113" s="8"/>
      <c r="G113" s="2">
        <f>G110*G112</f>
        <v>314240741.42786437</v>
      </c>
    </row>
    <row r="114" spans="3:10" x14ac:dyDescent="0.2">
      <c r="E114" s="8"/>
    </row>
    <row r="116" spans="3:10" x14ac:dyDescent="0.2">
      <c r="C116" s="1"/>
      <c r="D116" s="3"/>
      <c r="E116" t="s">
        <v>38</v>
      </c>
    </row>
    <row r="117" spans="3:10" x14ac:dyDescent="0.2">
      <c r="C117" s="1"/>
      <c r="D117" s="3"/>
    </row>
    <row r="118" spans="3:10" x14ac:dyDescent="0.2">
      <c r="E118" t="s">
        <v>39</v>
      </c>
    </row>
    <row r="119" spans="3:10" x14ac:dyDescent="0.2">
      <c r="E119" t="s">
        <v>40</v>
      </c>
    </row>
    <row r="120" spans="3:10" x14ac:dyDescent="0.2">
      <c r="E120" t="s">
        <v>41</v>
      </c>
    </row>
    <row r="121" spans="3:10" x14ac:dyDescent="0.2">
      <c r="E121">
        <f>LN(100)/LN(2)</f>
        <v>6.6438561897747253</v>
      </c>
    </row>
    <row r="122" spans="3:10" x14ac:dyDescent="0.2">
      <c r="E122" t="s">
        <v>42</v>
      </c>
      <c r="H122">
        <v>1.5</v>
      </c>
      <c r="I122">
        <f>E121*H122</f>
        <v>9.9657842846620888</v>
      </c>
      <c r="J122" t="s">
        <v>33</v>
      </c>
    </row>
    <row r="123" spans="3:10" x14ac:dyDescent="0.2">
      <c r="H123">
        <v>2.7</v>
      </c>
      <c r="I123">
        <f>E121*H123</f>
        <v>17.938411712391758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92D050"/>
  </sheetPr>
  <dimension ref="A1:G5"/>
  <sheetViews>
    <sheetView zoomScale="90" zoomScaleNormal="90" workbookViewId="0">
      <selection activeCell="G5" sqref="G5"/>
    </sheetView>
  </sheetViews>
  <sheetFormatPr baseColWidth="10" defaultColWidth="8.7109375" defaultRowHeight="16" x14ac:dyDescent="0.2"/>
  <cols>
    <col min="1" max="1" width="8.7109375" style="11"/>
    <col min="2" max="2" width="10.28515625" style="11" customWidth="1"/>
    <col min="3" max="3" width="21.28515625" style="11" bestFit="1" customWidth="1"/>
    <col min="4" max="4" width="21.28515625" style="11" customWidth="1"/>
    <col min="5" max="5" width="8.7109375" style="11"/>
    <col min="6" max="6" width="21.7109375" style="11" bestFit="1" customWidth="1"/>
    <col min="7" max="7" width="16.5703125" style="11" bestFit="1" customWidth="1"/>
    <col min="8" max="16384" width="8.7109375" style="11"/>
  </cols>
  <sheetData>
    <row r="1" spans="1:7" x14ac:dyDescent="0.2">
      <c r="A1" s="32" t="s">
        <v>167</v>
      </c>
    </row>
    <row r="2" spans="1:7" s="31" customFormat="1" x14ac:dyDescent="0.2">
      <c r="A2" s="30" t="s">
        <v>51</v>
      </c>
    </row>
    <row r="4" spans="1:7" s="20" customFormat="1" ht="15" x14ac:dyDescent="0.2">
      <c r="A4" s="20" t="s">
        <v>49</v>
      </c>
      <c r="B4" s="20" t="s">
        <v>48</v>
      </c>
      <c r="C4" s="20" t="s">
        <v>45</v>
      </c>
      <c r="D4" s="20" t="s">
        <v>44</v>
      </c>
      <c r="E4" s="20" t="s">
        <v>46</v>
      </c>
      <c r="F4" s="20" t="s">
        <v>166</v>
      </c>
      <c r="G4" s="20" t="s">
        <v>52</v>
      </c>
    </row>
    <row r="5" spans="1:7" s="19" customFormat="1" ht="15" x14ac:dyDescent="0.2">
      <c r="A5" s="19">
        <v>1946</v>
      </c>
      <c r="B5" s="19" t="s">
        <v>50</v>
      </c>
      <c r="C5" s="27">
        <f>'Koomey et al (2011)'!C12</f>
        <v>436.79999999999995</v>
      </c>
      <c r="D5" s="28">
        <f>C5/3600000</f>
        <v>1.2133333333333332E-4</v>
      </c>
      <c r="E5" s="19">
        <v>500</v>
      </c>
      <c r="F5" s="29">
        <f>E5*Gualtieri_2011!$C$5</f>
        <v>6097560.9756097561</v>
      </c>
      <c r="G5" s="29">
        <f>F5*D5</f>
        <v>739.83739837398366</v>
      </c>
    </row>
  </sheetData>
  <hyperlinks>
    <hyperlink ref="A2" r:id="rId1" xr:uid="{00000000-0004-0000-0600-000000000000}"/>
  </hyperlinks>
  <pageMargins left="0.7" right="0.7" top="0.75" bottom="0.75" header="0.3" footer="0.3"/>
  <pageSetup paperSize="9" orientation="portrait"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2D050"/>
  </sheetPr>
  <dimension ref="A1:C5"/>
  <sheetViews>
    <sheetView zoomScale="80" zoomScaleNormal="80" workbookViewId="0">
      <selection activeCell="C22" sqref="C22"/>
    </sheetView>
  </sheetViews>
  <sheetFormatPr baseColWidth="10" defaultColWidth="8.7109375" defaultRowHeight="16" x14ac:dyDescent="0.2"/>
  <cols>
    <col min="1" max="1" width="11.42578125" style="11" customWidth="1"/>
    <col min="2" max="2" width="16.28515625" style="11" customWidth="1"/>
    <col min="3" max="3" width="21.5703125" style="11" bestFit="1" customWidth="1"/>
  </cols>
  <sheetData>
    <row r="1" spans="1:3" x14ac:dyDescent="0.2">
      <c r="A1" t="s">
        <v>192</v>
      </c>
    </row>
    <row r="2" spans="1:3" x14ac:dyDescent="0.2">
      <c r="A2" s="9" t="s">
        <v>175</v>
      </c>
    </row>
    <row r="4" spans="1:3" x14ac:dyDescent="0.2">
      <c r="A4" s="26" t="s">
        <v>46</v>
      </c>
      <c r="B4" s="10" t="s">
        <v>47</v>
      </c>
      <c r="C4" s="10" t="s">
        <v>165</v>
      </c>
    </row>
    <row r="5" spans="1:3" x14ac:dyDescent="0.2">
      <c r="A5" s="12">
        <v>8200000000000000</v>
      </c>
      <c r="B5" s="12">
        <v>1E+20</v>
      </c>
      <c r="C5" s="12">
        <f>B5/A5</f>
        <v>12195.121951219513</v>
      </c>
    </row>
  </sheetData>
  <hyperlinks>
    <hyperlink ref="A2" r:id="rId1" xr:uid="{33AF56A6-36DE-4442-9BEE-3E3027962BD0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REFS</vt:lpstr>
      <vt:lpstr>FIN_ETA</vt:lpstr>
      <vt:lpstr>Calcs</vt:lpstr>
      <vt:lpstr>LandauerLimit</vt:lpstr>
      <vt:lpstr>Koomey et al (2011)</vt:lpstr>
      <vt:lpstr>Miller_2017</vt:lpstr>
      <vt:lpstr>Gualtieri_2011</vt:lpstr>
      <vt:lpstr>LandauerLimit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Koomey</dc:creator>
  <cp:lastModifiedBy>Matthew Heun</cp:lastModifiedBy>
  <dcterms:created xsi:type="dcterms:W3CDTF">2015-06-02T16:02:42Z</dcterms:created>
  <dcterms:modified xsi:type="dcterms:W3CDTF">2023-07-20T19:48:22Z</dcterms:modified>
</cp:coreProperties>
</file>