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ropbox\Fellowship 1960-2015 PFU database\Data\Machines - Data\Gasoline_motorcycles\"/>
    </mc:Choice>
  </mc:AlternateContent>
  <xr:revisionPtr revIDLastSave="0" documentId="13_ncr:1_{DD2348F8-DE8E-4ABC-92E1-EAFA00C6E89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EFS" sheetId="4" r:id="rId1"/>
    <sheet name="FIN_ETA" sheetId="6" r:id="rId2"/>
    <sheet name="1_Motorcycles calcs" sheetId="1" r:id="rId3"/>
    <sheet name="1_UK stats motorcycles" sheetId="2" r:id="rId4"/>
    <sheet name="125cc engine efficiency" sheetId="5" r:id="rId5"/>
    <sheet name="3 wheel tuk tuks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0">[1]TABLE1a!$U$1:$U$7</definedName>
    <definedName name="\a">!#REF!</definedName>
    <definedName name="\b">#N/A</definedName>
    <definedName name="\p">[1]TABLE1a!$P$1</definedName>
    <definedName name="\s">!#REF!</definedName>
    <definedName name="\t">[1]TABLE1a!$U$3:$U$3</definedName>
    <definedName name="\z">!#REF!</definedName>
    <definedName name="_1.2__Average_distance_travelled_by_mode_of_travel__1975_76__1985_86_and_1993_95">#REF!</definedName>
    <definedName name="_1981">#REF!</definedName>
    <definedName name="_PRv2">!#REF!</definedName>
    <definedName name="_PUv2">!#REF!</definedName>
    <definedName name="_QU1">!#REF!</definedName>
    <definedName name="_QU10">!#REF!</definedName>
    <definedName name="_QU11">!#REF!</definedName>
    <definedName name="_QU12">!#REF!</definedName>
    <definedName name="_QU13">!#REF!</definedName>
    <definedName name="_QU14">!#REF!</definedName>
    <definedName name="_QU15">!#REF!</definedName>
    <definedName name="_QU16">!#REF!</definedName>
    <definedName name="_qu17">!#REF!</definedName>
    <definedName name="_QU2">!#REF!</definedName>
    <definedName name="_QU3">!#REF!</definedName>
    <definedName name="_QU4">!#REF!</definedName>
    <definedName name="_QU5">!#REF!</definedName>
    <definedName name="_QU6">!#REF!</definedName>
    <definedName name="_QU7">!#REF!</definedName>
    <definedName name="_QU8">!#REF!</definedName>
    <definedName name="_QU9">!#REF!</definedName>
    <definedName name="_tab13">#REF!</definedName>
    <definedName name="_tab14">#REF!</definedName>
    <definedName name="_TAB2">!#REF!</definedName>
    <definedName name="_TAB9">!#REF!</definedName>
    <definedName name="_TRv2">!#REF!</definedName>
    <definedName name="_tuv2">!#REF!</definedName>
    <definedName name="_Yr01">!#REF!</definedName>
    <definedName name="_Yr02">!#REF!</definedName>
    <definedName name="activeCell">#REF!</definedName>
    <definedName name="ALL">#N/A</definedName>
    <definedName name="ANNBELGIUM">[1]TABLE5!$D$5:$D$12</definedName>
    <definedName name="ANNDVR">[1]TABLE4AL!$D$6:$D$12</definedName>
    <definedName name="ANNENG">[1]TABLE4AL!$F$6:$F$12</definedName>
    <definedName name="ANNFORIEGN">[1]TABLE1a!$P$37:$P$37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AL">#REF!</definedName>
    <definedName name="ANNUK">[1]TABLE1a!$E$8:$E$14</definedName>
    <definedName name="ANNUT">[1]TABLE1a!$M$8:$M$14</definedName>
    <definedName name="BARQTR">#REF!</definedName>
    <definedName name="BELGIUM">#REF!</definedName>
    <definedName name="BOTO">!#REF!</definedName>
    <definedName name="BOTO2">!#REF!</definedName>
    <definedName name="BULL">#N/A</definedName>
    <definedName name="CAMARA">[1]TABLE1a!$P$4</definedName>
    <definedName name="CategoryTitle">#REF!</definedName>
    <definedName name="CLONE">[1]TABLE1a!$P$6</definedName>
    <definedName name="COP_max">'[2]Domestic refrigeration'!$B$12</definedName>
    <definedName name="DASH">!#REF!</definedName>
    <definedName name="Data_col1">!#REF!</definedName>
    <definedName name="DEFLATOR">#REF!</definedName>
    <definedName name="deltaE_food">#REF!</definedName>
    <definedName name="dgdsfyh">#REF!</definedName>
    <definedName name="DK">#REF!</definedName>
    <definedName name="DNK_D">#REF!</definedName>
    <definedName name="DOVER">#N/A</definedName>
    <definedName name="EIRE">#REF!</definedName>
    <definedName name="ENGLISH">#N/A</definedName>
    <definedName name="Ep_tot_cap_2000">#REF!</definedName>
    <definedName name="eta_charcoal">[3]Afrane_2012!$B$6</definedName>
    <definedName name="exchange_rate">!#REF!</definedName>
    <definedName name="fbegyear">#REF!</definedName>
    <definedName name="fendyear">[4]Year!$B$3</definedName>
    <definedName name="FL">#REF!</definedName>
    <definedName name="Footnotes">#REF!</definedName>
    <definedName name="FOREIGN">[1]TABLE1a!$P$38:$P$52</definedName>
    <definedName name="FRANCE">#REF!</definedName>
    <definedName name="fyear">[4]c11!$D$42</definedName>
    <definedName name="GEOG9703">!#REF!</definedName>
    <definedName name="GERMANY">#REF!</definedName>
    <definedName name="GraphData">'[5]TIS-INDEX'!$B$13:$Q$44,'[5]TIS-INDEX'!$E$9:$R$9</definedName>
    <definedName name="GraphTitle">#REF!</definedName>
    <definedName name="ITALY">#REF!</definedName>
    <definedName name="Lon">!#REF!</definedName>
    <definedName name="MIN">!#REF!</definedName>
    <definedName name="mincheck">!#REF!</definedName>
    <definedName name="N_ml">#REF!</definedName>
    <definedName name="name">!#REF!</definedName>
    <definedName name="NLS">#REF!</definedName>
    <definedName name="NONEC">#REF!</definedName>
    <definedName name="NORTHSEA">#N/A</definedName>
    <definedName name="OldData">#REF!</definedName>
    <definedName name="OTHER">#N/A</definedName>
    <definedName name="OTHEREC">#REF!</definedName>
    <definedName name="phi_Combustible_renewables">[2]phi_heat!$C$17</definedName>
    <definedName name="phi_Electricity">[2]phi_heat!$C$28</definedName>
    <definedName name="phi_Feed">[2]phi_heat!$C$27</definedName>
    <definedName name="phi_Food">[2]phi_heat!$C$26</definedName>
    <definedName name="phi_HTH.600.C">[2]phi_heat!$C$10</definedName>
    <definedName name="phi_Hydro">[2]phi_heat!$C$19</definedName>
    <definedName name="phi_LTH.neg20.C">[2]phi_heat!$C$6</definedName>
    <definedName name="phi_MTH.100.C">[2]phi_heat!$C$8</definedName>
    <definedName name="phi_MTH.200.C">[2]phi_heat!$C$9</definedName>
    <definedName name="phi_Natural_gas">[2]phi_heat!$C$15</definedName>
    <definedName name="phi_Oil_and_oil_products">[2]phi_heat!$C$16</definedName>
    <definedName name="phi_Phytomass">[2]phi_heat!$C$29</definedName>
    <definedName name="PIE">#REF!</definedName>
    <definedName name="PM">"['file:///C:/temp/Working%20files/6.11.9%20DW%20LHA%20&amp;%20HA%20roads%20casulties_1WIP.xls'#$Sheet1.$K$1:.$S$13]"</definedName>
    <definedName name="PR">!#REF!</definedName>
    <definedName name="_xlnm.Print_Area">#REF!</definedName>
    <definedName name="Print_Area_MI">[1]TABLE1a!$A$1:$O$37</definedName>
    <definedName name="PU">!#REF!</definedName>
    <definedName name="PUBLISH_Print_Area">#REF!</definedName>
    <definedName name="PUBLISH1998_Print_Area">#REF!</definedName>
    <definedName name="qryNonEUBreakdown">#REF!</definedName>
    <definedName name="QUARTER">#REF!</definedName>
    <definedName name="R_">!#REF!</definedName>
    <definedName name="region">!#REF!</definedName>
    <definedName name="S_food">#REF!</definedName>
    <definedName name="S_food_2000">#REF!</definedName>
    <definedName name="S_food_S_food_2000">#REF!</definedName>
    <definedName name="SPAIN">#REF!</definedName>
    <definedName name="T_0_ref">'[2]Domestic refrigeration'!$B$10</definedName>
    <definedName name="T_ref">'[2]Domestic refrigeration'!$B$11</definedName>
    <definedName name="tab">[6]TABLE1a!$U$3:$U$3</definedName>
    <definedName name="TAB4ALL">#N/A</definedName>
    <definedName name="TAB4PV">#N/A</definedName>
    <definedName name="TAB4UT">#N/A</definedName>
    <definedName name="TAB5cQT">!#REF!</definedName>
    <definedName name="TableTitle">#REF!</definedName>
    <definedName name="TB6a_bik">!#REF!</definedName>
    <definedName name="TB6a_car">!#REF!</definedName>
    <definedName name="TB6a_cyc">!#REF!</definedName>
    <definedName name="TB6a_ped">!#REF!</definedName>
    <definedName name="TB6b_bik">!#REF!</definedName>
    <definedName name="TB6b_car">!#REF!</definedName>
    <definedName name="TB6b_cyc">!#REF!</definedName>
    <definedName name="TB6b_ped">!#REF!</definedName>
    <definedName name="TB6c_bik">!#REF!</definedName>
    <definedName name="TB6c_car">!#REF!</definedName>
    <definedName name="TB6c_cyc">!#REF!</definedName>
    <definedName name="TB6c_ped">!#REF!</definedName>
    <definedName name="temp02">!#REF!</definedName>
    <definedName name="testing">#REF!</definedName>
    <definedName name="TM">"['file:///C:/temp/Working%20files/6.11.9%20DW%20LHA%20&amp;%20HA%20roads%20casulties_1WIP.xls'#$Sheet1.$A$1:.$I$119]"</definedName>
    <definedName name="TOP">!#REF!</definedName>
    <definedName name="TR">"['file:///C:/temp/Working%20files/6.11.9%20DW%20LHA%20&amp;%20HA%20roads%20casulties_1WIP.xls'#$Sheet1.$U$1:.$AB$146]"</definedName>
    <definedName name="TU">"['file:///C:/temp/Working%20files/6.11.9%20DW%20LHA%20&amp;%20HA%20roads%20casulties_1WIP.xls'#$Sheet1.$AC$1:.$AJ$133]"</definedName>
    <definedName name="UK">#N/A</definedName>
    <definedName name="UT">#N/A</definedName>
    <definedName name="v">!#REF!</definedName>
    <definedName name="ValueTitle">#REF!</definedName>
    <definedName name="w">#REF!</definedName>
    <definedName name="Year_Food">#REF!</definedName>
    <definedName name="Yr00">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" l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F36" i="1"/>
  <c r="F35" i="1"/>
  <c r="F34" i="1"/>
  <c r="F33" i="1"/>
  <c r="F32" i="1"/>
  <c r="F31" i="1"/>
  <c r="B152" i="3"/>
  <c r="B48" i="3"/>
  <c r="D66" i="1"/>
  <c r="N177" i="2"/>
  <c r="O177" i="2"/>
  <c r="P177" i="2"/>
  <c r="P178" i="2" s="1"/>
  <c r="Q177" i="2"/>
  <c r="Q178" i="2" s="1"/>
  <c r="R177" i="2"/>
  <c r="S177" i="2"/>
  <c r="S178" i="2" s="1"/>
  <c r="T177" i="2"/>
  <c r="U177" i="2"/>
  <c r="V177" i="2"/>
  <c r="W177" i="2"/>
  <c r="X177" i="2"/>
  <c r="X178" i="2" s="1"/>
  <c r="Y177" i="2"/>
  <c r="Y178" i="2" s="1"/>
  <c r="Z177" i="2"/>
  <c r="AA177" i="2"/>
  <c r="AA178" i="2" s="1"/>
  <c r="AB177" i="2"/>
  <c r="AC177" i="2"/>
  <c r="AD177" i="2"/>
  <c r="AE177" i="2"/>
  <c r="AF177" i="2"/>
  <c r="AF178" i="2" s="1"/>
  <c r="AG177" i="2"/>
  <c r="AG178" i="2" s="1"/>
  <c r="AH177" i="2"/>
  <c r="AI177" i="2"/>
  <c r="AI178" i="2" s="1"/>
  <c r="AJ177" i="2"/>
  <c r="AK177" i="2"/>
  <c r="AL177" i="2"/>
  <c r="AM177" i="2"/>
  <c r="AN177" i="2"/>
  <c r="AO177" i="2"/>
  <c r="AP177" i="2"/>
  <c r="AQ177" i="2"/>
  <c r="AQ178" i="2" s="1"/>
  <c r="AR177" i="2"/>
  <c r="AS177" i="2"/>
  <c r="AT177" i="2"/>
  <c r="AU177" i="2"/>
  <c r="AV177" i="2"/>
  <c r="AW177" i="2"/>
  <c r="AX177" i="2"/>
  <c r="AY177" i="2"/>
  <c r="AY178" i="2" s="1"/>
  <c r="AZ177" i="2"/>
  <c r="BA177" i="2"/>
  <c r="BB177" i="2"/>
  <c r="BC177" i="2"/>
  <c r="BD177" i="2"/>
  <c r="BD178" i="2" s="1"/>
  <c r="BE177" i="2"/>
  <c r="BF177" i="2"/>
  <c r="BG177" i="2"/>
  <c r="BH177" i="2"/>
  <c r="BI177" i="2"/>
  <c r="BJ177" i="2"/>
  <c r="E169" i="2"/>
  <c r="F169" i="2"/>
  <c r="G169" i="2"/>
  <c r="H169" i="2"/>
  <c r="I169" i="2"/>
  <c r="J169" i="2"/>
  <c r="K169" i="2"/>
  <c r="L169" i="2"/>
  <c r="M169" i="2"/>
  <c r="N169" i="2"/>
  <c r="N171" i="2" s="1"/>
  <c r="O169" i="2"/>
  <c r="O171" i="2" s="1"/>
  <c r="P169" i="2"/>
  <c r="P171" i="2" s="1"/>
  <c r="Q169" i="2"/>
  <c r="R169" i="2"/>
  <c r="R171" i="2" s="1"/>
  <c r="S169" i="2"/>
  <c r="S171" i="2" s="1"/>
  <c r="T169" i="2"/>
  <c r="T171" i="2" s="1"/>
  <c r="U169" i="2"/>
  <c r="U171" i="2" s="1"/>
  <c r="V169" i="2"/>
  <c r="V171" i="2" s="1"/>
  <c r="W169" i="2"/>
  <c r="W171" i="2" s="1"/>
  <c r="X169" i="2"/>
  <c r="X171" i="2" s="1"/>
  <c r="Y169" i="2"/>
  <c r="Y171" i="2" s="1"/>
  <c r="Z169" i="2"/>
  <c r="Z171" i="2" s="1"/>
  <c r="AA169" i="2"/>
  <c r="AB169" i="2"/>
  <c r="AB171" i="2" s="1"/>
  <c r="AC169" i="2"/>
  <c r="AC171" i="2" s="1"/>
  <c r="AD169" i="2"/>
  <c r="AD171" i="2" s="1"/>
  <c r="AE169" i="2"/>
  <c r="AF169" i="2"/>
  <c r="AF171" i="2" s="1"/>
  <c r="AG169" i="2"/>
  <c r="AG171" i="2" s="1"/>
  <c r="AH169" i="2"/>
  <c r="AH171" i="2" s="1"/>
  <c r="AI169" i="2"/>
  <c r="AI171" i="2" s="1"/>
  <c r="AJ169" i="2"/>
  <c r="AJ171" i="2" s="1"/>
  <c r="AK169" i="2"/>
  <c r="AK171" i="2" s="1"/>
  <c r="AL169" i="2"/>
  <c r="AL171" i="2" s="1"/>
  <c r="AM169" i="2"/>
  <c r="AN169" i="2"/>
  <c r="AN171" i="2" s="1"/>
  <c r="AO169" i="2"/>
  <c r="AP169" i="2"/>
  <c r="AQ169" i="2"/>
  <c r="AQ171" i="2" s="1"/>
  <c r="AR169" i="2"/>
  <c r="AR171" i="2" s="1"/>
  <c r="AS169" i="2"/>
  <c r="AS171" i="2" s="1"/>
  <c r="AT169" i="2"/>
  <c r="AT171" i="2" s="1"/>
  <c r="AU169" i="2"/>
  <c r="AV169" i="2"/>
  <c r="AV171" i="2" s="1"/>
  <c r="AW169" i="2"/>
  <c r="AW171" i="2" s="1"/>
  <c r="AX169" i="2"/>
  <c r="AX171" i="2" s="1"/>
  <c r="AY169" i="2"/>
  <c r="AY171" i="2" s="1"/>
  <c r="AZ169" i="2"/>
  <c r="AZ171" i="2" s="1"/>
  <c r="BA169" i="2"/>
  <c r="BB169" i="2"/>
  <c r="BB171" i="2" s="1"/>
  <c r="BC169" i="2"/>
  <c r="BC171" i="2" s="1"/>
  <c r="BD169" i="2"/>
  <c r="BE169" i="2"/>
  <c r="BE171" i="2" s="1"/>
  <c r="BF169" i="2"/>
  <c r="BF171" i="2" s="1"/>
  <c r="BG169" i="2"/>
  <c r="BG171" i="2" s="1"/>
  <c r="BH169" i="2"/>
  <c r="BH171" i="2" s="1"/>
  <c r="BI169" i="2"/>
  <c r="BI171" i="2" s="1"/>
  <c r="BJ169" i="2"/>
  <c r="BK169" i="2"/>
  <c r="D169" i="2"/>
  <c r="BD171" i="2"/>
  <c r="Q171" i="2"/>
  <c r="AA171" i="2"/>
  <c r="AO171" i="2"/>
  <c r="AP171" i="2"/>
  <c r="BA171" i="2"/>
  <c r="H175" i="2"/>
  <c r="AK178" i="2" s="1"/>
  <c r="U178" i="2"/>
  <c r="V178" i="2"/>
  <c r="AC178" i="2"/>
  <c r="AD178" i="2"/>
  <c r="AM178" i="2"/>
  <c r="AT178" i="2"/>
  <c r="AU178" i="2"/>
  <c r="BA178" i="2"/>
  <c r="BB178" i="2"/>
  <c r="T178" i="2"/>
  <c r="AN178" i="2"/>
  <c r="AV178" i="2"/>
  <c r="BG178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BJ256" i="2"/>
  <c r="BI256" i="2"/>
  <c r="BH256" i="2"/>
  <c r="BG256" i="2"/>
  <c r="BF256" i="2"/>
  <c r="BE256" i="2"/>
  <c r="BD256" i="2"/>
  <c r="BC256" i="2"/>
  <c r="BJ255" i="2"/>
  <c r="BI255" i="2"/>
  <c r="BH255" i="2"/>
  <c r="BG255" i="2"/>
  <c r="BF255" i="2"/>
  <c r="BE255" i="2"/>
  <c r="BD255" i="2"/>
  <c r="BC255" i="2"/>
  <c r="BJ241" i="2"/>
  <c r="BJ237" i="2" s="1"/>
  <c r="BI241" i="2"/>
  <c r="BI237" i="2" s="1"/>
  <c r="BH241" i="2"/>
  <c r="BH237" i="2" s="1"/>
  <c r="BG241" i="2"/>
  <c r="BG237" i="2" s="1"/>
  <c r="BF241" i="2"/>
  <c r="BF36" i="2" s="1"/>
  <c r="BE241" i="2"/>
  <c r="BE206" i="2" s="1"/>
  <c r="BD241" i="2"/>
  <c r="BD237" i="2" s="1"/>
  <c r="BC241" i="2"/>
  <c r="BC206" i="2" s="1"/>
  <c r="BB241" i="2"/>
  <c r="BB35" i="2" s="1"/>
  <c r="BA241" i="2"/>
  <c r="BA194" i="2" s="1"/>
  <c r="AZ241" i="2"/>
  <c r="AZ226" i="2" s="1"/>
  <c r="AY241" i="2"/>
  <c r="AX241" i="2"/>
  <c r="AX237" i="2" s="1"/>
  <c r="AW241" i="2"/>
  <c r="AW237" i="2" s="1"/>
  <c r="AV241" i="2"/>
  <c r="AV237" i="2" s="1"/>
  <c r="AU241" i="2"/>
  <c r="AU237" i="2" s="1"/>
  <c r="AT241" i="2"/>
  <c r="AT237" i="2" s="1"/>
  <c r="AS241" i="2"/>
  <c r="AS194" i="2" s="1"/>
  <c r="AR241" i="2"/>
  <c r="AR36" i="2" s="1"/>
  <c r="AQ241" i="2"/>
  <c r="AP241" i="2"/>
  <c r="AP194" i="2" s="1"/>
  <c r="AO241" i="2"/>
  <c r="AO206" i="2" s="1"/>
  <c r="AN241" i="2"/>
  <c r="AN237" i="2" s="1"/>
  <c r="AM241" i="2"/>
  <c r="AM237" i="2" s="1"/>
  <c r="AL241" i="2"/>
  <c r="AL237" i="2" s="1"/>
  <c r="AK241" i="2"/>
  <c r="AK194" i="2" s="1"/>
  <c r="AJ241" i="2"/>
  <c r="AJ36" i="2" s="1"/>
  <c r="AI241" i="2"/>
  <c r="AH241" i="2"/>
  <c r="AH237" i="2" s="1"/>
  <c r="AG241" i="2"/>
  <c r="AG36" i="2" s="1"/>
  <c r="AF241" i="2"/>
  <c r="AF237" i="2" s="1"/>
  <c r="AE241" i="2"/>
  <c r="AE237" i="2" s="1"/>
  <c r="AD241" i="2"/>
  <c r="AD35" i="2" s="1"/>
  <c r="AC241" i="2"/>
  <c r="AC237" i="2" s="1"/>
  <c r="AB241" i="2"/>
  <c r="AB237" i="2" s="1"/>
  <c r="AA241" i="2"/>
  <c r="AA237" i="2" s="1"/>
  <c r="Z241" i="2"/>
  <c r="Z206" i="2" s="1"/>
  <c r="Y241" i="2"/>
  <c r="Y206" i="2" s="1"/>
  <c r="X241" i="2"/>
  <c r="X237" i="2" s="1"/>
  <c r="W241" i="2"/>
  <c r="W237" i="2" s="1"/>
  <c r="V241" i="2"/>
  <c r="V35" i="2" s="1"/>
  <c r="U241" i="2"/>
  <c r="U237" i="2" s="1"/>
  <c r="T241" i="2"/>
  <c r="T226" i="2" s="1"/>
  <c r="S241" i="2"/>
  <c r="R241" i="2"/>
  <c r="R35" i="2" s="1"/>
  <c r="Q241" i="2"/>
  <c r="Q226" i="2" s="1"/>
  <c r="P241" i="2"/>
  <c r="P237" i="2" s="1"/>
  <c r="O241" i="2"/>
  <c r="O237" i="2" s="1"/>
  <c r="N241" i="2"/>
  <c r="N35" i="2" s="1"/>
  <c r="BJ240" i="2"/>
  <c r="BI240" i="2"/>
  <c r="BI32" i="2" s="1"/>
  <c r="BI33" i="2" s="1"/>
  <c r="BH240" i="2"/>
  <c r="BG240" i="2"/>
  <c r="BG205" i="2" s="1"/>
  <c r="BF240" i="2"/>
  <c r="BF32" i="2" s="1"/>
  <c r="BF33" i="2" s="1"/>
  <c r="BE240" i="2"/>
  <c r="BE231" i="2" s="1"/>
  <c r="BD240" i="2"/>
  <c r="BD231" i="2" s="1"/>
  <c r="BC240" i="2"/>
  <c r="BC231" i="2" s="1"/>
  <c r="BB240" i="2"/>
  <c r="BB32" i="2" s="1"/>
  <c r="BB33" i="2" s="1"/>
  <c r="BA240" i="2"/>
  <c r="BA231" i="2" s="1"/>
  <c r="AZ240" i="2"/>
  <c r="AY240" i="2"/>
  <c r="AY205" i="2" s="1"/>
  <c r="AX240" i="2"/>
  <c r="AX231" i="2" s="1"/>
  <c r="AW240" i="2"/>
  <c r="AW231" i="2" s="1"/>
  <c r="AV240" i="2"/>
  <c r="AV231" i="2" s="1"/>
  <c r="AU240" i="2"/>
  <c r="AU231" i="2" s="1"/>
  <c r="AT240" i="2"/>
  <c r="AS240" i="2"/>
  <c r="AS193" i="2" s="1"/>
  <c r="AR240" i="2"/>
  <c r="AQ240" i="2"/>
  <c r="AQ205" i="2" s="1"/>
  <c r="AP240" i="2"/>
  <c r="AP205" i="2" s="1"/>
  <c r="AO240" i="2"/>
  <c r="AO205" i="2" s="1"/>
  <c r="AN240" i="2"/>
  <c r="AN231" i="2" s="1"/>
  <c r="AM240" i="2"/>
  <c r="AM32" i="2" s="1"/>
  <c r="AM33" i="2" s="1"/>
  <c r="AL240" i="2"/>
  <c r="AK240" i="2"/>
  <c r="AK231" i="2" s="1"/>
  <c r="AJ240" i="2"/>
  <c r="AI240" i="2"/>
  <c r="AI32" i="2" s="1"/>
  <c r="AI33" i="2" s="1"/>
  <c r="AH240" i="2"/>
  <c r="AH231" i="2" s="1"/>
  <c r="AG240" i="2"/>
  <c r="AG205" i="2" s="1"/>
  <c r="AF240" i="2"/>
  <c r="AF205" i="2" s="1"/>
  <c r="AE240" i="2"/>
  <c r="AE231" i="2" s="1"/>
  <c r="AD240" i="2"/>
  <c r="AD231" i="2" s="1"/>
  <c r="AC240" i="2"/>
  <c r="AC231" i="2" s="1"/>
  <c r="AB240" i="2"/>
  <c r="AA240" i="2"/>
  <c r="AA242" i="2" s="1"/>
  <c r="Z240" i="2"/>
  <c r="Z242" i="2" s="1"/>
  <c r="Y240" i="2"/>
  <c r="X240" i="2"/>
  <c r="X231" i="2" s="1"/>
  <c r="W240" i="2"/>
  <c r="W231" i="2" s="1"/>
  <c r="V240" i="2"/>
  <c r="V205" i="2" s="1"/>
  <c r="U240" i="2"/>
  <c r="U32" i="2" s="1"/>
  <c r="U33" i="2" s="1"/>
  <c r="T240" i="2"/>
  <c r="S240" i="2"/>
  <c r="S32" i="2" s="1"/>
  <c r="S33" i="2" s="1"/>
  <c r="R240" i="2"/>
  <c r="R242" i="2" s="1"/>
  <c r="Q240" i="2"/>
  <c r="Q205" i="2" s="1"/>
  <c r="P240" i="2"/>
  <c r="O240" i="2"/>
  <c r="O231" i="2" s="1"/>
  <c r="N240" i="2"/>
  <c r="N32" i="2" s="1"/>
  <c r="N33" i="2" s="1"/>
  <c r="AZ237" i="2"/>
  <c r="AY237" i="2"/>
  <c r="AQ237" i="2"/>
  <c r="AI237" i="2"/>
  <c r="T237" i="2"/>
  <c r="BK234" i="2" a="1"/>
  <c r="BK234" i="2" s="1"/>
  <c r="BI231" i="2"/>
  <c r="Q231" i="2"/>
  <c r="BK228" i="2" a="1"/>
  <c r="BK228" i="2" s="1"/>
  <c r="BK177" i="2" s="1"/>
  <c r="BK178" i="2" s="1"/>
  <c r="BG226" i="2"/>
  <c r="AY226" i="2"/>
  <c r="AQ226" i="2"/>
  <c r="AJ226" i="2"/>
  <c r="AI226" i="2"/>
  <c r="AB226" i="2"/>
  <c r="AA226" i="2"/>
  <c r="S226" i="2"/>
  <c r="R226" i="2"/>
  <c r="BK221" i="2" a="1"/>
  <c r="BK221" i="2" s="1"/>
  <c r="BJ210" i="2"/>
  <c r="BI210" i="2"/>
  <c r="BH210" i="2"/>
  <c r="BH218" i="2" s="1"/>
  <c r="BG210" i="2"/>
  <c r="BF210" i="2"/>
  <c r="BF218" i="2" s="1"/>
  <c r="BE210" i="2"/>
  <c r="BD210" i="2"/>
  <c r="BC210" i="2"/>
  <c r="BB210" i="2"/>
  <c r="BA210" i="2"/>
  <c r="AZ210" i="2"/>
  <c r="AY210" i="2"/>
  <c r="AX210" i="2"/>
  <c r="AX218" i="2" s="1"/>
  <c r="AW210" i="2"/>
  <c r="AV210" i="2"/>
  <c r="AU210" i="2"/>
  <c r="AT210" i="2"/>
  <c r="AS210" i="2"/>
  <c r="AR210" i="2"/>
  <c r="AQ210" i="2"/>
  <c r="AP210" i="2"/>
  <c r="AP218" i="2" s="1"/>
  <c r="AO210" i="2"/>
  <c r="AN210" i="2"/>
  <c r="AM210" i="2"/>
  <c r="AL210" i="2"/>
  <c r="AK210" i="2"/>
  <c r="AJ210" i="2"/>
  <c r="AI210" i="2"/>
  <c r="AH210" i="2"/>
  <c r="AH218" i="2" s="1"/>
  <c r="AG210" i="2"/>
  <c r="AF210" i="2"/>
  <c r="AE210" i="2"/>
  <c r="AD210" i="2"/>
  <c r="AC210" i="2"/>
  <c r="AB210" i="2"/>
  <c r="AA210" i="2"/>
  <c r="Z210" i="2"/>
  <c r="Z218" i="2" s="1"/>
  <c r="Y210" i="2"/>
  <c r="X210" i="2"/>
  <c r="W210" i="2"/>
  <c r="V210" i="2"/>
  <c r="U210" i="2"/>
  <c r="T210" i="2"/>
  <c r="S210" i="2"/>
  <c r="S218" i="2" s="1"/>
  <c r="R210" i="2"/>
  <c r="R218" i="2" s="1"/>
  <c r="Q210" i="2"/>
  <c r="P210" i="2"/>
  <c r="O210" i="2"/>
  <c r="N210" i="2"/>
  <c r="BJ209" i="2"/>
  <c r="BI209" i="2"/>
  <c r="BH209" i="2"/>
  <c r="BG209" i="2"/>
  <c r="BG211" i="2" s="1"/>
  <c r="BF209" i="2"/>
  <c r="BE209" i="2"/>
  <c r="BE217" i="2" s="1"/>
  <c r="BD209" i="2"/>
  <c r="BC209" i="2"/>
  <c r="BC211" i="2" s="1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Q211" i="2" s="1"/>
  <c r="AP209" i="2"/>
  <c r="AO209" i="2"/>
  <c r="AO217" i="2" s="1"/>
  <c r="AN209" i="2"/>
  <c r="AM209" i="2"/>
  <c r="AL209" i="2"/>
  <c r="AK209" i="2"/>
  <c r="AJ209" i="2"/>
  <c r="AI209" i="2"/>
  <c r="AH209" i="2"/>
  <c r="AG209" i="2"/>
  <c r="AG217" i="2" s="1"/>
  <c r="AF209" i="2"/>
  <c r="AE209" i="2"/>
  <c r="AE211" i="2" s="1"/>
  <c r="AD209" i="2"/>
  <c r="AC209" i="2"/>
  <c r="AB209" i="2"/>
  <c r="AA209" i="2"/>
  <c r="AA211" i="2" s="1"/>
  <c r="Z209" i="2"/>
  <c r="Y209" i="2"/>
  <c r="X209" i="2"/>
  <c r="W209" i="2"/>
  <c r="V209" i="2"/>
  <c r="U209" i="2"/>
  <c r="T209" i="2"/>
  <c r="S209" i="2"/>
  <c r="R209" i="2"/>
  <c r="Q209" i="2"/>
  <c r="Q217" i="2" s="1"/>
  <c r="P209" i="2"/>
  <c r="O209" i="2"/>
  <c r="N209" i="2"/>
  <c r="BH206" i="2"/>
  <c r="BG206" i="2"/>
  <c r="BF206" i="2"/>
  <c r="AY206" i="2"/>
  <c r="AQ206" i="2"/>
  <c r="AP206" i="2"/>
  <c r="AJ206" i="2"/>
  <c r="AI206" i="2"/>
  <c r="AA206" i="2"/>
  <c r="S206" i="2"/>
  <c r="BI205" i="2"/>
  <c r="BH205" i="2"/>
  <c r="BA205" i="2"/>
  <c r="AZ205" i="2"/>
  <c r="AR205" i="2"/>
  <c r="AJ205" i="2"/>
  <c r="AC205" i="2"/>
  <c r="AB205" i="2"/>
  <c r="U205" i="2"/>
  <c r="T205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BK197" i="2" a="1"/>
  <c r="BK197" i="2" s="1"/>
  <c r="BG194" i="2"/>
  <c r="BD194" i="2"/>
  <c r="AZ194" i="2"/>
  <c r="AY194" i="2"/>
  <c r="AV194" i="2"/>
  <c r="AQ194" i="2"/>
  <c r="AN194" i="2"/>
  <c r="AI194" i="2"/>
  <c r="AH194" i="2"/>
  <c r="AG194" i="2"/>
  <c r="AF194" i="2"/>
  <c r="AA194" i="2"/>
  <c r="X194" i="2"/>
  <c r="T194" i="2"/>
  <c r="S194" i="2"/>
  <c r="P194" i="2"/>
  <c r="BH193" i="2"/>
  <c r="AZ193" i="2"/>
  <c r="AY193" i="2"/>
  <c r="AX193" i="2"/>
  <c r="AR193" i="2"/>
  <c r="AJ193" i="2"/>
  <c r="AI193" i="2"/>
  <c r="AC193" i="2"/>
  <c r="AB193" i="2"/>
  <c r="U193" i="2"/>
  <c r="T193" i="2"/>
  <c r="S193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BK185" i="2" a="1"/>
  <c r="BK185" i="2" s="1"/>
  <c r="BK141" i="2"/>
  <c r="BK152" i="2" s="1"/>
  <c r="BK140" i="2"/>
  <c r="BK151" i="2" s="1"/>
  <c r="BK139" i="2"/>
  <c r="BK150" i="2" s="1"/>
  <c r="C139" i="2"/>
  <c r="BK138" i="2"/>
  <c r="BK149" i="2" s="1"/>
  <c r="C138" i="2"/>
  <c r="BK137" i="2"/>
  <c r="BK148" i="2" s="1"/>
  <c r="BK136" i="2"/>
  <c r="BK147" i="2" s="1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BJ130" i="2"/>
  <c r="BJ224" i="2" s="1"/>
  <c r="BI130" i="2"/>
  <c r="BI224" i="2" s="1"/>
  <c r="BH130" i="2"/>
  <c r="BH224" i="2" s="1"/>
  <c r="BG130" i="2"/>
  <c r="BG224" i="2" s="1"/>
  <c r="BF130" i="2"/>
  <c r="BF224" i="2" s="1"/>
  <c r="BE130" i="2"/>
  <c r="BE224" i="2" s="1"/>
  <c r="BD130" i="2"/>
  <c r="BD224" i="2" s="1"/>
  <c r="BC130" i="2"/>
  <c r="BC224" i="2" s="1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E190" i="2" s="1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Q190" i="2" s="1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M241" i="2" s="1"/>
  <c r="L114" i="2"/>
  <c r="L241" i="2" s="1"/>
  <c r="K114" i="2"/>
  <c r="K241" i="2" s="1"/>
  <c r="K244" i="2" s="1"/>
  <c r="J114" i="2"/>
  <c r="J241" i="2" s="1"/>
  <c r="J244" i="2" s="1"/>
  <c r="I114" i="2"/>
  <c r="H114" i="2"/>
  <c r="H241" i="2" s="1"/>
  <c r="H244" i="2" s="1"/>
  <c r="G114" i="2"/>
  <c r="G241" i="2" s="1"/>
  <c r="G244" i="2" s="1"/>
  <c r="F114" i="2"/>
  <c r="F241" i="2" s="1"/>
  <c r="F244" i="2" s="1"/>
  <c r="E114" i="2"/>
  <c r="E241" i="2" s="1"/>
  <c r="E244" i="2" s="1"/>
  <c r="D114" i="2"/>
  <c r="D241" i="2" s="1"/>
  <c r="D244" i="2" s="1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M240" i="2" s="1"/>
  <c r="L113" i="2"/>
  <c r="K113" i="2"/>
  <c r="K240" i="2" s="1"/>
  <c r="J113" i="2"/>
  <c r="I113" i="2"/>
  <c r="I240" i="2" s="1"/>
  <c r="H113" i="2"/>
  <c r="H240" i="2" s="1"/>
  <c r="G113" i="2"/>
  <c r="G240" i="2" s="1"/>
  <c r="F113" i="2"/>
  <c r="E113" i="2"/>
  <c r="E240" i="2" s="1"/>
  <c r="D113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O100" i="2"/>
  <c r="N100" i="2"/>
  <c r="M100" i="2"/>
  <c r="L100" i="2"/>
  <c r="K100" i="2"/>
  <c r="J100" i="2"/>
  <c r="I100" i="2"/>
  <c r="H100" i="2"/>
  <c r="G100" i="2"/>
  <c r="F100" i="2"/>
  <c r="E100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BG36" i="2"/>
  <c r="BG34" i="2" s="1"/>
  <c r="BD36" i="2"/>
  <c r="AZ36" i="2"/>
  <c r="AY36" i="2"/>
  <c r="AV36" i="2"/>
  <c r="AQ36" i="2"/>
  <c r="AN36" i="2"/>
  <c r="AM36" i="2"/>
  <c r="AI36" i="2"/>
  <c r="AH36" i="2"/>
  <c r="AF36" i="2"/>
  <c r="AE36" i="2"/>
  <c r="AB36" i="2"/>
  <c r="AA36" i="2"/>
  <c r="Z36" i="2"/>
  <c r="Y36" i="2"/>
  <c r="X36" i="2"/>
  <c r="S36" i="2"/>
  <c r="P36" i="2"/>
  <c r="N36" i="2"/>
  <c r="BI35" i="2"/>
  <c r="BG35" i="2"/>
  <c r="BD35" i="2"/>
  <c r="BC35" i="2"/>
  <c r="AZ35" i="2"/>
  <c r="AY35" i="2"/>
  <c r="AV35" i="2"/>
  <c r="AQ35" i="2"/>
  <c r="AN35" i="2"/>
  <c r="AM35" i="2"/>
  <c r="AJ35" i="2"/>
  <c r="AI35" i="2"/>
  <c r="AF35" i="2"/>
  <c r="AA35" i="2"/>
  <c r="X35" i="2"/>
  <c r="W35" i="2"/>
  <c r="T35" i="2"/>
  <c r="S35" i="2"/>
  <c r="P35" i="2"/>
  <c r="BH32" i="2"/>
  <c r="BH33" i="2" s="1"/>
  <c r="BG32" i="2"/>
  <c r="BG33" i="2" s="1"/>
  <c r="BE32" i="2"/>
  <c r="BE33" i="2" s="1"/>
  <c r="BD32" i="2"/>
  <c r="BD33" i="2" s="1"/>
  <c r="AZ32" i="2"/>
  <c r="AZ33" i="2" s="1"/>
  <c r="AY32" i="2"/>
  <c r="AY33" i="2" s="1"/>
  <c r="AX32" i="2"/>
  <c r="AX33" i="2" s="1"/>
  <c r="AW32" i="2"/>
  <c r="AW33" i="2" s="1"/>
  <c r="AR32" i="2"/>
  <c r="AR33" i="2" s="1"/>
  <c r="AO32" i="2"/>
  <c r="AO33" i="2" s="1"/>
  <c r="AN32" i="2"/>
  <c r="AN33" i="2" s="1"/>
  <c r="AL32" i="2"/>
  <c r="AL33" i="2" s="1"/>
  <c r="AJ32" i="2"/>
  <c r="AJ33" i="2" s="1"/>
  <c r="AG32" i="2"/>
  <c r="AG33" i="2" s="1"/>
  <c r="AF32" i="2"/>
  <c r="AF33" i="2" s="1"/>
  <c r="AC32" i="2"/>
  <c r="AC33" i="2" s="1"/>
  <c r="AB32" i="2"/>
  <c r="AB33" i="2" s="1"/>
  <c r="Y32" i="2"/>
  <c r="Y33" i="2" s="1"/>
  <c r="T32" i="2"/>
  <c r="T33" i="2" s="1"/>
  <c r="Q32" i="2"/>
  <c r="Q33" i="2" s="1"/>
  <c r="P32" i="2"/>
  <c r="P33" i="2" s="1"/>
  <c r="C26" i="2"/>
  <c r="C256" i="2" s="1"/>
  <c r="C25" i="2"/>
  <c r="C255" i="2" s="1"/>
  <c r="N17" i="2"/>
  <c r="L8" i="2"/>
  <c r="J9" i="2" s="1"/>
  <c r="N9" i="2" s="1"/>
  <c r="J5" i="2"/>
  <c r="N5" i="2" s="1"/>
  <c r="BC64" i="1"/>
  <c r="AU64" i="1"/>
  <c r="BC63" i="1"/>
  <c r="AU63" i="1"/>
  <c r="BG62" i="1"/>
  <c r="BF62" i="1"/>
  <c r="BD62" i="1"/>
  <c r="BC62" i="1"/>
  <c r="BB62" i="1"/>
  <c r="BA62" i="1"/>
  <c r="AZ62" i="1"/>
  <c r="AY62" i="1"/>
  <c r="AX62" i="1"/>
  <c r="AU62" i="1"/>
  <c r="AS62" i="1"/>
  <c r="AR62" i="1"/>
  <c r="BG64" i="1"/>
  <c r="BF64" i="1"/>
  <c r="BE64" i="1"/>
  <c r="BD64" i="1"/>
  <c r="BB64" i="1"/>
  <c r="BA64" i="1"/>
  <c r="AZ64" i="1"/>
  <c r="AY64" i="1"/>
  <c r="AX64" i="1"/>
  <c r="AW64" i="1"/>
  <c r="AV64" i="1"/>
  <c r="AT64" i="1"/>
  <c r="AS64" i="1"/>
  <c r="AR64" i="1"/>
  <c r="BG63" i="1"/>
  <c r="BF63" i="1"/>
  <c r="BE63" i="1"/>
  <c r="BD63" i="1"/>
  <c r="BB63" i="1"/>
  <c r="BA63" i="1"/>
  <c r="AZ63" i="1"/>
  <c r="AY63" i="1"/>
  <c r="AX63" i="1"/>
  <c r="AW63" i="1"/>
  <c r="AV63" i="1"/>
  <c r="AT63" i="1"/>
  <c r="AS63" i="1"/>
  <c r="AR63" i="1"/>
  <c r="BE62" i="1"/>
  <c r="AW62" i="1"/>
  <c r="AV62" i="1"/>
  <c r="AT62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BA32" i="2" l="1"/>
  <c r="BA33" i="2" s="1"/>
  <c r="O36" i="2"/>
  <c r="BC36" i="2"/>
  <c r="AJ194" i="2"/>
  <c r="BC194" i="2"/>
  <c r="BH226" i="2"/>
  <c r="AL242" i="2"/>
  <c r="AT242" i="2"/>
  <c r="BJ242" i="2"/>
  <c r="AV179" i="2"/>
  <c r="AV180" i="2" s="1"/>
  <c r="AV59" i="1" s="1"/>
  <c r="AV47" i="1" s="1"/>
  <c r="AV44" i="1" s="1"/>
  <c r="AN179" i="2"/>
  <c r="AN180" i="2" s="1"/>
  <c r="AN59" i="1" s="1"/>
  <c r="AN47" i="1" s="1"/>
  <c r="AN44" i="1" s="1"/>
  <c r="AJ34" i="2"/>
  <c r="AS32" i="2"/>
  <c r="AS33" i="2" s="1"/>
  <c r="BC34" i="2"/>
  <c r="BK171" i="2"/>
  <c r="AE194" i="2"/>
  <c r="AR194" i="2"/>
  <c r="BH194" i="2"/>
  <c r="AK205" i="2"/>
  <c r="T206" i="2"/>
  <c r="AR226" i="2"/>
  <c r="U231" i="2"/>
  <c r="AJ237" i="2"/>
  <c r="AJ178" i="2"/>
  <c r="AJ179" i="2" s="1"/>
  <c r="AJ180" i="2" s="1"/>
  <c r="AJ59" i="1" s="1"/>
  <c r="AJ47" i="1" s="1"/>
  <c r="AJ44" i="1" s="1"/>
  <c r="AS178" i="2"/>
  <c r="N178" i="2"/>
  <c r="N179" i="2" s="1"/>
  <c r="N180" i="2" s="1"/>
  <c r="N59" i="1" s="1"/>
  <c r="N47" i="1" s="1"/>
  <c r="N44" i="1" s="1"/>
  <c r="AZ206" i="2"/>
  <c r="AU226" i="2"/>
  <c r="BA193" i="2"/>
  <c r="AB194" i="2"/>
  <c r="AR206" i="2"/>
  <c r="T36" i="2"/>
  <c r="T34" i="2" s="1"/>
  <c r="BH36" i="2"/>
  <c r="AK193" i="2"/>
  <c r="BI193" i="2"/>
  <c r="AU194" i="2"/>
  <c r="AK32" i="2"/>
  <c r="AK33" i="2" s="1"/>
  <c r="AB35" i="2"/>
  <c r="AB34" i="2" s="1"/>
  <c r="AR35" i="2"/>
  <c r="AR34" i="2" s="1"/>
  <c r="BH35" i="2"/>
  <c r="BH34" i="2" s="1"/>
  <c r="X34" i="2"/>
  <c r="AS205" i="2"/>
  <c r="AB206" i="2"/>
  <c r="AS231" i="2"/>
  <c r="AR237" i="2"/>
  <c r="BJ178" i="2"/>
  <c r="AL178" i="2"/>
  <c r="AV32" i="2"/>
  <c r="AV33" i="2" s="1"/>
  <c r="AT36" i="2"/>
  <c r="W36" i="2"/>
  <c r="W34" i="2" s="1"/>
  <c r="AU36" i="2"/>
  <c r="AU34" i="2" s="1"/>
  <c r="X32" i="2"/>
  <c r="X33" i="2" s="1"/>
  <c r="O35" i="2"/>
  <c r="AE35" i="2"/>
  <c r="AE34" i="2" s="1"/>
  <c r="AU35" i="2"/>
  <c r="AB242" i="2"/>
  <c r="BI178" i="2"/>
  <c r="BH178" i="2"/>
  <c r="AZ178" i="2"/>
  <c r="AR178" i="2"/>
  <c r="AB178" i="2"/>
  <c r="AB179" i="2" s="1"/>
  <c r="AB180" i="2" s="1"/>
  <c r="AB59" i="1" s="1"/>
  <c r="AB47" i="1" s="1"/>
  <c r="AB44" i="1" s="1"/>
  <c r="U35" i="2"/>
  <c r="AF34" i="2"/>
  <c r="AD194" i="2"/>
  <c r="W226" i="2"/>
  <c r="AM226" i="2"/>
  <c r="AY179" i="2"/>
  <c r="AY180" i="2" s="1"/>
  <c r="AY59" i="1" s="1"/>
  <c r="AY47" i="1" s="1"/>
  <c r="AY44" i="1" s="1"/>
  <c r="AC226" i="2"/>
  <c r="AG179" i="2"/>
  <c r="AG180" i="2" s="1"/>
  <c r="AG59" i="1" s="1"/>
  <c r="AG47" i="1" s="1"/>
  <c r="AG44" i="1" s="1"/>
  <c r="Q179" i="2"/>
  <c r="Q180" i="2" s="1"/>
  <c r="Q59" i="1" s="1"/>
  <c r="Q47" i="1" s="1"/>
  <c r="Q44" i="1" s="1"/>
  <c r="BF178" i="2"/>
  <c r="AX178" i="2"/>
  <c r="AX179" i="2" s="1"/>
  <c r="AX180" i="2" s="1"/>
  <c r="AX59" i="1" s="1"/>
  <c r="AX47" i="1" s="1"/>
  <c r="AX44" i="1" s="1"/>
  <c r="AP178" i="2"/>
  <c r="AH178" i="2"/>
  <c r="AH179" i="2" s="1"/>
  <c r="AH180" i="2" s="1"/>
  <c r="AH59" i="1" s="1"/>
  <c r="AH47" i="1" s="1"/>
  <c r="AH44" i="1" s="1"/>
  <c r="Z178" i="2"/>
  <c r="Z179" i="2" s="1"/>
  <c r="Z180" i="2" s="1"/>
  <c r="Z59" i="1" s="1"/>
  <c r="Z47" i="1" s="1"/>
  <c r="Z44" i="1" s="1"/>
  <c r="R178" i="2"/>
  <c r="R179" i="2" s="1"/>
  <c r="R180" i="2" s="1"/>
  <c r="R59" i="1" s="1"/>
  <c r="R47" i="1" s="1"/>
  <c r="R44" i="1" s="1"/>
  <c r="AD32" i="2"/>
  <c r="AD33" i="2" s="1"/>
  <c r="BA35" i="2"/>
  <c r="AL36" i="2"/>
  <c r="W194" i="2"/>
  <c r="O226" i="2"/>
  <c r="AD226" i="2"/>
  <c r="BE178" i="2"/>
  <c r="BE179" i="2" s="1"/>
  <c r="BE180" i="2" s="1"/>
  <c r="BE59" i="1" s="1"/>
  <c r="BE47" i="1" s="1"/>
  <c r="BE44" i="1" s="1"/>
  <c r="BJ36" i="2"/>
  <c r="AC35" i="2"/>
  <c r="AZ34" i="2"/>
  <c r="AU205" i="2"/>
  <c r="AE226" i="2"/>
  <c r="AF231" i="2"/>
  <c r="AK35" i="2"/>
  <c r="AT32" i="2"/>
  <c r="AT33" i="2" s="1"/>
  <c r="AD36" i="2"/>
  <c r="AD34" i="2" s="1"/>
  <c r="BB36" i="2"/>
  <c r="AM193" i="2"/>
  <c r="AD206" i="2"/>
  <c r="BC226" i="2"/>
  <c r="BC178" i="2"/>
  <c r="AE178" i="2"/>
  <c r="W178" i="2"/>
  <c r="W179" i="2" s="1"/>
  <c r="W180" i="2" s="1"/>
  <c r="W59" i="1" s="1"/>
  <c r="W47" i="1" s="1"/>
  <c r="W44" i="1" s="1"/>
  <c r="O178" i="2"/>
  <c r="O179" i="2" s="1"/>
  <c r="O180" i="2" s="1"/>
  <c r="O59" i="1" s="1"/>
  <c r="O47" i="1" s="1"/>
  <c r="O44" i="1" s="1"/>
  <c r="AH188" i="2"/>
  <c r="BJ32" i="2"/>
  <c r="BJ33" i="2" s="1"/>
  <c r="V194" i="2"/>
  <c r="V32" i="2"/>
  <c r="V33" i="2" s="1"/>
  <c r="AS35" i="2"/>
  <c r="V36" i="2"/>
  <c r="V34" i="2" s="1"/>
  <c r="O194" i="2"/>
  <c r="AM194" i="2"/>
  <c r="Y179" i="2"/>
  <c r="Y180" i="2" s="1"/>
  <c r="Y59" i="1" s="1"/>
  <c r="Y47" i="1" s="1"/>
  <c r="Y44" i="1" s="1"/>
  <c r="AW178" i="2"/>
  <c r="AW179" i="2" s="1"/>
  <c r="AW180" i="2" s="1"/>
  <c r="AW59" i="1" s="1"/>
  <c r="AW47" i="1" s="1"/>
  <c r="AW44" i="1" s="1"/>
  <c r="AO178" i="2"/>
  <c r="AM34" i="2"/>
  <c r="Q115" i="2"/>
  <c r="AO115" i="2"/>
  <c r="AW115" i="2"/>
  <c r="P34" i="2"/>
  <c r="BJ206" i="2"/>
  <c r="BG179" i="2"/>
  <c r="BG180" i="2" s="1"/>
  <c r="BG59" i="1" s="1"/>
  <c r="BG47" i="1" s="1"/>
  <c r="BG44" i="1" s="1"/>
  <c r="AO231" i="2"/>
  <c r="BK179" i="2"/>
  <c r="BK180" i="2" s="1"/>
  <c r="O217" i="2"/>
  <c r="W217" i="2"/>
  <c r="N218" i="2"/>
  <c r="M218" i="2" s="1"/>
  <c r="M34" i="2" s="1"/>
  <c r="AD218" i="2"/>
  <c r="BB218" i="2"/>
  <c r="BJ218" i="2"/>
  <c r="AL226" i="2"/>
  <c r="O205" i="2"/>
  <c r="AN211" i="2"/>
  <c r="AE217" i="2"/>
  <c r="BD179" i="2"/>
  <c r="BD180" i="2" s="1"/>
  <c r="BD59" i="1" s="1"/>
  <c r="BD47" i="1" s="1"/>
  <c r="BD44" i="1" s="1"/>
  <c r="AF179" i="2"/>
  <c r="AF180" i="2" s="1"/>
  <c r="AF59" i="1" s="1"/>
  <c r="AF47" i="1" s="1"/>
  <c r="AF44" i="1" s="1"/>
  <c r="BF179" i="2"/>
  <c r="BF180" i="2" s="1"/>
  <c r="BF59" i="1" s="1"/>
  <c r="BF47" i="1" s="1"/>
  <c r="BF44" i="1" s="1"/>
  <c r="AA179" i="2"/>
  <c r="AA180" i="2" s="1"/>
  <c r="AA59" i="1" s="1"/>
  <c r="AA47" i="1" s="1"/>
  <c r="AA44" i="1" s="1"/>
  <c r="X179" i="2"/>
  <c r="X180" i="2" s="1"/>
  <c r="X59" i="1" s="1"/>
  <c r="X47" i="1" s="1"/>
  <c r="X44" i="1" s="1"/>
  <c r="BH179" i="2"/>
  <c r="BH180" i="2" s="1"/>
  <c r="BH59" i="1" s="1"/>
  <c r="BH47" i="1" s="1"/>
  <c r="BH44" i="1" s="1"/>
  <c r="AZ179" i="2"/>
  <c r="AZ180" i="2" s="1"/>
  <c r="AZ59" i="1" s="1"/>
  <c r="AZ47" i="1" s="1"/>
  <c r="AZ44" i="1" s="1"/>
  <c r="AR179" i="2"/>
  <c r="AR180" i="2" s="1"/>
  <c r="AR59" i="1" s="1"/>
  <c r="AR47" i="1" s="1"/>
  <c r="AR44" i="1" s="1"/>
  <c r="T179" i="2"/>
  <c r="T180" i="2" s="1"/>
  <c r="T59" i="1" s="1"/>
  <c r="T47" i="1" s="1"/>
  <c r="T44" i="1" s="1"/>
  <c r="AP179" i="2"/>
  <c r="AP180" i="2" s="1"/>
  <c r="AP59" i="1" s="1"/>
  <c r="AP47" i="1" s="1"/>
  <c r="AP44" i="1" s="1"/>
  <c r="P179" i="2"/>
  <c r="P180" i="2" s="1"/>
  <c r="P59" i="1" s="1"/>
  <c r="P47" i="1" s="1"/>
  <c r="P44" i="1" s="1"/>
  <c r="AQ179" i="2"/>
  <c r="AQ180" i="2" s="1"/>
  <c r="AQ59" i="1" s="1"/>
  <c r="AQ47" i="1" s="1"/>
  <c r="AQ44" i="1" s="1"/>
  <c r="AI179" i="2"/>
  <c r="AI180" i="2" s="1"/>
  <c r="AI59" i="1" s="1"/>
  <c r="AI47" i="1" s="1"/>
  <c r="AI44" i="1" s="1"/>
  <c r="S179" i="2"/>
  <c r="S180" i="2" s="1"/>
  <c r="S59" i="1" s="1"/>
  <c r="S47" i="1" s="1"/>
  <c r="S44" i="1" s="1"/>
  <c r="BI179" i="2"/>
  <c r="BI180" i="2" s="1"/>
  <c r="BI59" i="1" s="1"/>
  <c r="BI47" i="1" s="1"/>
  <c r="BI44" i="1" s="1"/>
  <c r="BA179" i="2"/>
  <c r="BA180" i="2" s="1"/>
  <c r="BA59" i="1" s="1"/>
  <c r="BA47" i="1" s="1"/>
  <c r="BA44" i="1" s="1"/>
  <c r="AS179" i="2"/>
  <c r="AS180" i="2" s="1"/>
  <c r="AS59" i="1" s="1"/>
  <c r="AS47" i="1" s="1"/>
  <c r="AS44" i="1" s="1"/>
  <c r="AK179" i="2"/>
  <c r="AK180" i="2" s="1"/>
  <c r="AK59" i="1" s="1"/>
  <c r="AK47" i="1" s="1"/>
  <c r="AK44" i="1" s="1"/>
  <c r="AC179" i="2"/>
  <c r="AC180" i="2" s="1"/>
  <c r="AC59" i="1" s="1"/>
  <c r="AC47" i="1" s="1"/>
  <c r="AC44" i="1" s="1"/>
  <c r="U179" i="2"/>
  <c r="U180" i="2" s="1"/>
  <c r="U59" i="1" s="1"/>
  <c r="U47" i="1" s="1"/>
  <c r="U44" i="1" s="1"/>
  <c r="AO179" i="2"/>
  <c r="AO180" i="2" s="1"/>
  <c r="AO59" i="1" s="1"/>
  <c r="AO47" i="1" s="1"/>
  <c r="AO44" i="1" s="1"/>
  <c r="BC179" i="2"/>
  <c r="BC180" i="2" s="1"/>
  <c r="BC59" i="1" s="1"/>
  <c r="BC47" i="1" s="1"/>
  <c r="BC44" i="1" s="1"/>
  <c r="BB179" i="2"/>
  <c r="BB180" i="2" s="1"/>
  <c r="BB59" i="1" s="1"/>
  <c r="BB47" i="1" s="1"/>
  <c r="BB44" i="1" s="1"/>
  <c r="AT179" i="2"/>
  <c r="AT180" i="2" s="1"/>
  <c r="AT59" i="1" s="1"/>
  <c r="AT47" i="1" s="1"/>
  <c r="AT44" i="1" s="1"/>
  <c r="AL179" i="2"/>
  <c r="AL180" i="2" s="1"/>
  <c r="AL59" i="1" s="1"/>
  <c r="AL47" i="1" s="1"/>
  <c r="AL44" i="1" s="1"/>
  <c r="AD179" i="2"/>
  <c r="AD180" i="2" s="1"/>
  <c r="AD59" i="1" s="1"/>
  <c r="AD47" i="1" s="1"/>
  <c r="AD44" i="1" s="1"/>
  <c r="V179" i="2"/>
  <c r="V180" i="2" s="1"/>
  <c r="V59" i="1" s="1"/>
  <c r="V47" i="1" s="1"/>
  <c r="V44" i="1" s="1"/>
  <c r="BE35" i="2"/>
  <c r="BE34" i="2" s="1"/>
  <c r="R205" i="2"/>
  <c r="R231" i="2"/>
  <c r="AH32" i="2"/>
  <c r="AH33" i="2" s="1"/>
  <c r="AQ32" i="2"/>
  <c r="AQ33" i="2" s="1"/>
  <c r="AW35" i="2"/>
  <c r="BF35" i="2"/>
  <c r="BF34" i="2" s="1"/>
  <c r="R36" i="2"/>
  <c r="R34" i="2" s="1"/>
  <c r="AA34" i="2"/>
  <c r="S115" i="2"/>
  <c r="Q194" i="2"/>
  <c r="Z194" i="2"/>
  <c r="BE194" i="2"/>
  <c r="S205" i="2"/>
  <c r="AI205" i="2"/>
  <c r="AX205" i="2"/>
  <c r="Q206" i="2"/>
  <c r="AP226" i="2"/>
  <c r="R237" i="2"/>
  <c r="AO237" i="2"/>
  <c r="BE237" i="2"/>
  <c r="AH205" i="2"/>
  <c r="Q237" i="2"/>
  <c r="Z32" i="2"/>
  <c r="Z33" i="2" s="1"/>
  <c r="AO35" i="2"/>
  <c r="AX35" i="2"/>
  <c r="S34" i="2"/>
  <c r="BD34" i="2"/>
  <c r="AE115" i="2"/>
  <c r="AM115" i="2"/>
  <c r="Z193" i="2"/>
  <c r="R194" i="2"/>
  <c r="BF194" i="2"/>
  <c r="R206" i="2"/>
  <c r="AG206" i="2"/>
  <c r="AW206" i="2"/>
  <c r="AG226" i="2"/>
  <c r="BE226" i="2"/>
  <c r="Z231" i="2"/>
  <c r="AP237" i="2"/>
  <c r="BF237" i="2"/>
  <c r="AP231" i="2"/>
  <c r="R32" i="2"/>
  <c r="R33" i="2" s="1"/>
  <c r="AA32" i="2"/>
  <c r="AA33" i="2" s="1"/>
  <c r="O34" i="2"/>
  <c r="AG35" i="2"/>
  <c r="AG34" i="2" s="1"/>
  <c r="AP35" i="2"/>
  <c r="AV34" i="2"/>
  <c r="BE36" i="2"/>
  <c r="P115" i="2"/>
  <c r="X115" i="2"/>
  <c r="AF115" i="2"/>
  <c r="AN115" i="2"/>
  <c r="AV115" i="2"/>
  <c r="W188" i="2"/>
  <c r="AA193" i="2"/>
  <c r="AP193" i="2"/>
  <c r="BF193" i="2"/>
  <c r="AW194" i="2"/>
  <c r="AH206" i="2"/>
  <c r="AX206" i="2"/>
  <c r="Y226" i="2"/>
  <c r="AH226" i="2"/>
  <c r="BF226" i="2"/>
  <c r="Y237" i="2"/>
  <c r="N217" i="2"/>
  <c r="BB217" i="2"/>
  <c r="AU171" i="2"/>
  <c r="AU179" i="2" s="1"/>
  <c r="AU180" i="2" s="1"/>
  <c r="AU59" i="1" s="1"/>
  <c r="AU47" i="1" s="1"/>
  <c r="AU44" i="1" s="1"/>
  <c r="AM171" i="2"/>
  <c r="AM179" i="2" s="1"/>
  <c r="AM180" i="2" s="1"/>
  <c r="AM59" i="1" s="1"/>
  <c r="AM47" i="1" s="1"/>
  <c r="AM44" i="1" s="1"/>
  <c r="AE171" i="2"/>
  <c r="AP32" i="2"/>
  <c r="AP33" i="2" s="1"/>
  <c r="Y194" i="2"/>
  <c r="Y35" i="2"/>
  <c r="Y34" i="2" s="1"/>
  <c r="AH35" i="2"/>
  <c r="AH34" i="2" s="1"/>
  <c r="AW36" i="2"/>
  <c r="AW34" i="2" s="1"/>
  <c r="AQ193" i="2"/>
  <c r="BG193" i="2"/>
  <c r="AX194" i="2"/>
  <c r="Z205" i="2"/>
  <c r="Z226" i="2"/>
  <c r="Z237" i="2"/>
  <c r="BB34" i="2"/>
  <c r="BJ171" i="2"/>
  <c r="BJ179" i="2" s="1"/>
  <c r="BJ180" i="2" s="1"/>
  <c r="BJ59" i="1" s="1"/>
  <c r="BK59" i="1" s="1"/>
  <c r="Q36" i="2"/>
  <c r="Q35" i="2"/>
  <c r="Z35" i="2"/>
  <c r="Z34" i="2" s="1"/>
  <c r="AO36" i="2"/>
  <c r="AX36" i="2"/>
  <c r="AO194" i="2"/>
  <c r="AA205" i="2"/>
  <c r="BF205" i="2"/>
  <c r="X211" i="2"/>
  <c r="AW226" i="2"/>
  <c r="AG231" i="2"/>
  <c r="BF231" i="2"/>
  <c r="AG237" i="2"/>
  <c r="P242" i="2"/>
  <c r="AO226" i="2"/>
  <c r="AP36" i="2"/>
  <c r="AP34" i="2" s="1"/>
  <c r="R193" i="2"/>
  <c r="AH193" i="2"/>
  <c r="AX226" i="2"/>
  <c r="Y242" i="2"/>
  <c r="AW242" i="2"/>
  <c r="N34" i="2"/>
  <c r="T115" i="2"/>
  <c r="AB115" i="2"/>
  <c r="AJ115" i="2"/>
  <c r="AR115" i="2"/>
  <c r="AZ115" i="2"/>
  <c r="G133" i="2"/>
  <c r="G245" i="2" s="1"/>
  <c r="AM133" i="2"/>
  <c r="D133" i="2"/>
  <c r="D245" i="2" s="1"/>
  <c r="T133" i="2"/>
  <c r="AN34" i="2"/>
  <c r="K133" i="2"/>
  <c r="K245" i="2" s="1"/>
  <c r="AD193" i="2"/>
  <c r="BJ193" i="2"/>
  <c r="AL205" i="2"/>
  <c r="U206" i="2"/>
  <c r="BA206" i="2"/>
  <c r="U226" i="2"/>
  <c r="BB231" i="2"/>
  <c r="AE193" i="2"/>
  <c r="N194" i="2"/>
  <c r="M194" i="2" s="1"/>
  <c r="L194" i="2" s="1"/>
  <c r="K194" i="2" s="1"/>
  <c r="J194" i="2" s="1"/>
  <c r="I194" i="2" s="1"/>
  <c r="AM205" i="2"/>
  <c r="V206" i="2"/>
  <c r="BB206" i="2"/>
  <c r="AM217" i="2"/>
  <c r="AU217" i="2"/>
  <c r="AL218" i="2"/>
  <c r="AT218" i="2"/>
  <c r="V226" i="2"/>
  <c r="V231" i="2"/>
  <c r="AM231" i="2"/>
  <c r="V237" i="2"/>
  <c r="V193" i="2"/>
  <c r="BB193" i="2"/>
  <c r="AD205" i="2"/>
  <c r="BJ205" i="2"/>
  <c r="AS206" i="2"/>
  <c r="O211" i="2"/>
  <c r="W211" i="2"/>
  <c r="BC217" i="2"/>
  <c r="N226" i="2"/>
  <c r="BA237" i="2"/>
  <c r="O32" i="2"/>
  <c r="O33" i="2" s="1"/>
  <c r="W32" i="2"/>
  <c r="W33" i="2" s="1"/>
  <c r="AE32" i="2"/>
  <c r="AE33" i="2" s="1"/>
  <c r="AU32" i="2"/>
  <c r="AU33" i="2" s="1"/>
  <c r="BC32" i="2"/>
  <c r="BC33" i="2" s="1"/>
  <c r="AI34" i="2"/>
  <c r="AQ34" i="2"/>
  <c r="AY34" i="2"/>
  <c r="W193" i="2"/>
  <c r="BC193" i="2"/>
  <c r="BJ194" i="2"/>
  <c r="AE205" i="2"/>
  <c r="N206" i="2"/>
  <c r="AT206" i="2"/>
  <c r="BI226" i="2"/>
  <c r="BJ231" i="2"/>
  <c r="BB237" i="2"/>
  <c r="AZ133" i="2"/>
  <c r="N193" i="2"/>
  <c r="AT193" i="2"/>
  <c r="BB194" i="2"/>
  <c r="BB205" i="2"/>
  <c r="AK206" i="2"/>
  <c r="AM211" i="2"/>
  <c r="BA226" i="2"/>
  <c r="BJ226" i="2"/>
  <c r="AD237" i="2"/>
  <c r="O193" i="2"/>
  <c r="AU193" i="2"/>
  <c r="AT194" i="2"/>
  <c r="W205" i="2"/>
  <c r="BC205" i="2"/>
  <c r="AL206" i="2"/>
  <c r="V218" i="2"/>
  <c r="AS226" i="2"/>
  <c r="BB226" i="2"/>
  <c r="N237" i="2"/>
  <c r="AS237" i="2"/>
  <c r="S242" i="2"/>
  <c r="AO34" i="2"/>
  <c r="AL35" i="2"/>
  <c r="AL34" i="2" s="1"/>
  <c r="AT35" i="2"/>
  <c r="AT34" i="2" s="1"/>
  <c r="BJ35" i="2"/>
  <c r="U36" i="2"/>
  <c r="U34" i="2" s="1"/>
  <c r="AC36" i="2"/>
  <c r="AC34" i="2" s="1"/>
  <c r="AK36" i="2"/>
  <c r="AS36" i="2"/>
  <c r="BA36" i="2"/>
  <c r="BA34" i="2" s="1"/>
  <c r="BI36" i="2"/>
  <c r="BI34" i="2" s="1"/>
  <c r="AA115" i="2"/>
  <c r="AI115" i="2"/>
  <c r="AQ115" i="2"/>
  <c r="AY115" i="2"/>
  <c r="AL193" i="2"/>
  <c r="AL194" i="2"/>
  <c r="N205" i="2"/>
  <c r="M205" i="2" s="1"/>
  <c r="L205" i="2" s="1"/>
  <c r="AT205" i="2"/>
  <c r="AC206" i="2"/>
  <c r="BI206" i="2"/>
  <c r="AK226" i="2"/>
  <c r="AT226" i="2"/>
  <c r="AS242" i="2"/>
  <c r="BK240" i="2"/>
  <c r="BK32" i="2" s="1"/>
  <c r="BK33" i="2" s="1"/>
  <c r="S133" i="2"/>
  <c r="AI133" i="2"/>
  <c r="AQ133" i="2"/>
  <c r="AY133" i="2"/>
  <c r="BG133" i="2"/>
  <c r="L133" i="2"/>
  <c r="L245" i="2" s="1"/>
  <c r="AB133" i="2"/>
  <c r="G115" i="2"/>
  <c r="G242" i="2" s="1"/>
  <c r="H115" i="2"/>
  <c r="H242" i="2" s="1"/>
  <c r="AJ133" i="2"/>
  <c r="BH133" i="2"/>
  <c r="U115" i="2"/>
  <c r="AC115" i="2"/>
  <c r="AK115" i="2"/>
  <c r="AS115" i="2"/>
  <c r="BA115" i="2"/>
  <c r="P193" i="2"/>
  <c r="X193" i="2"/>
  <c r="AF193" i="2"/>
  <c r="AN193" i="2"/>
  <c r="AV193" i="2"/>
  <c r="BD193" i="2"/>
  <c r="P205" i="2"/>
  <c r="X205" i="2"/>
  <c r="AN205" i="2"/>
  <c r="AV205" i="2"/>
  <c r="BD205" i="2"/>
  <c r="O206" i="2"/>
  <c r="W206" i="2"/>
  <c r="AE206" i="2"/>
  <c r="AM206" i="2"/>
  <c r="AU206" i="2"/>
  <c r="AU211" i="2"/>
  <c r="P226" i="2"/>
  <c r="X226" i="2"/>
  <c r="AF226" i="2"/>
  <c r="AN226" i="2"/>
  <c r="AV226" i="2"/>
  <c r="BD226" i="2"/>
  <c r="N231" i="2"/>
  <c r="AT231" i="2"/>
  <c r="AK237" i="2"/>
  <c r="N115" i="2"/>
  <c r="V115" i="2"/>
  <c r="AD115" i="2"/>
  <c r="AL115" i="2"/>
  <c r="AT115" i="2"/>
  <c r="BB115" i="2"/>
  <c r="Q193" i="2"/>
  <c r="Y193" i="2"/>
  <c r="AG193" i="2"/>
  <c r="AO193" i="2"/>
  <c r="AW193" i="2"/>
  <c r="BE193" i="2"/>
  <c r="U194" i="2"/>
  <c r="AC194" i="2"/>
  <c r="BI194" i="2"/>
  <c r="Y205" i="2"/>
  <c r="AW205" i="2"/>
  <c r="BE205" i="2"/>
  <c r="P206" i="2"/>
  <c r="X206" i="2"/>
  <c r="AF206" i="2"/>
  <c r="AN206" i="2"/>
  <c r="AV206" i="2"/>
  <c r="BD206" i="2"/>
  <c r="Y231" i="2"/>
  <c r="S237" i="2"/>
  <c r="O115" i="2"/>
  <c r="W115" i="2"/>
  <c r="AU115" i="2"/>
  <c r="P217" i="2"/>
  <c r="X217" i="2"/>
  <c r="AF217" i="2"/>
  <c r="AN217" i="2"/>
  <c r="AV217" i="2"/>
  <c r="BD217" i="2"/>
  <c r="BD211" i="2"/>
  <c r="P231" i="2"/>
  <c r="AL231" i="2"/>
  <c r="AK242" i="2"/>
  <c r="Z211" i="2"/>
  <c r="AP211" i="2"/>
  <c r="BF211" i="2"/>
  <c r="BJ225" i="2"/>
  <c r="BJ42" i="2" s="1"/>
  <c r="BJ30" i="2" s="1"/>
  <c r="BB225" i="2"/>
  <c r="BB42" i="2" s="1"/>
  <c r="BB30" i="2" s="1"/>
  <c r="AT225" i="2"/>
  <c r="AT42" i="2" s="1"/>
  <c r="AT30" i="2" s="1"/>
  <c r="AL225" i="2"/>
  <c r="AL42" i="2" s="1"/>
  <c r="AL30" i="2" s="1"/>
  <c r="AD225" i="2"/>
  <c r="AD42" i="2" s="1"/>
  <c r="AD30" i="2" s="1"/>
  <c r="V225" i="2"/>
  <c r="V42" i="2" s="1"/>
  <c r="V30" i="2" s="1"/>
  <c r="N225" i="2"/>
  <c r="BI225" i="2"/>
  <c r="BI42" i="2" s="1"/>
  <c r="BI30" i="2" s="1"/>
  <c r="BA225" i="2"/>
  <c r="BA42" i="2" s="1"/>
  <c r="BA30" i="2" s="1"/>
  <c r="AS225" i="2"/>
  <c r="AS42" i="2" s="1"/>
  <c r="AS30" i="2" s="1"/>
  <c r="AK225" i="2"/>
  <c r="AK42" i="2" s="1"/>
  <c r="AK30" i="2" s="1"/>
  <c r="AC225" i="2"/>
  <c r="AC42" i="2" s="1"/>
  <c r="AC30" i="2" s="1"/>
  <c r="U225" i="2"/>
  <c r="U42" i="2" s="1"/>
  <c r="U30" i="2" s="1"/>
  <c r="BH225" i="2"/>
  <c r="BH42" i="2" s="1"/>
  <c r="BH30" i="2" s="1"/>
  <c r="AZ225" i="2"/>
  <c r="AZ42" i="2" s="1"/>
  <c r="AZ30" i="2" s="1"/>
  <c r="AR225" i="2"/>
  <c r="AR42" i="2" s="1"/>
  <c r="AR30" i="2" s="1"/>
  <c r="AJ225" i="2"/>
  <c r="AJ42" i="2" s="1"/>
  <c r="AJ30" i="2" s="1"/>
  <c r="AB225" i="2"/>
  <c r="AB42" i="2" s="1"/>
  <c r="AB30" i="2" s="1"/>
  <c r="T225" i="2"/>
  <c r="T42" i="2" s="1"/>
  <c r="T30" i="2" s="1"/>
  <c r="BG225" i="2"/>
  <c r="BG42" i="2" s="1"/>
  <c r="BG30" i="2" s="1"/>
  <c r="AY225" i="2"/>
  <c r="AY42" i="2" s="1"/>
  <c r="AY30" i="2" s="1"/>
  <c r="AQ225" i="2"/>
  <c r="AQ42" i="2" s="1"/>
  <c r="AQ30" i="2" s="1"/>
  <c r="AI225" i="2"/>
  <c r="AI42" i="2" s="1"/>
  <c r="AI30" i="2" s="1"/>
  <c r="AA225" i="2"/>
  <c r="AA42" i="2" s="1"/>
  <c r="AA30" i="2" s="1"/>
  <c r="S225" i="2"/>
  <c r="S42" i="2" s="1"/>
  <c r="S30" i="2" s="1"/>
  <c r="BE225" i="2"/>
  <c r="BE42" i="2" s="1"/>
  <c r="BE30" i="2" s="1"/>
  <c r="AW225" i="2"/>
  <c r="AW42" i="2" s="1"/>
  <c r="AW30" i="2" s="1"/>
  <c r="AO225" i="2"/>
  <c r="AO42" i="2" s="1"/>
  <c r="AO30" i="2" s="1"/>
  <c r="AG225" i="2"/>
  <c r="AG42" i="2" s="1"/>
  <c r="AG30" i="2" s="1"/>
  <c r="Y225" i="2"/>
  <c r="Y42" i="2" s="1"/>
  <c r="Y30" i="2" s="1"/>
  <c r="Q225" i="2"/>
  <c r="Q42" i="2" s="1"/>
  <c r="Q30" i="2" s="1"/>
  <c r="BD225" i="2"/>
  <c r="BD42" i="2" s="1"/>
  <c r="BD30" i="2" s="1"/>
  <c r="AH225" i="2"/>
  <c r="AH42" i="2" s="1"/>
  <c r="AH30" i="2" s="1"/>
  <c r="O225" i="2"/>
  <c r="O42" i="2" s="1"/>
  <c r="O30" i="2" s="1"/>
  <c r="BC225" i="2"/>
  <c r="BC42" i="2" s="1"/>
  <c r="BC30" i="2" s="1"/>
  <c r="AF225" i="2"/>
  <c r="AF42" i="2" s="1"/>
  <c r="AF30" i="2" s="1"/>
  <c r="AX225" i="2"/>
  <c r="AX42" i="2" s="1"/>
  <c r="AX30" i="2" s="1"/>
  <c r="AE225" i="2"/>
  <c r="AE42" i="2" s="1"/>
  <c r="AE30" i="2" s="1"/>
  <c r="AV225" i="2"/>
  <c r="AV42" i="2" s="1"/>
  <c r="AV30" i="2" s="1"/>
  <c r="Z225" i="2"/>
  <c r="Z42" i="2" s="1"/>
  <c r="Z30" i="2" s="1"/>
  <c r="AU225" i="2"/>
  <c r="AU42" i="2" s="1"/>
  <c r="AU30" i="2" s="1"/>
  <c r="X225" i="2"/>
  <c r="X42" i="2" s="1"/>
  <c r="X30" i="2" s="1"/>
  <c r="AP225" i="2"/>
  <c r="AP42" i="2" s="1"/>
  <c r="AP30" i="2" s="1"/>
  <c r="W225" i="2"/>
  <c r="W42" i="2" s="1"/>
  <c r="W30" i="2" s="1"/>
  <c r="AN225" i="2"/>
  <c r="AN42" i="2" s="1"/>
  <c r="AN30" i="2" s="1"/>
  <c r="R225" i="2"/>
  <c r="R42" i="2" s="1"/>
  <c r="R30" i="2" s="1"/>
  <c r="BF225" i="2"/>
  <c r="BF42" i="2" s="1"/>
  <c r="BF30" i="2" s="1"/>
  <c r="P225" i="2"/>
  <c r="P42" i="2" s="1"/>
  <c r="P30" i="2" s="1"/>
  <c r="AM225" i="2"/>
  <c r="AM42" i="2" s="1"/>
  <c r="AM30" i="2" s="1"/>
  <c r="D240" i="2"/>
  <c r="D115" i="2"/>
  <c r="D242" i="2" s="1"/>
  <c r="L240" i="2"/>
  <c r="L115" i="2"/>
  <c r="L242" i="2" s="1"/>
  <c r="L248" i="2" s="1"/>
  <c r="I241" i="2"/>
  <c r="I244" i="2" s="1"/>
  <c r="I259" i="2" s="1"/>
  <c r="I115" i="2"/>
  <c r="I242" i="2" s="1"/>
  <c r="E133" i="2"/>
  <c r="E245" i="2" s="1"/>
  <c r="M133" i="2"/>
  <c r="M245" i="2" s="1"/>
  <c r="U212" i="2"/>
  <c r="U190" i="2"/>
  <c r="U188" i="2"/>
  <c r="U189" i="2"/>
  <c r="U133" i="2"/>
  <c r="AC212" i="2"/>
  <c r="AC190" i="2"/>
  <c r="AC188" i="2"/>
  <c r="AC189" i="2"/>
  <c r="AC133" i="2"/>
  <c r="AK212" i="2"/>
  <c r="AK190" i="2"/>
  <c r="AK188" i="2"/>
  <c r="AK189" i="2"/>
  <c r="AK133" i="2"/>
  <c r="AS212" i="2"/>
  <c r="AS190" i="2"/>
  <c r="AS188" i="2"/>
  <c r="AS189" i="2"/>
  <c r="AS133" i="2"/>
  <c r="BA212" i="2"/>
  <c r="BA190" i="2"/>
  <c r="BA188" i="2"/>
  <c r="BA189" i="2"/>
  <c r="BA133" i="2"/>
  <c r="BI212" i="2"/>
  <c r="BI190" i="2"/>
  <c r="BI188" i="2"/>
  <c r="BI189" i="2"/>
  <c r="BI133" i="2"/>
  <c r="R202" i="2"/>
  <c r="R200" i="2"/>
  <c r="R201" i="2"/>
  <c r="Z202" i="2"/>
  <c r="Z201" i="2"/>
  <c r="Z200" i="2"/>
  <c r="AH202" i="2"/>
  <c r="AH200" i="2"/>
  <c r="AH201" i="2"/>
  <c r="AP202" i="2"/>
  <c r="AP201" i="2"/>
  <c r="AP200" i="2"/>
  <c r="AX202" i="2"/>
  <c r="AX201" i="2"/>
  <c r="AX200" i="2"/>
  <c r="BF202" i="2"/>
  <c r="BF200" i="2"/>
  <c r="BF201" i="2"/>
  <c r="O224" i="2"/>
  <c r="O222" i="2"/>
  <c r="O223" i="2" s="1"/>
  <c r="O133" i="2"/>
  <c r="W224" i="2"/>
  <c r="W222" i="2"/>
  <c r="W223" i="2" s="1"/>
  <c r="AE224" i="2"/>
  <c r="AE222" i="2"/>
  <c r="AE223" i="2" s="1"/>
  <c r="AM224" i="2"/>
  <c r="AM222" i="2"/>
  <c r="AM223" i="2" s="1"/>
  <c r="AU224" i="2"/>
  <c r="AU222" i="2"/>
  <c r="AU223" i="2" s="1"/>
  <c r="Y115" i="2"/>
  <c r="AG115" i="2"/>
  <c r="AE133" i="2"/>
  <c r="K243" i="2"/>
  <c r="K258" i="2" s="1"/>
  <c r="H259" i="2"/>
  <c r="E115" i="2"/>
  <c r="E242" i="2" s="1"/>
  <c r="E243" i="2"/>
  <c r="E258" i="2" s="1"/>
  <c r="M243" i="2"/>
  <c r="M258" i="2" s="1"/>
  <c r="M197" i="2"/>
  <c r="J259" i="2"/>
  <c r="F133" i="2"/>
  <c r="F245" i="2" s="1"/>
  <c r="N212" i="2"/>
  <c r="N190" i="2"/>
  <c r="N188" i="2"/>
  <c r="N189" i="2"/>
  <c r="N133" i="2"/>
  <c r="V212" i="2"/>
  <c r="V190" i="2"/>
  <c r="V188" i="2"/>
  <c r="V189" i="2"/>
  <c r="V133" i="2"/>
  <c r="AD212" i="2"/>
  <c r="AD190" i="2"/>
  <c r="AD188" i="2"/>
  <c r="AD189" i="2"/>
  <c r="AD133" i="2"/>
  <c r="AL190" i="2"/>
  <c r="AL188" i="2"/>
  <c r="AL189" i="2"/>
  <c r="AL133" i="2"/>
  <c r="AL212" i="2"/>
  <c r="AT212" i="2"/>
  <c r="AT190" i="2"/>
  <c r="AT188" i="2"/>
  <c r="AT189" i="2"/>
  <c r="AT133" i="2"/>
  <c r="BB190" i="2"/>
  <c r="BB188" i="2"/>
  <c r="BB189" i="2"/>
  <c r="BB212" i="2"/>
  <c r="BB133" i="2"/>
  <c r="BJ212" i="2"/>
  <c r="BJ190" i="2"/>
  <c r="BJ188" i="2"/>
  <c r="BJ189" i="2"/>
  <c r="BJ133" i="2"/>
  <c r="S202" i="2"/>
  <c r="S200" i="2"/>
  <c r="S201" i="2"/>
  <c r="AA202" i="2"/>
  <c r="AA200" i="2"/>
  <c r="AA201" i="2"/>
  <c r="AI202" i="2"/>
  <c r="AI200" i="2"/>
  <c r="AI201" i="2"/>
  <c r="AQ202" i="2"/>
  <c r="AQ201" i="2"/>
  <c r="AQ200" i="2"/>
  <c r="AY202" i="2"/>
  <c r="AY200" i="2"/>
  <c r="AY201" i="2"/>
  <c r="BG202" i="2"/>
  <c r="BG200" i="2"/>
  <c r="BG201" i="2"/>
  <c r="P224" i="2"/>
  <c r="P222" i="2"/>
  <c r="P223" i="2" s="1"/>
  <c r="X224" i="2"/>
  <c r="X222" i="2"/>
  <c r="X223" i="2" s="1"/>
  <c r="AF224" i="2"/>
  <c r="AF222" i="2"/>
  <c r="AF223" i="2" s="1"/>
  <c r="AN224" i="2"/>
  <c r="AN222" i="2"/>
  <c r="AN223" i="2" s="1"/>
  <c r="AV224" i="2"/>
  <c r="AV222" i="2"/>
  <c r="AV223" i="2" s="1"/>
  <c r="U229" i="2"/>
  <c r="U230" i="2"/>
  <c r="U39" i="2" s="1"/>
  <c r="U27" i="2" s="1"/>
  <c r="AC229" i="2"/>
  <c r="AC230" i="2"/>
  <c r="AC39" i="2" s="1"/>
  <c r="AC27" i="2" s="1"/>
  <c r="AK229" i="2"/>
  <c r="AK230" i="2"/>
  <c r="AK39" i="2" s="1"/>
  <c r="AK27" i="2" s="1"/>
  <c r="AS229" i="2"/>
  <c r="AS230" i="2"/>
  <c r="AS39" i="2" s="1"/>
  <c r="AS27" i="2" s="1"/>
  <c r="BA229" i="2"/>
  <c r="BA230" i="2"/>
  <c r="BA39" i="2" s="1"/>
  <c r="BA27" i="2" s="1"/>
  <c r="BI229" i="2"/>
  <c r="BI230" i="2"/>
  <c r="BI39" i="2" s="1"/>
  <c r="BI27" i="2" s="1"/>
  <c r="R235" i="2"/>
  <c r="R236" i="2"/>
  <c r="R43" i="2" s="1"/>
  <c r="R31" i="2" s="1"/>
  <c r="Z235" i="2"/>
  <c r="Z236" i="2"/>
  <c r="Z43" i="2" s="1"/>
  <c r="Z31" i="2" s="1"/>
  <c r="AH235" i="2"/>
  <c r="AH236" i="2"/>
  <c r="AH43" i="2" s="1"/>
  <c r="AH31" i="2" s="1"/>
  <c r="AP235" i="2"/>
  <c r="AP236" i="2"/>
  <c r="AP43" i="2" s="1"/>
  <c r="AP31" i="2" s="1"/>
  <c r="AX235" i="2"/>
  <c r="AX236" i="2"/>
  <c r="AX43" i="2" s="1"/>
  <c r="AX31" i="2" s="1"/>
  <c r="BF235" i="2"/>
  <c r="BF236" i="2"/>
  <c r="BF43" i="2" s="1"/>
  <c r="BF31" i="2" s="1"/>
  <c r="F240" i="2"/>
  <c r="F115" i="2"/>
  <c r="F242" i="2" s="1"/>
  <c r="K259" i="2"/>
  <c r="G243" i="2"/>
  <c r="G258" i="2" s="1"/>
  <c r="D259" i="2"/>
  <c r="L244" i="2"/>
  <c r="L259" i="2" s="1"/>
  <c r="K115" i="2"/>
  <c r="K242" i="2" s="1"/>
  <c r="H133" i="2"/>
  <c r="H245" i="2" s="1"/>
  <c r="P133" i="2"/>
  <c r="X133" i="2"/>
  <c r="AF133" i="2"/>
  <c r="AN133" i="2"/>
  <c r="AV133" i="2"/>
  <c r="BD133" i="2"/>
  <c r="H243" i="2"/>
  <c r="H258" i="2" s="1"/>
  <c r="E259" i="2"/>
  <c r="M244" i="2"/>
  <c r="M259" i="2" s="1"/>
  <c r="I243" i="2"/>
  <c r="I258" i="2" s="1"/>
  <c r="F259" i="2"/>
  <c r="M115" i="2"/>
  <c r="M242" i="2" s="1"/>
  <c r="J133" i="2"/>
  <c r="J245" i="2" s="1"/>
  <c r="R212" i="2"/>
  <c r="R189" i="2"/>
  <c r="R188" i="2"/>
  <c r="R190" i="2"/>
  <c r="R133" i="2"/>
  <c r="Z212" i="2"/>
  <c r="Z189" i="2"/>
  <c r="Z190" i="2"/>
  <c r="Z188" i="2"/>
  <c r="Z133" i="2"/>
  <c r="AH212" i="2"/>
  <c r="AH189" i="2"/>
  <c r="AH190" i="2"/>
  <c r="AH133" i="2"/>
  <c r="AP212" i="2"/>
  <c r="AP214" i="2"/>
  <c r="AP189" i="2"/>
  <c r="AP188" i="2"/>
  <c r="AP190" i="2"/>
  <c r="AP133" i="2"/>
  <c r="AX212" i="2"/>
  <c r="AX189" i="2"/>
  <c r="AX190" i="2"/>
  <c r="AX188" i="2"/>
  <c r="AX133" i="2"/>
  <c r="BF212" i="2"/>
  <c r="BF189" i="2"/>
  <c r="BF190" i="2"/>
  <c r="BF188" i="2"/>
  <c r="BF133" i="2"/>
  <c r="O213" i="2"/>
  <c r="O201" i="2"/>
  <c r="O202" i="2"/>
  <c r="O200" i="2"/>
  <c r="W201" i="2"/>
  <c r="W213" i="2"/>
  <c r="W200" i="2"/>
  <c r="W202" i="2"/>
  <c r="AE213" i="2"/>
  <c r="AE201" i="2"/>
  <c r="AE202" i="2"/>
  <c r="AE200" i="2"/>
  <c r="AM201" i="2"/>
  <c r="AM213" i="2"/>
  <c r="AM202" i="2"/>
  <c r="AM200" i="2"/>
  <c r="AU213" i="2"/>
  <c r="AU201" i="2"/>
  <c r="AU202" i="2"/>
  <c r="AU200" i="2"/>
  <c r="BC201" i="2"/>
  <c r="BC213" i="2"/>
  <c r="BC202" i="2"/>
  <c r="BC200" i="2"/>
  <c r="BC133" i="2"/>
  <c r="T224" i="2"/>
  <c r="T222" i="2"/>
  <c r="T223" i="2" s="1"/>
  <c r="AB224" i="2"/>
  <c r="AB222" i="2"/>
  <c r="AB223" i="2" s="1"/>
  <c r="AJ224" i="2"/>
  <c r="AJ222" i="2"/>
  <c r="AJ223" i="2" s="1"/>
  <c r="AR224" i="2"/>
  <c r="AR222" i="2"/>
  <c r="AR223" i="2" s="1"/>
  <c r="AZ224" i="2"/>
  <c r="AZ222" i="2"/>
  <c r="AZ223" i="2" s="1"/>
  <c r="Q230" i="2"/>
  <c r="Q39" i="2" s="1"/>
  <c r="Q27" i="2" s="1"/>
  <c r="Q229" i="2"/>
  <c r="Y230" i="2"/>
  <c r="Y39" i="2" s="1"/>
  <c r="Y27" i="2" s="1"/>
  <c r="Y229" i="2"/>
  <c r="AG230" i="2"/>
  <c r="AG39" i="2" s="1"/>
  <c r="AG27" i="2" s="1"/>
  <c r="AG229" i="2"/>
  <c r="AO230" i="2"/>
  <c r="AO39" i="2" s="1"/>
  <c r="AO27" i="2" s="1"/>
  <c r="AO229" i="2"/>
  <c r="AW230" i="2"/>
  <c r="AW39" i="2" s="1"/>
  <c r="AW27" i="2" s="1"/>
  <c r="AW229" i="2"/>
  <c r="BE230" i="2"/>
  <c r="BE39" i="2" s="1"/>
  <c r="BE27" i="2" s="1"/>
  <c r="BE229" i="2"/>
  <c r="N236" i="2"/>
  <c r="N235" i="2"/>
  <c r="V236" i="2"/>
  <c r="V43" i="2" s="1"/>
  <c r="V31" i="2" s="1"/>
  <c r="V235" i="2"/>
  <c r="AD236" i="2"/>
  <c r="AD43" i="2" s="1"/>
  <c r="AD31" i="2" s="1"/>
  <c r="AD235" i="2"/>
  <c r="AL236" i="2"/>
  <c r="AL43" i="2" s="1"/>
  <c r="AL31" i="2" s="1"/>
  <c r="AL235" i="2"/>
  <c r="AT236" i="2"/>
  <c r="AT43" i="2" s="1"/>
  <c r="AT31" i="2" s="1"/>
  <c r="AT235" i="2"/>
  <c r="BB236" i="2"/>
  <c r="BB43" i="2" s="1"/>
  <c r="BB31" i="2" s="1"/>
  <c r="BB235" i="2"/>
  <c r="BJ236" i="2"/>
  <c r="BJ43" i="2" s="1"/>
  <c r="BJ31" i="2" s="1"/>
  <c r="BJ235" i="2"/>
  <c r="W133" i="2"/>
  <c r="AR133" i="2"/>
  <c r="J240" i="2"/>
  <c r="J115" i="2"/>
  <c r="J242" i="2" s="1"/>
  <c r="R115" i="2"/>
  <c r="Z115" i="2"/>
  <c r="AH115" i="2"/>
  <c r="AP115" i="2"/>
  <c r="AX115" i="2"/>
  <c r="G259" i="2"/>
  <c r="S212" i="2"/>
  <c r="S190" i="2"/>
  <c r="S188" i="2"/>
  <c r="S214" i="2"/>
  <c r="S189" i="2"/>
  <c r="AA212" i="2"/>
  <c r="AA190" i="2"/>
  <c r="AA188" i="2"/>
  <c r="AA189" i="2"/>
  <c r="AI212" i="2"/>
  <c r="AI190" i="2"/>
  <c r="AI188" i="2"/>
  <c r="AI189" i="2"/>
  <c r="AQ212" i="2"/>
  <c r="AQ190" i="2"/>
  <c r="AQ188" i="2"/>
  <c r="AQ214" i="2"/>
  <c r="AQ189" i="2"/>
  <c r="AY212" i="2"/>
  <c r="AY190" i="2"/>
  <c r="AY188" i="2"/>
  <c r="AY189" i="2"/>
  <c r="BG212" i="2"/>
  <c r="BG190" i="2"/>
  <c r="BG188" i="2"/>
  <c r="BG189" i="2"/>
  <c r="P201" i="2"/>
  <c r="P202" i="2"/>
  <c r="P200" i="2"/>
  <c r="X201" i="2"/>
  <c r="X202" i="2"/>
  <c r="X200" i="2"/>
  <c r="AF201" i="2"/>
  <c r="AF202" i="2"/>
  <c r="AF200" i="2"/>
  <c r="AN201" i="2"/>
  <c r="AN202" i="2"/>
  <c r="AN200" i="2"/>
  <c r="AV201" i="2"/>
  <c r="AV202" i="2"/>
  <c r="AV200" i="2"/>
  <c r="BD201" i="2"/>
  <c r="BD202" i="2"/>
  <c r="BD200" i="2"/>
  <c r="U222" i="2"/>
  <c r="U223" i="2" s="1"/>
  <c r="U224" i="2"/>
  <c r="AC224" i="2"/>
  <c r="AC222" i="2"/>
  <c r="AC223" i="2" s="1"/>
  <c r="AK222" i="2"/>
  <c r="AK223" i="2" s="1"/>
  <c r="AK224" i="2"/>
  <c r="AS222" i="2"/>
  <c r="AS223" i="2" s="1"/>
  <c r="AS224" i="2"/>
  <c r="BA222" i="2"/>
  <c r="BA223" i="2" s="1"/>
  <c r="BA224" i="2"/>
  <c r="R230" i="2"/>
  <c r="R39" i="2" s="1"/>
  <c r="R27" i="2" s="1"/>
  <c r="R229" i="2"/>
  <c r="Z230" i="2"/>
  <c r="Z39" i="2" s="1"/>
  <c r="Z27" i="2" s="1"/>
  <c r="Z229" i="2"/>
  <c r="AH230" i="2"/>
  <c r="AH39" i="2" s="1"/>
  <c r="AH27" i="2" s="1"/>
  <c r="AH229" i="2"/>
  <c r="AP230" i="2"/>
  <c r="AP39" i="2" s="1"/>
  <c r="AP27" i="2" s="1"/>
  <c r="AP229" i="2"/>
  <c r="AX230" i="2"/>
  <c r="AX39" i="2" s="1"/>
  <c r="AX27" i="2" s="1"/>
  <c r="AX229" i="2"/>
  <c r="BF230" i="2"/>
  <c r="BF39" i="2" s="1"/>
  <c r="BF27" i="2" s="1"/>
  <c r="BF229" i="2"/>
  <c r="O236" i="2"/>
  <c r="O43" i="2" s="1"/>
  <c r="O31" i="2" s="1"/>
  <c r="O235" i="2"/>
  <c r="W236" i="2"/>
  <c r="W43" i="2" s="1"/>
  <c r="W31" i="2" s="1"/>
  <c r="W235" i="2"/>
  <c r="AE236" i="2"/>
  <c r="AE43" i="2" s="1"/>
  <c r="AE31" i="2" s="1"/>
  <c r="AE235" i="2"/>
  <c r="AM236" i="2"/>
  <c r="AM43" i="2" s="1"/>
  <c r="AM31" i="2" s="1"/>
  <c r="AM235" i="2"/>
  <c r="AU236" i="2"/>
  <c r="AU43" i="2" s="1"/>
  <c r="AU31" i="2" s="1"/>
  <c r="AU235" i="2"/>
  <c r="BC236" i="2"/>
  <c r="BC43" i="2" s="1"/>
  <c r="BC31" i="2" s="1"/>
  <c r="BC235" i="2"/>
  <c r="AA133" i="2"/>
  <c r="AU133" i="2"/>
  <c r="Q212" i="2"/>
  <c r="Q189" i="2"/>
  <c r="Q192" i="2" s="1"/>
  <c r="Q188" i="2"/>
  <c r="Y212" i="2"/>
  <c r="Y189" i="2"/>
  <c r="Y190" i="2"/>
  <c r="Y188" i="2"/>
  <c r="AG212" i="2"/>
  <c r="AG189" i="2"/>
  <c r="AG190" i="2"/>
  <c r="AG188" i="2"/>
  <c r="AO212" i="2"/>
  <c r="AO189" i="2"/>
  <c r="AO188" i="2"/>
  <c r="AO190" i="2"/>
  <c r="AW212" i="2"/>
  <c r="AW189" i="2"/>
  <c r="AW190" i="2"/>
  <c r="AW188" i="2"/>
  <c r="BE212" i="2"/>
  <c r="BE189" i="2"/>
  <c r="BE188" i="2"/>
  <c r="BE190" i="2"/>
  <c r="N202" i="2"/>
  <c r="N201" i="2"/>
  <c r="N203" i="2" s="1"/>
  <c r="N200" i="2"/>
  <c r="V201" i="2"/>
  <c r="V200" i="2"/>
  <c r="V202" i="2"/>
  <c r="AD202" i="2"/>
  <c r="AD201" i="2"/>
  <c r="AD200" i="2"/>
  <c r="AL202" i="2"/>
  <c r="AL200" i="2"/>
  <c r="AL201" i="2"/>
  <c r="AT202" i="2"/>
  <c r="AT201" i="2"/>
  <c r="AT200" i="2"/>
  <c r="BB201" i="2"/>
  <c r="BB202" i="2"/>
  <c r="BB204" i="2" s="1"/>
  <c r="BB139" i="2" s="1"/>
  <c r="BB150" i="2" s="1"/>
  <c r="BB200" i="2"/>
  <c r="BJ201" i="2"/>
  <c r="BJ202" i="2"/>
  <c r="BJ200" i="2"/>
  <c r="S222" i="2"/>
  <c r="S223" i="2" s="1"/>
  <c r="S224" i="2"/>
  <c r="AA222" i="2"/>
  <c r="AA223" i="2" s="1"/>
  <c r="AA224" i="2"/>
  <c r="AI222" i="2"/>
  <c r="AI223" i="2" s="1"/>
  <c r="AI224" i="2"/>
  <c r="AQ222" i="2"/>
  <c r="AQ223" i="2" s="1"/>
  <c r="AQ224" i="2"/>
  <c r="AY222" i="2"/>
  <c r="AY223" i="2" s="1"/>
  <c r="AY224" i="2"/>
  <c r="P230" i="2"/>
  <c r="P39" i="2" s="1"/>
  <c r="P27" i="2" s="1"/>
  <c r="P229" i="2"/>
  <c r="X229" i="2"/>
  <c r="X230" i="2"/>
  <c r="X39" i="2" s="1"/>
  <c r="X27" i="2" s="1"/>
  <c r="AF230" i="2"/>
  <c r="AF39" i="2" s="1"/>
  <c r="AF27" i="2" s="1"/>
  <c r="AF229" i="2"/>
  <c r="AN229" i="2"/>
  <c r="AN230" i="2"/>
  <c r="AN39" i="2" s="1"/>
  <c r="AN27" i="2" s="1"/>
  <c r="AV230" i="2"/>
  <c r="AV39" i="2" s="1"/>
  <c r="AV27" i="2" s="1"/>
  <c r="AV229" i="2"/>
  <c r="BD230" i="2"/>
  <c r="BD39" i="2" s="1"/>
  <c r="BD27" i="2" s="1"/>
  <c r="BD229" i="2"/>
  <c r="U236" i="2"/>
  <c r="U43" i="2" s="1"/>
  <c r="U31" i="2" s="1"/>
  <c r="U235" i="2"/>
  <c r="AC236" i="2"/>
  <c r="AC43" i="2" s="1"/>
  <c r="AC31" i="2" s="1"/>
  <c r="AC235" i="2"/>
  <c r="AK236" i="2"/>
  <c r="AK43" i="2" s="1"/>
  <c r="AK31" i="2" s="1"/>
  <c r="AK235" i="2"/>
  <c r="AS236" i="2"/>
  <c r="AS43" i="2" s="1"/>
  <c r="AS31" i="2" s="1"/>
  <c r="AS235" i="2"/>
  <c r="BA236" i="2"/>
  <c r="BA43" i="2" s="1"/>
  <c r="BA31" i="2" s="1"/>
  <c r="BA235" i="2"/>
  <c r="BI236" i="2"/>
  <c r="BI43" i="2" s="1"/>
  <c r="BI31" i="2" s="1"/>
  <c r="BI235" i="2"/>
  <c r="AV188" i="2"/>
  <c r="T212" i="2"/>
  <c r="T189" i="2"/>
  <c r="T190" i="2"/>
  <c r="T188" i="2"/>
  <c r="AB212" i="2"/>
  <c r="AB188" i="2"/>
  <c r="AB189" i="2"/>
  <c r="AB190" i="2"/>
  <c r="AJ212" i="2"/>
  <c r="AJ189" i="2"/>
  <c r="AJ190" i="2"/>
  <c r="AJ188" i="2"/>
  <c r="AR212" i="2"/>
  <c r="AR188" i="2"/>
  <c r="AR189" i="2"/>
  <c r="AR190" i="2"/>
  <c r="AZ212" i="2"/>
  <c r="AZ190" i="2"/>
  <c r="AZ188" i="2"/>
  <c r="BH212" i="2"/>
  <c r="BH189" i="2"/>
  <c r="BH190" i="2"/>
  <c r="Q201" i="2"/>
  <c r="Q202" i="2"/>
  <c r="Q200" i="2"/>
  <c r="Y201" i="2"/>
  <c r="Y202" i="2"/>
  <c r="Y200" i="2"/>
  <c r="AG201" i="2"/>
  <c r="AG202" i="2"/>
  <c r="AG200" i="2"/>
  <c r="AO201" i="2"/>
  <c r="AO202" i="2"/>
  <c r="AO200" i="2"/>
  <c r="AW201" i="2"/>
  <c r="AW202" i="2"/>
  <c r="AW200" i="2"/>
  <c r="BE201" i="2"/>
  <c r="BE202" i="2"/>
  <c r="BE200" i="2"/>
  <c r="N224" i="2"/>
  <c r="N222" i="2"/>
  <c r="N223" i="2" s="1"/>
  <c r="V224" i="2"/>
  <c r="V222" i="2"/>
  <c r="V223" i="2" s="1"/>
  <c r="AD224" i="2"/>
  <c r="AD222" i="2"/>
  <c r="AD223" i="2" s="1"/>
  <c r="AL224" i="2"/>
  <c r="AL222" i="2"/>
  <c r="AL223" i="2" s="1"/>
  <c r="AT224" i="2"/>
  <c r="AT222" i="2"/>
  <c r="AT223" i="2" s="1"/>
  <c r="BB224" i="2"/>
  <c r="BB222" i="2"/>
  <c r="BB223" i="2" s="1"/>
  <c r="S230" i="2"/>
  <c r="S39" i="2" s="1"/>
  <c r="S27" i="2" s="1"/>
  <c r="S229" i="2"/>
  <c r="AA230" i="2"/>
  <c r="AA39" i="2" s="1"/>
  <c r="AA27" i="2" s="1"/>
  <c r="AA229" i="2"/>
  <c r="AI230" i="2"/>
  <c r="AI39" i="2" s="1"/>
  <c r="AI27" i="2" s="1"/>
  <c r="AI229" i="2"/>
  <c r="AQ230" i="2"/>
  <c r="AQ39" i="2" s="1"/>
  <c r="AQ27" i="2" s="1"/>
  <c r="AQ229" i="2"/>
  <c r="AY230" i="2"/>
  <c r="AY39" i="2" s="1"/>
  <c r="AY27" i="2" s="1"/>
  <c r="AY229" i="2"/>
  <c r="BG230" i="2"/>
  <c r="BG39" i="2" s="1"/>
  <c r="BG27" i="2" s="1"/>
  <c r="BG229" i="2"/>
  <c r="P236" i="2"/>
  <c r="P43" i="2" s="1"/>
  <c r="P31" i="2" s="1"/>
  <c r="P235" i="2"/>
  <c r="X236" i="2"/>
  <c r="X43" i="2" s="1"/>
  <c r="X31" i="2" s="1"/>
  <c r="X235" i="2"/>
  <c r="AF236" i="2"/>
  <c r="AF43" i="2" s="1"/>
  <c r="AF31" i="2" s="1"/>
  <c r="AF235" i="2"/>
  <c r="AN236" i="2"/>
  <c r="AN43" i="2" s="1"/>
  <c r="AN31" i="2" s="1"/>
  <c r="AN235" i="2"/>
  <c r="AV236" i="2"/>
  <c r="AV43" i="2" s="1"/>
  <c r="AV31" i="2" s="1"/>
  <c r="AV235" i="2"/>
  <c r="BD236" i="2"/>
  <c r="BD43" i="2" s="1"/>
  <c r="BD31" i="2" s="1"/>
  <c r="BD235" i="2"/>
  <c r="BH188" i="2"/>
  <c r="T229" i="2"/>
  <c r="T230" i="2"/>
  <c r="T39" i="2" s="1"/>
  <c r="T27" i="2" s="1"/>
  <c r="AB230" i="2"/>
  <c r="AB39" i="2" s="1"/>
  <c r="AB27" i="2" s="1"/>
  <c r="AB229" i="2"/>
  <c r="AJ230" i="2"/>
  <c r="AJ39" i="2" s="1"/>
  <c r="AJ27" i="2" s="1"/>
  <c r="AJ229" i="2"/>
  <c r="AR229" i="2"/>
  <c r="AR230" i="2"/>
  <c r="AR39" i="2" s="1"/>
  <c r="AR27" i="2" s="1"/>
  <c r="AZ230" i="2"/>
  <c r="AZ39" i="2" s="1"/>
  <c r="AZ27" i="2" s="1"/>
  <c r="AZ229" i="2"/>
  <c r="BH229" i="2"/>
  <c r="BH230" i="2"/>
  <c r="BH39" i="2" s="1"/>
  <c r="BH27" i="2" s="1"/>
  <c r="Q235" i="2"/>
  <c r="Q236" i="2"/>
  <c r="Q43" i="2" s="1"/>
  <c r="Q31" i="2" s="1"/>
  <c r="Y235" i="2"/>
  <c r="Y236" i="2"/>
  <c r="Y43" i="2" s="1"/>
  <c r="Y31" i="2" s="1"/>
  <c r="AG235" i="2"/>
  <c r="AG236" i="2"/>
  <c r="AG43" i="2" s="1"/>
  <c r="AG31" i="2" s="1"/>
  <c r="AO235" i="2"/>
  <c r="AO236" i="2"/>
  <c r="AO43" i="2" s="1"/>
  <c r="AO31" i="2" s="1"/>
  <c r="AW235" i="2"/>
  <c r="AW236" i="2"/>
  <c r="AW43" i="2" s="1"/>
  <c r="AW31" i="2" s="1"/>
  <c r="BE235" i="2"/>
  <c r="BE236" i="2"/>
  <c r="BE43" i="2" s="1"/>
  <c r="BE31" i="2" s="1"/>
  <c r="BD190" i="2"/>
  <c r="U213" i="2"/>
  <c r="O212" i="2"/>
  <c r="O189" i="2"/>
  <c r="O190" i="2"/>
  <c r="O188" i="2"/>
  <c r="W189" i="2"/>
  <c r="W190" i="2"/>
  <c r="W212" i="2"/>
  <c r="AE212" i="2"/>
  <c r="AE189" i="2"/>
  <c r="AE188" i="2"/>
  <c r="AM212" i="2"/>
  <c r="AM189" i="2"/>
  <c r="AM190" i="2"/>
  <c r="AM188" i="2"/>
  <c r="AU212" i="2"/>
  <c r="AU189" i="2"/>
  <c r="AU190" i="2"/>
  <c r="AU188" i="2"/>
  <c r="BC212" i="2"/>
  <c r="BC189" i="2"/>
  <c r="BC188" i="2"/>
  <c r="BC190" i="2"/>
  <c r="T202" i="2"/>
  <c r="T201" i="2"/>
  <c r="T200" i="2"/>
  <c r="AB202" i="2"/>
  <c r="AB201" i="2"/>
  <c r="AB200" i="2"/>
  <c r="AJ202" i="2"/>
  <c r="AJ201" i="2"/>
  <c r="AJ200" i="2"/>
  <c r="AR202" i="2"/>
  <c r="AR201" i="2"/>
  <c r="AR200" i="2"/>
  <c r="AZ202" i="2"/>
  <c r="AZ201" i="2"/>
  <c r="AZ213" i="2"/>
  <c r="AZ200" i="2"/>
  <c r="BH202" i="2"/>
  <c r="BH201" i="2"/>
  <c r="BH200" i="2"/>
  <c r="Q224" i="2"/>
  <c r="Q222" i="2"/>
  <c r="Q223" i="2" s="1"/>
  <c r="Y224" i="2"/>
  <c r="Y222" i="2"/>
  <c r="Y223" i="2" s="1"/>
  <c r="AG224" i="2"/>
  <c r="AG222" i="2"/>
  <c r="AG223" i="2" s="1"/>
  <c r="AO224" i="2"/>
  <c r="AO222" i="2"/>
  <c r="AO223" i="2" s="1"/>
  <c r="AW224" i="2"/>
  <c r="AW222" i="2"/>
  <c r="AW223" i="2" s="1"/>
  <c r="N229" i="2"/>
  <c r="N230" i="2"/>
  <c r="V229" i="2"/>
  <c r="V230" i="2"/>
  <c r="V39" i="2" s="1"/>
  <c r="V27" i="2" s="1"/>
  <c r="AD229" i="2"/>
  <c r="AD230" i="2"/>
  <c r="AD39" i="2" s="1"/>
  <c r="AD27" i="2" s="1"/>
  <c r="AL229" i="2"/>
  <c r="AL230" i="2"/>
  <c r="AL39" i="2" s="1"/>
  <c r="AL27" i="2" s="1"/>
  <c r="AT229" i="2"/>
  <c r="AT230" i="2"/>
  <c r="AT39" i="2" s="1"/>
  <c r="AT27" i="2" s="1"/>
  <c r="BB229" i="2"/>
  <c r="BB230" i="2"/>
  <c r="BB39" i="2" s="1"/>
  <c r="BB27" i="2" s="1"/>
  <c r="BJ229" i="2"/>
  <c r="BJ230" i="2"/>
  <c r="BJ39" i="2" s="1"/>
  <c r="BJ27" i="2" s="1"/>
  <c r="S235" i="2"/>
  <c r="S236" i="2"/>
  <c r="S43" i="2" s="1"/>
  <c r="S31" i="2" s="1"/>
  <c r="AA235" i="2"/>
  <c r="AA236" i="2"/>
  <c r="AA43" i="2" s="1"/>
  <c r="AA31" i="2" s="1"/>
  <c r="AI235" i="2"/>
  <c r="AI236" i="2"/>
  <c r="AI43" i="2" s="1"/>
  <c r="AI31" i="2" s="1"/>
  <c r="AQ235" i="2"/>
  <c r="AQ236" i="2"/>
  <c r="AQ43" i="2" s="1"/>
  <c r="AQ31" i="2" s="1"/>
  <c r="AY235" i="2"/>
  <c r="AY236" i="2"/>
  <c r="AY43" i="2" s="1"/>
  <c r="AY31" i="2" s="1"/>
  <c r="BG235" i="2"/>
  <c r="BG236" i="2"/>
  <c r="BG43" i="2" s="1"/>
  <c r="BG31" i="2" s="1"/>
  <c r="P212" i="2"/>
  <c r="P188" i="2"/>
  <c r="P189" i="2"/>
  <c r="P190" i="2"/>
  <c r="X212" i="2"/>
  <c r="X190" i="2"/>
  <c r="X188" i="2"/>
  <c r="X189" i="2"/>
  <c r="AF212" i="2"/>
  <c r="AF188" i="2"/>
  <c r="AF189" i="2"/>
  <c r="AF190" i="2"/>
  <c r="AN212" i="2"/>
  <c r="AN190" i="2"/>
  <c r="AN188" i="2"/>
  <c r="AN189" i="2"/>
  <c r="AV212" i="2"/>
  <c r="AV189" i="2"/>
  <c r="AV190" i="2"/>
  <c r="BD212" i="2"/>
  <c r="BD188" i="2"/>
  <c r="BD189" i="2"/>
  <c r="U202" i="2"/>
  <c r="U201" i="2"/>
  <c r="U200" i="2"/>
  <c r="AC202" i="2"/>
  <c r="AC201" i="2"/>
  <c r="AC200" i="2"/>
  <c r="AK202" i="2"/>
  <c r="AK201" i="2"/>
  <c r="AK200" i="2"/>
  <c r="AS202" i="2"/>
  <c r="AS201" i="2"/>
  <c r="AS200" i="2"/>
  <c r="BA202" i="2"/>
  <c r="BA201" i="2"/>
  <c r="BA200" i="2"/>
  <c r="BI202" i="2"/>
  <c r="BI201" i="2"/>
  <c r="BI200" i="2"/>
  <c r="R222" i="2"/>
  <c r="R223" i="2" s="1"/>
  <c r="R224" i="2"/>
  <c r="Z222" i="2"/>
  <c r="Z223" i="2" s="1"/>
  <c r="Z224" i="2"/>
  <c r="AH222" i="2"/>
  <c r="AH223" i="2" s="1"/>
  <c r="AH224" i="2"/>
  <c r="AP222" i="2"/>
  <c r="AP223" i="2" s="1"/>
  <c r="AP224" i="2"/>
  <c r="AX222" i="2"/>
  <c r="AX223" i="2" s="1"/>
  <c r="AX224" i="2"/>
  <c r="O229" i="2"/>
  <c r="O230" i="2"/>
  <c r="O39" i="2" s="1"/>
  <c r="O27" i="2" s="1"/>
  <c r="W229" i="2"/>
  <c r="W230" i="2"/>
  <c r="W39" i="2" s="1"/>
  <c r="W27" i="2" s="1"/>
  <c r="AE229" i="2"/>
  <c r="AE230" i="2"/>
  <c r="AE39" i="2" s="1"/>
  <c r="AE27" i="2" s="1"/>
  <c r="AM229" i="2"/>
  <c r="AM230" i="2"/>
  <c r="AM39" i="2" s="1"/>
  <c r="AM27" i="2" s="1"/>
  <c r="AU229" i="2"/>
  <c r="AU230" i="2"/>
  <c r="AU39" i="2" s="1"/>
  <c r="AU27" i="2" s="1"/>
  <c r="BC229" i="2"/>
  <c r="BC230" i="2"/>
  <c r="BC39" i="2" s="1"/>
  <c r="BC27" i="2" s="1"/>
  <c r="T236" i="2"/>
  <c r="T43" i="2" s="1"/>
  <c r="T31" i="2" s="1"/>
  <c r="T235" i="2"/>
  <c r="AB236" i="2"/>
  <c r="AB43" i="2" s="1"/>
  <c r="AB31" i="2" s="1"/>
  <c r="AB235" i="2"/>
  <c r="AJ236" i="2"/>
  <c r="AJ43" i="2" s="1"/>
  <c r="AJ31" i="2" s="1"/>
  <c r="AJ235" i="2"/>
  <c r="AR236" i="2"/>
  <c r="AR43" i="2" s="1"/>
  <c r="AR31" i="2" s="1"/>
  <c r="AR235" i="2"/>
  <c r="AZ236" i="2"/>
  <c r="AZ43" i="2" s="1"/>
  <c r="AZ31" i="2" s="1"/>
  <c r="AZ235" i="2"/>
  <c r="BH236" i="2"/>
  <c r="BH43" i="2" s="1"/>
  <c r="BH31" i="2" s="1"/>
  <c r="BH235" i="2"/>
  <c r="I133" i="2"/>
  <c r="I245" i="2" s="1"/>
  <c r="I248" i="2" s="1"/>
  <c r="Q133" i="2"/>
  <c r="Y133" i="2"/>
  <c r="AG133" i="2"/>
  <c r="AO133" i="2"/>
  <c r="AW133" i="2"/>
  <c r="BE133" i="2"/>
  <c r="AZ189" i="2"/>
  <c r="U217" i="2"/>
  <c r="U211" i="2"/>
  <c r="U214" i="2"/>
  <c r="AC217" i="2"/>
  <c r="AC211" i="2"/>
  <c r="AC213" i="2"/>
  <c r="AK217" i="2"/>
  <c r="AK211" i="2"/>
  <c r="AS217" i="2"/>
  <c r="AS211" i="2"/>
  <c r="AS213" i="2"/>
  <c r="BA217" i="2"/>
  <c r="BA211" i="2"/>
  <c r="BA213" i="2"/>
  <c r="BI217" i="2"/>
  <c r="BI211" i="2"/>
  <c r="BI213" i="2"/>
  <c r="BI214" i="2"/>
  <c r="T214" i="2"/>
  <c r="T218" i="2"/>
  <c r="AB214" i="2"/>
  <c r="AB218" i="2"/>
  <c r="AJ214" i="2"/>
  <c r="AR214" i="2"/>
  <c r="AR218" i="2"/>
  <c r="AZ214" i="2"/>
  <c r="AZ218" i="2"/>
  <c r="BH214" i="2"/>
  <c r="AK213" i="2"/>
  <c r="AK215" i="2" s="1"/>
  <c r="AK140" i="2" s="1"/>
  <c r="AK151" i="2" s="1"/>
  <c r="AK61" i="1" s="1"/>
  <c r="AJ218" i="2"/>
  <c r="T217" i="2"/>
  <c r="T211" i="2"/>
  <c r="AB217" i="2"/>
  <c r="AB211" i="2"/>
  <c r="AB213" i="2"/>
  <c r="AJ217" i="2"/>
  <c r="AJ211" i="2"/>
  <c r="AR217" i="2"/>
  <c r="AR211" i="2"/>
  <c r="AR213" i="2"/>
  <c r="AZ217" i="2"/>
  <c r="AZ211" i="2"/>
  <c r="BH217" i="2"/>
  <c r="BH211" i="2"/>
  <c r="BH213" i="2"/>
  <c r="BH215" i="2" s="1"/>
  <c r="BH140" i="2" s="1"/>
  <c r="BH151" i="2" s="1"/>
  <c r="BH61" i="1" s="1"/>
  <c r="AA218" i="2"/>
  <c r="AA214" i="2"/>
  <c r="AI218" i="2"/>
  <c r="AI214" i="2"/>
  <c r="AQ218" i="2"/>
  <c r="AY218" i="2"/>
  <c r="AY214" i="2"/>
  <c r="BG214" i="2"/>
  <c r="M206" i="2"/>
  <c r="M198" i="2" s="1"/>
  <c r="T213" i="2"/>
  <c r="BG218" i="2"/>
  <c r="BD213" i="2"/>
  <c r="AJ213" i="2"/>
  <c r="N211" i="2"/>
  <c r="N214" i="2"/>
  <c r="N213" i="2"/>
  <c r="N215" i="2" s="1"/>
  <c r="V211" i="2"/>
  <c r="V214" i="2"/>
  <c r="V213" i="2"/>
  <c r="AD211" i="2"/>
  <c r="AD214" i="2"/>
  <c r="AD213" i="2"/>
  <c r="AL211" i="2"/>
  <c r="AL214" i="2"/>
  <c r="AL216" i="2" s="1"/>
  <c r="AL141" i="2" s="1"/>
  <c r="AL152" i="2" s="1"/>
  <c r="AL213" i="2"/>
  <c r="AT211" i="2"/>
  <c r="AT214" i="2"/>
  <c r="AT213" i="2"/>
  <c r="BB211" i="2"/>
  <c r="BB214" i="2"/>
  <c r="BB213" i="2"/>
  <c r="BJ211" i="2"/>
  <c r="BJ214" i="2"/>
  <c r="BJ213" i="2"/>
  <c r="U218" i="2"/>
  <c r="AC218" i="2"/>
  <c r="AK218" i="2"/>
  <c r="AS218" i="2"/>
  <c r="BA218" i="2"/>
  <c r="Z214" i="2"/>
  <c r="AS214" i="2"/>
  <c r="AL217" i="2"/>
  <c r="X213" i="2"/>
  <c r="AN213" i="2"/>
  <c r="AX214" i="2"/>
  <c r="BJ217" i="2"/>
  <c r="AC214" i="2"/>
  <c r="V217" i="2"/>
  <c r="Q213" i="2"/>
  <c r="Q211" i="2"/>
  <c r="Y213" i="2"/>
  <c r="Y211" i="2"/>
  <c r="AG213" i="2"/>
  <c r="AG211" i="2"/>
  <c r="AO213" i="2"/>
  <c r="AO211" i="2"/>
  <c r="AW213" i="2"/>
  <c r="AW211" i="2"/>
  <c r="BE213" i="2"/>
  <c r="BE211" i="2"/>
  <c r="P214" i="2"/>
  <c r="P218" i="2"/>
  <c r="X214" i="2"/>
  <c r="X218" i="2"/>
  <c r="AF214" i="2"/>
  <c r="AF218" i="2"/>
  <c r="AN214" i="2"/>
  <c r="AN218" i="2"/>
  <c r="AV214" i="2"/>
  <c r="AV218" i="2"/>
  <c r="BD214" i="2"/>
  <c r="BD218" i="2"/>
  <c r="P211" i="2"/>
  <c r="AF211" i="2"/>
  <c r="AV211" i="2"/>
  <c r="AH214" i="2"/>
  <c r="BA214" i="2"/>
  <c r="AT217" i="2"/>
  <c r="R213" i="2"/>
  <c r="R217" i="2"/>
  <c r="Z213" i="2"/>
  <c r="Z217" i="2"/>
  <c r="AH213" i="2"/>
  <c r="AH215" i="2" s="1"/>
  <c r="AH140" i="2" s="1"/>
  <c r="AH151" i="2" s="1"/>
  <c r="AH61" i="1" s="1"/>
  <c r="AH217" i="2"/>
  <c r="AP213" i="2"/>
  <c r="AP217" i="2"/>
  <c r="AX213" i="2"/>
  <c r="AX217" i="2"/>
  <c r="BF213" i="2"/>
  <c r="BF217" i="2"/>
  <c r="Q214" i="2"/>
  <c r="Q218" i="2"/>
  <c r="Y214" i="2"/>
  <c r="Y218" i="2"/>
  <c r="AG214" i="2"/>
  <c r="AG218" i="2"/>
  <c r="AO214" i="2"/>
  <c r="AO218" i="2"/>
  <c r="AW214" i="2"/>
  <c r="AW218" i="2"/>
  <c r="BE214" i="2"/>
  <c r="BE218" i="2"/>
  <c r="R211" i="2"/>
  <c r="AH211" i="2"/>
  <c r="AX211" i="2"/>
  <c r="BF214" i="2"/>
  <c r="Y217" i="2"/>
  <c r="BC237" i="2"/>
  <c r="BK241" i="2" a="1"/>
  <c r="BK241" i="2" s="1"/>
  <c r="S213" i="2"/>
  <c r="S217" i="2"/>
  <c r="AA213" i="2"/>
  <c r="AA215" i="2" s="1"/>
  <c r="AA140" i="2" s="1"/>
  <c r="AA151" i="2" s="1"/>
  <c r="AA61" i="1" s="1"/>
  <c r="AA217" i="2"/>
  <c r="AI213" i="2"/>
  <c r="AI217" i="2"/>
  <c r="AQ213" i="2"/>
  <c r="AQ217" i="2"/>
  <c r="AY213" i="2"/>
  <c r="AY217" i="2"/>
  <c r="BG213" i="2"/>
  <c r="BG217" i="2"/>
  <c r="S211" i="2"/>
  <c r="AI211" i="2"/>
  <c r="AY211" i="2"/>
  <c r="P213" i="2"/>
  <c r="AF213" i="2"/>
  <c r="AV213" i="2"/>
  <c r="R214" i="2"/>
  <c r="AK214" i="2"/>
  <c r="AD217" i="2"/>
  <c r="AW217" i="2"/>
  <c r="BI218" i="2"/>
  <c r="O218" i="2"/>
  <c r="W218" i="2"/>
  <c r="AE218" i="2"/>
  <c r="AM218" i="2"/>
  <c r="AU218" i="2"/>
  <c r="BC218" i="2"/>
  <c r="S231" i="2"/>
  <c r="AA231" i="2"/>
  <c r="AI242" i="2"/>
  <c r="AI231" i="2"/>
  <c r="AQ242" i="2"/>
  <c r="AQ231" i="2"/>
  <c r="AY242" i="2"/>
  <c r="AY231" i="2"/>
  <c r="BG257" i="2"/>
  <c r="BG242" i="2"/>
  <c r="BG231" i="2"/>
  <c r="O214" i="2"/>
  <c r="W214" i="2"/>
  <c r="AE214" i="2"/>
  <c r="AM214" i="2"/>
  <c r="AU214" i="2"/>
  <c r="BC214" i="2"/>
  <c r="T231" i="2"/>
  <c r="T242" i="2"/>
  <c r="AB231" i="2"/>
  <c r="AJ242" i="2"/>
  <c r="AJ231" i="2"/>
  <c r="AR242" i="2"/>
  <c r="AR231" i="2"/>
  <c r="AZ231" i="2"/>
  <c r="AZ242" i="2"/>
  <c r="BH242" i="2"/>
  <c r="BH257" i="2" s="1"/>
  <c r="BH231" i="2"/>
  <c r="AC242" i="2"/>
  <c r="U242" i="2"/>
  <c r="AD242" i="2"/>
  <c r="BA242" i="2"/>
  <c r="AE242" i="2"/>
  <c r="AM242" i="2"/>
  <c r="AU242" i="2"/>
  <c r="BC242" i="2"/>
  <c r="BC257" i="2" s="1"/>
  <c r="N242" i="2"/>
  <c r="V242" i="2"/>
  <c r="BB242" i="2"/>
  <c r="AF242" i="2"/>
  <c r="AN242" i="2"/>
  <c r="AV242" i="2"/>
  <c r="BD242" i="2"/>
  <c r="BD257" i="2" s="1"/>
  <c r="O242" i="2"/>
  <c r="W242" i="2"/>
  <c r="AG242" i="2"/>
  <c r="AO242" i="2"/>
  <c r="BE242" i="2"/>
  <c r="BE257" i="2" s="1"/>
  <c r="X242" i="2"/>
  <c r="BI242" i="2"/>
  <c r="BI257" i="2" s="1"/>
  <c r="BJ257" i="2"/>
  <c r="AH242" i="2"/>
  <c r="AP242" i="2"/>
  <c r="AX242" i="2"/>
  <c r="BF242" i="2"/>
  <c r="BF257" i="2" s="1"/>
  <c r="Q242" i="2"/>
  <c r="AN2" i="6" l="1"/>
  <c r="AF2" i="6"/>
  <c r="S2" i="6"/>
  <c r="V2" i="6"/>
  <c r="R2" i="6"/>
  <c r="AQ2" i="6"/>
  <c r="Z2" i="6"/>
  <c r="Y2" i="6"/>
  <c r="AU2" i="6"/>
  <c r="BL2" i="6"/>
  <c r="W216" i="2"/>
  <c r="W141" i="2" s="1"/>
  <c r="W152" i="2" s="1"/>
  <c r="X216" i="2"/>
  <c r="X141" i="2" s="1"/>
  <c r="X152" i="2" s="1"/>
  <c r="BI203" i="2"/>
  <c r="BI138" i="2" s="1"/>
  <c r="BI149" i="2" s="1"/>
  <c r="AY2" i="6"/>
  <c r="AH2" i="6"/>
  <c r="AG2" i="6"/>
  <c r="T2" i="6"/>
  <c r="AB2" i="6"/>
  <c r="AA2" i="6"/>
  <c r="BI2" i="6"/>
  <c r="AD2" i="6"/>
  <c r="BC2" i="6"/>
  <c r="BJ47" i="1"/>
  <c r="BJ44" i="1" s="1"/>
  <c r="AC215" i="2"/>
  <c r="AC140" i="2" s="1"/>
  <c r="AC151" i="2" s="1"/>
  <c r="AC61" i="1" s="1"/>
  <c r="AP2" i="6"/>
  <c r="AO2" i="6"/>
  <c r="AT2" i="6"/>
  <c r="AE2" i="6"/>
  <c r="AJ215" i="2"/>
  <c r="AJ140" i="2" s="1"/>
  <c r="AJ151" i="2" s="1"/>
  <c r="AJ61" i="1" s="1"/>
  <c r="T216" i="2"/>
  <c r="T141" i="2" s="1"/>
  <c r="T152" i="2" s="1"/>
  <c r="AX2" i="6"/>
  <c r="X2" i="6"/>
  <c r="BJ2" i="6"/>
  <c r="BK2" i="6"/>
  <c r="AN215" i="2"/>
  <c r="AN140" i="2" s="1"/>
  <c r="AN151" i="2" s="1"/>
  <c r="AN61" i="1" s="1"/>
  <c r="L218" i="2"/>
  <c r="BF2" i="6"/>
  <c r="BE2" i="6"/>
  <c r="AJ2" i="6"/>
  <c r="BB2" i="6"/>
  <c r="AL2" i="6"/>
  <c r="BJ34" i="2"/>
  <c r="AW2" i="6"/>
  <c r="BC216" i="2"/>
  <c r="BC141" i="2" s="1"/>
  <c r="BC152" i="2" s="1"/>
  <c r="AN216" i="2"/>
  <c r="AN141" i="2" s="1"/>
  <c r="AN152" i="2" s="1"/>
  <c r="H248" i="2"/>
  <c r="BM2" i="6"/>
  <c r="BH2" i="6"/>
  <c r="BA2" i="6"/>
  <c r="AR2" i="6"/>
  <c r="T215" i="2"/>
  <c r="T140" i="2" s="1"/>
  <c r="T151" i="2" s="1"/>
  <c r="T61" i="1" s="1"/>
  <c r="BG2" i="6"/>
  <c r="W2" i="6"/>
  <c r="AV2" i="6"/>
  <c r="U2" i="6"/>
  <c r="AZ2" i="6"/>
  <c r="AM216" i="2"/>
  <c r="AM141" i="2" s="1"/>
  <c r="AM152" i="2" s="1"/>
  <c r="Q215" i="2"/>
  <c r="Q140" i="2" s="1"/>
  <c r="Q151" i="2" s="1"/>
  <c r="Q61" i="1" s="1"/>
  <c r="AJ216" i="2"/>
  <c r="AJ141" i="2" s="1"/>
  <c r="AJ152" i="2" s="1"/>
  <c r="AS203" i="2"/>
  <c r="AS138" i="2" s="1"/>
  <c r="AS149" i="2" s="1"/>
  <c r="S216" i="2"/>
  <c r="S141" i="2" s="1"/>
  <c r="S152" i="2" s="1"/>
  <c r="AS34" i="2"/>
  <c r="AE179" i="2"/>
  <c r="AE180" i="2" s="1"/>
  <c r="AE59" i="1" s="1"/>
  <c r="AE47" i="1" s="1"/>
  <c r="AE44" i="1" s="1"/>
  <c r="AS2" i="6"/>
  <c r="AM2" i="6"/>
  <c r="BD2" i="6"/>
  <c r="AC2" i="6"/>
  <c r="AK2" i="6"/>
  <c r="BL59" i="1"/>
  <c r="BL47" i="1" s="1"/>
  <c r="BL44" i="1" s="1"/>
  <c r="BK47" i="1"/>
  <c r="BK44" i="1" s="1"/>
  <c r="AL204" i="2"/>
  <c r="AL139" i="2" s="1"/>
  <c r="AL150" i="2" s="1"/>
  <c r="AD215" i="2"/>
  <c r="AD140" i="2" s="1"/>
  <c r="AD151" i="2" s="1"/>
  <c r="AD61" i="1" s="1"/>
  <c r="AV216" i="2"/>
  <c r="AV141" i="2" s="1"/>
  <c r="AV152" i="2" s="1"/>
  <c r="AD204" i="2"/>
  <c r="AD139" i="2" s="1"/>
  <c r="AD150" i="2" s="1"/>
  <c r="AV203" i="2"/>
  <c r="AV138" i="2" s="1"/>
  <c r="AV149" i="2" s="1"/>
  <c r="AL215" i="2"/>
  <c r="AL140" i="2" s="1"/>
  <c r="AL151" i="2" s="1"/>
  <c r="AL61" i="1" s="1"/>
  <c r="Z203" i="2"/>
  <c r="Z138" i="2" s="1"/>
  <c r="Z149" i="2" s="1"/>
  <c r="Q216" i="2"/>
  <c r="Q141" i="2" s="1"/>
  <c r="Q152" i="2" s="1"/>
  <c r="BC215" i="2"/>
  <c r="BC140" i="2" s="1"/>
  <c r="BC151" i="2" s="1"/>
  <c r="BC61" i="1" s="1"/>
  <c r="AM215" i="2"/>
  <c r="AM140" i="2" s="1"/>
  <c r="AM151" i="2" s="1"/>
  <c r="AM61" i="1" s="1"/>
  <c r="D248" i="2"/>
  <c r="AK34" i="2"/>
  <c r="BJ203" i="2"/>
  <c r="BJ138" i="2" s="1"/>
  <c r="BJ149" i="2" s="1"/>
  <c r="AI215" i="2"/>
  <c r="AI140" i="2" s="1"/>
  <c r="AI151" i="2" s="1"/>
  <c r="AI61" i="1" s="1"/>
  <c r="AR203" i="2"/>
  <c r="AR138" i="2" s="1"/>
  <c r="AR149" i="2" s="1"/>
  <c r="AP203" i="2"/>
  <c r="AP138" i="2" s="1"/>
  <c r="AP149" i="2" s="1"/>
  <c r="AR216" i="2"/>
  <c r="AR141" i="2" s="1"/>
  <c r="AR152" i="2" s="1"/>
  <c r="AE216" i="2"/>
  <c r="AE141" i="2" s="1"/>
  <c r="AE152" i="2" s="1"/>
  <c r="R216" i="2"/>
  <c r="R141" i="2" s="1"/>
  <c r="R152" i="2" s="1"/>
  <c r="AO216" i="2"/>
  <c r="AO141" i="2" s="1"/>
  <c r="AO152" i="2" s="1"/>
  <c r="BF215" i="2"/>
  <c r="BF140" i="2" s="1"/>
  <c r="BF151" i="2" s="1"/>
  <c r="BF61" i="1" s="1"/>
  <c r="BE215" i="2"/>
  <c r="BE140" i="2" s="1"/>
  <c r="BE151" i="2" s="1"/>
  <c r="BE61" i="1" s="1"/>
  <c r="Y215" i="2"/>
  <c r="Y140" i="2" s="1"/>
  <c r="Y151" i="2" s="1"/>
  <c r="Y61" i="1" s="1"/>
  <c r="AG204" i="2"/>
  <c r="AG139" i="2" s="1"/>
  <c r="AG150" i="2" s="1"/>
  <c r="AU216" i="2"/>
  <c r="AU141" i="2" s="1"/>
  <c r="AU152" i="2" s="1"/>
  <c r="AH216" i="2"/>
  <c r="AH141" i="2" s="1"/>
  <c r="AH152" i="2" s="1"/>
  <c r="Q203" i="2"/>
  <c r="Q138" i="2" s="1"/>
  <c r="Q149" i="2" s="1"/>
  <c r="AV215" i="2"/>
  <c r="AV140" i="2" s="1"/>
  <c r="AV151" i="2" s="1"/>
  <c r="AV61" i="1" s="1"/>
  <c r="AS215" i="2"/>
  <c r="AS140" i="2" s="1"/>
  <c r="AS151" i="2" s="1"/>
  <c r="AS61" i="1" s="1"/>
  <c r="K248" i="2"/>
  <c r="AT216" i="2"/>
  <c r="AT141" i="2" s="1"/>
  <c r="AT152" i="2" s="1"/>
  <c r="R204" i="2"/>
  <c r="R139" i="2" s="1"/>
  <c r="R150" i="2" s="1"/>
  <c r="AF215" i="2"/>
  <c r="AF140" i="2" s="1"/>
  <c r="AF151" i="2" s="1"/>
  <c r="AF61" i="1" s="1"/>
  <c r="AY215" i="2"/>
  <c r="AY140" i="2" s="1"/>
  <c r="AY151" i="2" s="1"/>
  <c r="AY61" i="1" s="1"/>
  <c r="R215" i="2"/>
  <c r="R140" i="2" s="1"/>
  <c r="R151" i="2" s="1"/>
  <c r="R61" i="1" s="1"/>
  <c r="V215" i="2"/>
  <c r="V140" i="2" s="1"/>
  <c r="V151" i="2" s="1"/>
  <c r="V61" i="1" s="1"/>
  <c r="AI216" i="2"/>
  <c r="AI141" i="2" s="1"/>
  <c r="AI152" i="2" s="1"/>
  <c r="BI216" i="2"/>
  <c r="BI141" i="2" s="1"/>
  <c r="BI152" i="2" s="1"/>
  <c r="U215" i="2"/>
  <c r="U140" i="2" s="1"/>
  <c r="U151" i="2" s="1"/>
  <c r="U61" i="1" s="1"/>
  <c r="W215" i="2"/>
  <c r="W140" i="2" s="1"/>
  <c r="W151" i="2" s="1"/>
  <c r="W61" i="1" s="1"/>
  <c r="AX34" i="2"/>
  <c r="N216" i="2"/>
  <c r="BB216" i="2"/>
  <c r="BB141" i="2" s="1"/>
  <c r="BB152" i="2" s="1"/>
  <c r="P215" i="2"/>
  <c r="P140" i="2" s="1"/>
  <c r="P151" i="2" s="1"/>
  <c r="P61" i="1" s="1"/>
  <c r="BJ215" i="2"/>
  <c r="BJ140" i="2" s="1"/>
  <c r="BJ151" i="2" s="1"/>
  <c r="BJ61" i="1" s="1"/>
  <c r="V216" i="2"/>
  <c r="V141" i="2" s="1"/>
  <c r="V152" i="2" s="1"/>
  <c r="AK204" i="2"/>
  <c r="AK139" i="2" s="1"/>
  <c r="AK150" i="2" s="1"/>
  <c r="AZ204" i="2"/>
  <c r="AZ139" i="2" s="1"/>
  <c r="AZ150" i="2" s="1"/>
  <c r="BD216" i="2"/>
  <c r="BD141" i="2" s="1"/>
  <c r="BD152" i="2" s="1"/>
  <c r="AQ216" i="2"/>
  <c r="AQ141" i="2" s="1"/>
  <c r="AQ152" i="2" s="1"/>
  <c r="G248" i="2"/>
  <c r="Q34" i="2"/>
  <c r="BF216" i="2"/>
  <c r="BF141" i="2" s="1"/>
  <c r="BF152" i="2" s="1"/>
  <c r="AB216" i="2"/>
  <c r="AB141" i="2" s="1"/>
  <c r="AB152" i="2" s="1"/>
  <c r="BE216" i="2"/>
  <c r="BE141" i="2" s="1"/>
  <c r="BE152" i="2" s="1"/>
  <c r="AO215" i="2"/>
  <c r="AO140" i="2" s="1"/>
  <c r="AO151" i="2" s="1"/>
  <c r="AO61" i="1" s="1"/>
  <c r="AC216" i="2"/>
  <c r="AC141" i="2" s="1"/>
  <c r="AC152" i="2" s="1"/>
  <c r="AS216" i="2"/>
  <c r="AS141" i="2" s="1"/>
  <c r="AS152" i="2" s="1"/>
  <c r="BJ216" i="2"/>
  <c r="BJ141" i="2" s="1"/>
  <c r="BJ152" i="2" s="1"/>
  <c r="O215" i="2"/>
  <c r="O140" i="2" s="1"/>
  <c r="O151" i="2" s="1"/>
  <c r="O61" i="1" s="1"/>
  <c r="I186" i="2"/>
  <c r="AG215" i="2"/>
  <c r="AG140" i="2" s="1"/>
  <c r="AG151" i="2" s="1"/>
  <c r="AG61" i="1" s="1"/>
  <c r="BH216" i="2"/>
  <c r="BH141" i="2" s="1"/>
  <c r="BH152" i="2" s="1"/>
  <c r="AI203" i="2"/>
  <c r="AI138" i="2" s="1"/>
  <c r="AI149" i="2" s="1"/>
  <c r="AX215" i="2"/>
  <c r="AX140" i="2" s="1"/>
  <c r="AX151" i="2" s="1"/>
  <c r="AX61" i="1" s="1"/>
  <c r="X204" i="2"/>
  <c r="X139" i="2" s="1"/>
  <c r="X150" i="2" s="1"/>
  <c r="BC204" i="2"/>
  <c r="BC139" i="2" s="1"/>
  <c r="BC150" i="2" s="1"/>
  <c r="AZ216" i="2"/>
  <c r="AZ141" i="2" s="1"/>
  <c r="AZ152" i="2" s="1"/>
  <c r="AW215" i="2"/>
  <c r="AW140" i="2" s="1"/>
  <c r="AW151" i="2" s="1"/>
  <c r="AW61" i="1" s="1"/>
  <c r="AT204" i="2"/>
  <c r="AT139" i="2" s="1"/>
  <c r="AT150" i="2" s="1"/>
  <c r="M202" i="2"/>
  <c r="AA216" i="2"/>
  <c r="AA141" i="2" s="1"/>
  <c r="AA152" i="2" s="1"/>
  <c r="BG215" i="2"/>
  <c r="BG140" i="2" s="1"/>
  <c r="BG151" i="2" s="1"/>
  <c r="BG61" i="1" s="1"/>
  <c r="AD216" i="2"/>
  <c r="AD141" i="2" s="1"/>
  <c r="AD152" i="2" s="1"/>
  <c r="BG216" i="2"/>
  <c r="BG141" i="2" s="1"/>
  <c r="BG152" i="2" s="1"/>
  <c r="AB215" i="2"/>
  <c r="AB140" i="2" s="1"/>
  <c r="AB151" i="2" s="1"/>
  <c r="AB61" i="1" s="1"/>
  <c r="P204" i="2"/>
  <c r="P139" i="2" s="1"/>
  <c r="P150" i="2" s="1"/>
  <c r="S204" i="2"/>
  <c r="S139" i="2" s="1"/>
  <c r="S150" i="2" s="1"/>
  <c r="AU203" i="2"/>
  <c r="AU138" i="2" s="1"/>
  <c r="AU149" i="2" s="1"/>
  <c r="AE203" i="2"/>
  <c r="AE138" i="2" s="1"/>
  <c r="AE149" i="2" s="1"/>
  <c r="O203" i="2"/>
  <c r="O138" i="2" s="1"/>
  <c r="O149" i="2" s="1"/>
  <c r="AX204" i="2"/>
  <c r="AX139" i="2" s="1"/>
  <c r="AX150" i="2" s="1"/>
  <c r="O216" i="2"/>
  <c r="O141" i="2" s="1"/>
  <c r="O152" i="2" s="1"/>
  <c r="AR215" i="2"/>
  <c r="AR140" i="2" s="1"/>
  <c r="AR151" i="2" s="1"/>
  <c r="AR61" i="1" s="1"/>
  <c r="H194" i="2"/>
  <c r="H186" i="2" s="1"/>
  <c r="BB215" i="2"/>
  <c r="BB140" i="2" s="1"/>
  <c r="BB151" i="2" s="1"/>
  <c r="BB61" i="1" s="1"/>
  <c r="BI215" i="2"/>
  <c r="BI140" i="2" s="1"/>
  <c r="BI151" i="2" s="1"/>
  <c r="BI61" i="1" s="1"/>
  <c r="AE244" i="2"/>
  <c r="AE247" i="2" s="1"/>
  <c r="W204" i="2"/>
  <c r="W139" i="2" s="1"/>
  <c r="W150" i="2" s="1"/>
  <c r="S215" i="2"/>
  <c r="S140" i="2" s="1"/>
  <c r="S151" i="2" s="1"/>
  <c r="S61" i="1" s="1"/>
  <c r="AG216" i="2"/>
  <c r="AG141" i="2" s="1"/>
  <c r="AG152" i="2" s="1"/>
  <c r="Z215" i="2"/>
  <c r="Z140" i="2" s="1"/>
  <c r="Z151" i="2" s="1"/>
  <c r="Z61" i="1" s="1"/>
  <c r="K186" i="2"/>
  <c r="AM204" i="2"/>
  <c r="AM139" i="2" s="1"/>
  <c r="AM150" i="2" s="1"/>
  <c r="J186" i="2"/>
  <c r="AJ203" i="2"/>
  <c r="AJ138" i="2" s="1"/>
  <c r="AJ149" i="2" s="1"/>
  <c r="L186" i="2"/>
  <c r="K218" i="2"/>
  <c r="L34" i="2"/>
  <c r="BD215" i="2"/>
  <c r="BD140" i="2" s="1"/>
  <c r="BD151" i="2" s="1"/>
  <c r="BD61" i="1" s="1"/>
  <c r="M186" i="2"/>
  <c r="AE215" i="2"/>
  <c r="AE140" i="2" s="1"/>
  <c r="AE151" i="2" s="1"/>
  <c r="AE61" i="1" s="1"/>
  <c r="BE203" i="2"/>
  <c r="BE138" i="2" s="1"/>
  <c r="BE149" i="2" s="1"/>
  <c r="AQ203" i="2"/>
  <c r="AQ138" i="2" s="1"/>
  <c r="AQ149" i="2" s="1"/>
  <c r="AC204" i="2"/>
  <c r="AC139" i="2" s="1"/>
  <c r="AC150" i="2" s="1"/>
  <c r="AF203" i="2"/>
  <c r="AF138" i="2" s="1"/>
  <c r="AF149" i="2" s="1"/>
  <c r="P216" i="2"/>
  <c r="P141" i="2" s="1"/>
  <c r="P152" i="2" s="1"/>
  <c r="BH204" i="2"/>
  <c r="BH139" i="2" s="1"/>
  <c r="BH150" i="2" s="1"/>
  <c r="T204" i="2"/>
  <c r="T139" i="2" s="1"/>
  <c r="T150" i="2" s="1"/>
  <c r="AW204" i="2"/>
  <c r="AW139" i="2" s="1"/>
  <c r="AW150" i="2" s="1"/>
  <c r="AQ215" i="2"/>
  <c r="AQ140" i="2" s="1"/>
  <c r="AQ151" i="2" s="1"/>
  <c r="AQ61" i="1" s="1"/>
  <c r="BF204" i="2"/>
  <c r="BF139" i="2" s="1"/>
  <c r="BF150" i="2" s="1"/>
  <c r="BA216" i="2"/>
  <c r="BA141" i="2" s="1"/>
  <c r="BA152" i="2" s="1"/>
  <c r="AZ215" i="2"/>
  <c r="AZ140" i="2" s="1"/>
  <c r="AZ151" i="2" s="1"/>
  <c r="AZ61" i="1" s="1"/>
  <c r="BG204" i="2"/>
  <c r="BG139" i="2" s="1"/>
  <c r="BG150" i="2" s="1"/>
  <c r="AH204" i="2"/>
  <c r="AH139" i="2" s="1"/>
  <c r="AH150" i="2" s="1"/>
  <c r="U204" i="2"/>
  <c r="U139" i="2" s="1"/>
  <c r="U150" i="2" s="1"/>
  <c r="Y203" i="2"/>
  <c r="Y138" i="2" s="1"/>
  <c r="Y149" i="2" s="1"/>
  <c r="V204" i="2"/>
  <c r="V139" i="2" s="1"/>
  <c r="V150" i="2" s="1"/>
  <c r="AO204" i="2"/>
  <c r="AO139" i="2" s="1"/>
  <c r="AO150" i="2" s="1"/>
  <c r="AN204" i="2"/>
  <c r="AN139" i="2" s="1"/>
  <c r="AN150" i="2" s="1"/>
  <c r="AW216" i="2"/>
  <c r="AW141" i="2" s="1"/>
  <c r="AW152" i="2" s="1"/>
  <c r="AF216" i="2"/>
  <c r="AF141" i="2" s="1"/>
  <c r="AF152" i="2" s="1"/>
  <c r="BK200" i="2"/>
  <c r="AB203" i="2"/>
  <c r="AB138" i="2" s="1"/>
  <c r="AB149" i="2" s="1"/>
  <c r="Q244" i="2"/>
  <c r="Q259" i="2" s="1"/>
  <c r="AY204" i="2"/>
  <c r="AY139" i="2" s="1"/>
  <c r="AY150" i="2" s="1"/>
  <c r="BD204" i="2"/>
  <c r="BD139" i="2" s="1"/>
  <c r="BD150" i="2" s="1"/>
  <c r="AA204" i="2"/>
  <c r="AA139" i="2" s="1"/>
  <c r="AA150" i="2" s="1"/>
  <c r="N140" i="2"/>
  <c r="N151" i="2" s="1"/>
  <c r="N61" i="1" s="1"/>
  <c r="BH243" i="2"/>
  <c r="BH191" i="2"/>
  <c r="BE243" i="2"/>
  <c r="BE191" i="2"/>
  <c r="Y243" i="2"/>
  <c r="Y191" i="2"/>
  <c r="AP243" i="2"/>
  <c r="AP191" i="2"/>
  <c r="G194" i="2"/>
  <c r="Y216" i="2"/>
  <c r="Y141" i="2" s="1"/>
  <c r="Y152" i="2" s="1"/>
  <c r="AP216" i="2"/>
  <c r="AP141" i="2" s="1"/>
  <c r="AP152" i="2" s="1"/>
  <c r="BK214" i="2"/>
  <c r="AX216" i="2"/>
  <c r="AX141" i="2" s="1"/>
  <c r="AX152" i="2" s="1"/>
  <c r="L206" i="2"/>
  <c r="L198" i="2" s="1"/>
  <c r="L197" i="2"/>
  <c r="K205" i="2"/>
  <c r="BI204" i="2"/>
  <c r="BI139" i="2" s="1"/>
  <c r="BI150" i="2" s="1"/>
  <c r="AK203" i="2"/>
  <c r="AK138" i="2" s="1"/>
  <c r="AK149" i="2" s="1"/>
  <c r="AN243" i="2"/>
  <c r="AN191" i="2"/>
  <c r="X243" i="2"/>
  <c r="X191" i="2"/>
  <c r="BH203" i="2"/>
  <c r="BH138" i="2" s="1"/>
  <c r="BH149" i="2" s="1"/>
  <c r="AR204" i="2"/>
  <c r="AR139" i="2" s="1"/>
  <c r="AR150" i="2" s="1"/>
  <c r="T203" i="2"/>
  <c r="T138" i="2" s="1"/>
  <c r="T149" i="2" s="1"/>
  <c r="O243" i="2"/>
  <c r="O191" i="2"/>
  <c r="AW203" i="2"/>
  <c r="AW138" i="2" s="1"/>
  <c r="AW149" i="2" s="1"/>
  <c r="Y204" i="2"/>
  <c r="Y139" i="2" s="1"/>
  <c r="Y150" i="2" s="1"/>
  <c r="BJ204" i="2"/>
  <c r="BJ139" i="2" s="1"/>
  <c r="BJ150" i="2" s="1"/>
  <c r="AL203" i="2"/>
  <c r="AL138" i="2" s="1"/>
  <c r="AL149" i="2" s="1"/>
  <c r="V203" i="2"/>
  <c r="V138" i="2" s="1"/>
  <c r="V149" i="2" s="1"/>
  <c r="X203" i="2"/>
  <c r="X138" i="2" s="1"/>
  <c r="X149" i="2" s="1"/>
  <c r="AQ244" i="2"/>
  <c r="AQ192" i="2"/>
  <c r="AA244" i="2"/>
  <c r="AA192" i="2"/>
  <c r="G253" i="2"/>
  <c r="G254" i="2"/>
  <c r="G46" i="2"/>
  <c r="G48" i="2" s="1"/>
  <c r="G26" i="2" s="1"/>
  <c r="G256" i="2" s="1"/>
  <c r="M236" i="2"/>
  <c r="N43" i="2"/>
  <c r="N31" i="2" s="1"/>
  <c r="Z244" i="2"/>
  <c r="Z192" i="2"/>
  <c r="J248" i="2"/>
  <c r="BG203" i="2"/>
  <c r="BG138" i="2" s="1"/>
  <c r="BG149" i="2" s="1"/>
  <c r="AQ204" i="2"/>
  <c r="AQ139" i="2" s="1"/>
  <c r="AQ150" i="2" s="1"/>
  <c r="AT244" i="2"/>
  <c r="AT192" i="2"/>
  <c r="AD243" i="2"/>
  <c r="AD191" i="2"/>
  <c r="J254" i="2"/>
  <c r="J253" i="2"/>
  <c r="J46" i="2"/>
  <c r="J48" i="2" s="1"/>
  <c r="J26" i="2" s="1"/>
  <c r="J256" i="2" s="1"/>
  <c r="AX203" i="2"/>
  <c r="AX138" i="2" s="1"/>
  <c r="AX149" i="2" s="1"/>
  <c r="BI243" i="2"/>
  <c r="BI191" i="2"/>
  <c r="BK212" i="2"/>
  <c r="I253" i="2"/>
  <c r="I254" i="2"/>
  <c r="I46" i="2"/>
  <c r="I48" i="2" s="1"/>
  <c r="I26" i="2" s="1"/>
  <c r="I256" i="2" s="1"/>
  <c r="AJ244" i="2"/>
  <c r="AJ192" i="2"/>
  <c r="AY243" i="2"/>
  <c r="AY191" i="2"/>
  <c r="AK244" i="2"/>
  <c r="AK192" i="2"/>
  <c r="AP215" i="2"/>
  <c r="AP140" i="2" s="1"/>
  <c r="AP151" i="2" s="1"/>
  <c r="AP61" i="1" s="1"/>
  <c r="AK216" i="2"/>
  <c r="AK141" i="2" s="1"/>
  <c r="AK152" i="2" s="1"/>
  <c r="BK201" i="2"/>
  <c r="BA203" i="2"/>
  <c r="BA138" i="2" s="1"/>
  <c r="BA149" i="2" s="1"/>
  <c r="BD243" i="2"/>
  <c r="BD191" i="2"/>
  <c r="AN244" i="2"/>
  <c r="AN192" i="2"/>
  <c r="X244" i="2"/>
  <c r="X192" i="2"/>
  <c r="AU243" i="2"/>
  <c r="AU191" i="2"/>
  <c r="BD244" i="2"/>
  <c r="BD192" i="2"/>
  <c r="AZ244" i="2"/>
  <c r="AZ192" i="2"/>
  <c r="AJ243" i="2"/>
  <c r="AJ191" i="2"/>
  <c r="T243" i="2"/>
  <c r="T191" i="2"/>
  <c r="N138" i="2"/>
  <c r="N149" i="2" s="1"/>
  <c r="AW244" i="2"/>
  <c r="AW192" i="2"/>
  <c r="AG244" i="2"/>
  <c r="AG192" i="2"/>
  <c r="Q243" i="2"/>
  <c r="Q191" i="2"/>
  <c r="AN203" i="2"/>
  <c r="AN138" i="2" s="1"/>
  <c r="AN149" i="2" s="1"/>
  <c r="AI243" i="2"/>
  <c r="AI191" i="2"/>
  <c r="S243" i="2"/>
  <c r="S191" i="2"/>
  <c r="AX243" i="2"/>
  <c r="AX191" i="2"/>
  <c r="M254" i="2"/>
  <c r="M253" i="2"/>
  <c r="M46" i="2"/>
  <c r="M48" i="2" s="1"/>
  <c r="M26" i="2" s="1"/>
  <c r="M256" i="2" s="1"/>
  <c r="BB243" i="2"/>
  <c r="BB191" i="2"/>
  <c r="AD244" i="2"/>
  <c r="AD192" i="2"/>
  <c r="N243" i="2"/>
  <c r="N191" i="2"/>
  <c r="M201" i="2"/>
  <c r="M199" i="2"/>
  <c r="M200" i="2" s="1"/>
  <c r="Z204" i="2"/>
  <c r="Z139" i="2" s="1"/>
  <c r="Z150" i="2" s="1"/>
  <c r="BI244" i="2"/>
  <c r="BI192" i="2"/>
  <c r="AS243" i="2"/>
  <c r="AS191" i="2"/>
  <c r="L243" i="2"/>
  <c r="L258" i="2" s="1"/>
  <c r="AX244" i="2"/>
  <c r="AX192" i="2"/>
  <c r="U243" i="2"/>
  <c r="U191" i="2"/>
  <c r="X215" i="2"/>
  <c r="X140" i="2" s="1"/>
  <c r="X151" i="2" s="1"/>
  <c r="X61" i="1" s="1"/>
  <c r="AU215" i="2"/>
  <c r="AU140" i="2" s="1"/>
  <c r="AU151" i="2" s="1"/>
  <c r="AU61" i="1" s="1"/>
  <c r="Z216" i="2"/>
  <c r="Z141" i="2" s="1"/>
  <c r="Z152" i="2" s="1"/>
  <c r="BK202" i="2"/>
  <c r="BA204" i="2"/>
  <c r="BA139" i="2" s="1"/>
  <c r="BA150" i="2" s="1"/>
  <c r="AC203" i="2"/>
  <c r="AC138" i="2" s="1"/>
  <c r="AC149" i="2" s="1"/>
  <c r="B230" i="2"/>
  <c r="M230" i="2" s="1"/>
  <c r="N39" i="2"/>
  <c r="N27" i="2" s="1"/>
  <c r="AJ204" i="2"/>
  <c r="AJ139" i="2" s="1"/>
  <c r="AJ150" i="2" s="1"/>
  <c r="AO203" i="2"/>
  <c r="AO138" i="2" s="1"/>
  <c r="AO149" i="2" s="1"/>
  <c r="Q204" i="2"/>
  <c r="Q139" i="2" s="1"/>
  <c r="Q150" i="2" s="1"/>
  <c r="N204" i="2"/>
  <c r="AW243" i="2"/>
  <c r="AW191" i="2"/>
  <c r="AG243" i="2"/>
  <c r="AG191" i="2"/>
  <c r="P203" i="2"/>
  <c r="P138" i="2" s="1"/>
  <c r="P149" i="2" s="1"/>
  <c r="AY244" i="2"/>
  <c r="AY192" i="2"/>
  <c r="AH244" i="2"/>
  <c r="AH192" i="2"/>
  <c r="F254" i="2"/>
  <c r="F253" i="2"/>
  <c r="F46" i="2"/>
  <c r="F48" i="2" s="1"/>
  <c r="F26" i="2" s="1"/>
  <c r="F256" i="2" s="1"/>
  <c r="E253" i="2"/>
  <c r="E254" i="2"/>
  <c r="E46" i="2"/>
  <c r="E48" i="2" s="1"/>
  <c r="E26" i="2" s="1"/>
  <c r="E256" i="2" s="1"/>
  <c r="L254" i="2"/>
  <c r="L253" i="2"/>
  <c r="L46" i="2"/>
  <c r="L48" i="2" s="1"/>
  <c r="L26" i="2" s="1"/>
  <c r="L256" i="2" s="1"/>
  <c r="K254" i="2"/>
  <c r="K253" i="2"/>
  <c r="K46" i="2"/>
  <c r="K48" i="2" s="1"/>
  <c r="K26" i="2" s="1"/>
  <c r="K256" i="2" s="1"/>
  <c r="AY203" i="2"/>
  <c r="AY138" i="2" s="1"/>
  <c r="AY149" i="2" s="1"/>
  <c r="AI204" i="2"/>
  <c r="AI139" i="2" s="1"/>
  <c r="AI150" i="2" s="1"/>
  <c r="R203" i="2"/>
  <c r="R138" i="2" s="1"/>
  <c r="R149" i="2" s="1"/>
  <c r="U244" i="2"/>
  <c r="U192" i="2"/>
  <c r="AZ243" i="2"/>
  <c r="AZ191" i="2"/>
  <c r="Z243" i="2"/>
  <c r="Z191" i="2"/>
  <c r="AE192" i="2"/>
  <c r="AF244" i="2"/>
  <c r="AF192" i="2"/>
  <c r="P244" i="2"/>
  <c r="P192" i="2"/>
  <c r="AZ203" i="2"/>
  <c r="AZ138" i="2" s="1"/>
  <c r="AZ149" i="2" s="1"/>
  <c r="BC244" i="2"/>
  <c r="BC192" i="2"/>
  <c r="W244" i="2"/>
  <c r="W192" i="2"/>
  <c r="BE204" i="2"/>
  <c r="BE139" i="2" s="1"/>
  <c r="BE150" i="2" s="1"/>
  <c r="AR244" i="2"/>
  <c r="AR192" i="2"/>
  <c r="AB244" i="2"/>
  <c r="AB192" i="2"/>
  <c r="BB203" i="2"/>
  <c r="BB138" i="2" s="1"/>
  <c r="BB149" i="2" s="1"/>
  <c r="AD203" i="2"/>
  <c r="AD138" i="2" s="1"/>
  <c r="AD149" i="2" s="1"/>
  <c r="BD203" i="2"/>
  <c r="BD138" i="2" s="1"/>
  <c r="BD149" i="2" s="1"/>
  <c r="AF204" i="2"/>
  <c r="AF139" i="2" s="1"/>
  <c r="AF150" i="2" s="1"/>
  <c r="AI244" i="2"/>
  <c r="AI192" i="2"/>
  <c r="BC203" i="2"/>
  <c r="BC138" i="2" s="1"/>
  <c r="BC149" i="2" s="1"/>
  <c r="AM203" i="2"/>
  <c r="AM138" i="2" s="1"/>
  <c r="AM149" i="2" s="1"/>
  <c r="W203" i="2"/>
  <c r="W138" i="2" s="1"/>
  <c r="W149" i="2" s="1"/>
  <c r="BF244" i="2"/>
  <c r="BF192" i="2"/>
  <c r="AH243" i="2"/>
  <c r="AH191" i="2"/>
  <c r="R244" i="2"/>
  <c r="R192" i="2"/>
  <c r="D254" i="2"/>
  <c r="D253" i="2"/>
  <c r="D46" i="2"/>
  <c r="D48" i="2" s="1"/>
  <c r="D26" i="2" s="1"/>
  <c r="D256" i="2" s="1"/>
  <c r="AA203" i="2"/>
  <c r="AA138" i="2" s="1"/>
  <c r="AA149" i="2" s="1"/>
  <c r="BJ243" i="2"/>
  <c r="BJ191" i="2"/>
  <c r="BB244" i="2"/>
  <c r="BB192" i="2"/>
  <c r="AL243" i="2"/>
  <c r="AL191" i="2"/>
  <c r="N244" i="2"/>
  <c r="N192" i="2"/>
  <c r="M252" i="2"/>
  <c r="M262" i="2"/>
  <c r="M251" i="2"/>
  <c r="M45" i="2"/>
  <c r="H253" i="2"/>
  <c r="H254" i="2"/>
  <c r="H46" i="2"/>
  <c r="H48" i="2" s="1"/>
  <c r="H26" i="2" s="1"/>
  <c r="H256" i="2" s="1"/>
  <c r="BF203" i="2"/>
  <c r="BF138" i="2" s="1"/>
  <c r="BF149" i="2" s="1"/>
  <c r="AP204" i="2"/>
  <c r="AP139" i="2" s="1"/>
  <c r="AP150" i="2" s="1"/>
  <c r="AS244" i="2"/>
  <c r="AS192" i="2"/>
  <c r="AC243" i="2"/>
  <c r="AC191" i="2"/>
  <c r="D243" i="2"/>
  <c r="D258" i="2" s="1"/>
  <c r="M225" i="2"/>
  <c r="N42" i="2"/>
  <c r="N30" i="2" s="1"/>
  <c r="AU244" i="2"/>
  <c r="AU192" i="2"/>
  <c r="BK36" i="2"/>
  <c r="BK35" i="2"/>
  <c r="AT215" i="2"/>
  <c r="AT140" i="2" s="1"/>
  <c r="AT151" i="2" s="1"/>
  <c r="AT61" i="1" s="1"/>
  <c r="BK213" i="2"/>
  <c r="AV244" i="2"/>
  <c r="AV192" i="2"/>
  <c r="AF243" i="2"/>
  <c r="AF191" i="2"/>
  <c r="P243" i="2"/>
  <c r="P191" i="2"/>
  <c r="AM244" i="2"/>
  <c r="AM192" i="2"/>
  <c r="W243" i="2"/>
  <c r="W191" i="2"/>
  <c r="AR243" i="2"/>
  <c r="AR191" i="2"/>
  <c r="AB243" i="2"/>
  <c r="AB191" i="2"/>
  <c r="BE244" i="2"/>
  <c r="BE192" i="2"/>
  <c r="AO244" i="2"/>
  <c r="AO192" i="2"/>
  <c r="BG243" i="2"/>
  <c r="BG191" i="2"/>
  <c r="AQ243" i="2"/>
  <c r="AQ191" i="2"/>
  <c r="S244" i="2"/>
  <c r="S192" i="2"/>
  <c r="BF243" i="2"/>
  <c r="BF191" i="2"/>
  <c r="AP244" i="2"/>
  <c r="AP192" i="2"/>
  <c r="I252" i="2"/>
  <c r="I251" i="2"/>
  <c r="I262" i="2"/>
  <c r="I45" i="2"/>
  <c r="F243" i="2"/>
  <c r="F258" i="2" s="1"/>
  <c r="V243" i="2"/>
  <c r="V191" i="2"/>
  <c r="AH203" i="2"/>
  <c r="AH138" i="2" s="1"/>
  <c r="AH149" i="2" s="1"/>
  <c r="BA243" i="2"/>
  <c r="BK189" i="2"/>
  <c r="BA191" i="2"/>
  <c r="M248" i="2"/>
  <c r="N141" i="2"/>
  <c r="N152" i="2" s="1"/>
  <c r="AE243" i="2"/>
  <c r="AE191" i="2"/>
  <c r="T244" i="2"/>
  <c r="T192" i="2"/>
  <c r="U216" i="2"/>
  <c r="U141" i="2" s="1"/>
  <c r="U152" i="2" s="1"/>
  <c r="AY216" i="2"/>
  <c r="AY141" i="2" s="1"/>
  <c r="AY152" i="2" s="1"/>
  <c r="BA215" i="2"/>
  <c r="BA140" i="2" s="1"/>
  <c r="BA151" i="2" s="1"/>
  <c r="BA61" i="1" s="1"/>
  <c r="AS204" i="2"/>
  <c r="AS139" i="2" s="1"/>
  <c r="AS150" i="2" s="1"/>
  <c r="U203" i="2"/>
  <c r="U138" i="2" s="1"/>
  <c r="U149" i="2" s="1"/>
  <c r="AV243" i="2"/>
  <c r="AV191" i="2"/>
  <c r="AB204" i="2"/>
  <c r="AB139" i="2" s="1"/>
  <c r="AB150" i="2" s="1"/>
  <c r="BC243" i="2"/>
  <c r="BC191" i="2"/>
  <c r="AM243" i="2"/>
  <c r="AM191" i="2"/>
  <c r="AG203" i="2"/>
  <c r="AG138" i="2" s="1"/>
  <c r="AG149" i="2" s="1"/>
  <c r="BH244" i="2"/>
  <c r="BH192" i="2"/>
  <c r="AT203" i="2"/>
  <c r="AT138" i="2" s="1"/>
  <c r="AT149" i="2" s="1"/>
  <c r="Y244" i="2"/>
  <c r="Y192" i="2"/>
  <c r="AV204" i="2"/>
  <c r="AV139" i="2" s="1"/>
  <c r="AV150" i="2" s="1"/>
  <c r="AA243" i="2"/>
  <c r="AA191" i="2"/>
  <c r="AU204" i="2"/>
  <c r="AU139" i="2" s="1"/>
  <c r="AU150" i="2" s="1"/>
  <c r="AE204" i="2"/>
  <c r="AE139" i="2" s="1"/>
  <c r="AE150" i="2" s="1"/>
  <c r="O204" i="2"/>
  <c r="O139" i="2" s="1"/>
  <c r="O150" i="2" s="1"/>
  <c r="R243" i="2"/>
  <c r="R191" i="2"/>
  <c r="H251" i="2"/>
  <c r="H252" i="2"/>
  <c r="H262" i="2"/>
  <c r="H45" i="2"/>
  <c r="BJ244" i="2"/>
  <c r="BJ192" i="2"/>
  <c r="AT243" i="2"/>
  <c r="AT191" i="2"/>
  <c r="AL244" i="2"/>
  <c r="AL192" i="2"/>
  <c r="F248" i="2"/>
  <c r="E262" i="2"/>
  <c r="E251" i="2"/>
  <c r="E252" i="2"/>
  <c r="E45" i="2"/>
  <c r="K262" i="2"/>
  <c r="K252" i="2"/>
  <c r="K251" i="2"/>
  <c r="K45" i="2"/>
  <c r="BK188" i="2"/>
  <c r="AC244" i="2"/>
  <c r="AC192" i="2"/>
  <c r="O244" i="2"/>
  <c r="O192" i="2"/>
  <c r="AO243" i="2"/>
  <c r="AO191" i="2"/>
  <c r="BG244" i="2"/>
  <c r="BG192" i="2"/>
  <c r="J243" i="2"/>
  <c r="J258" i="2" s="1"/>
  <c r="G251" i="2"/>
  <c r="G252" i="2"/>
  <c r="G262" i="2"/>
  <c r="G45" i="2"/>
  <c r="S203" i="2"/>
  <c r="S138" i="2" s="1"/>
  <c r="S149" i="2" s="1"/>
  <c r="V244" i="2"/>
  <c r="V192" i="2"/>
  <c r="Q137" i="2"/>
  <c r="Q148" i="2" s="1"/>
  <c r="Q41" i="2"/>
  <c r="Q29" i="2" s="1"/>
  <c r="BA244" i="2"/>
  <c r="BA192" i="2"/>
  <c r="BK190" i="2"/>
  <c r="AK243" i="2"/>
  <c r="AK191" i="2"/>
  <c r="E248" i="2"/>
  <c r="BO2" i="6" l="1"/>
  <c r="BP2" i="6"/>
  <c r="B216" i="2"/>
  <c r="M216" i="2" s="1"/>
  <c r="BN2" i="6"/>
  <c r="AI2" i="6"/>
  <c r="B203" i="2"/>
  <c r="M203" i="2" s="1"/>
  <c r="L203" i="2" s="1"/>
  <c r="AE259" i="2"/>
  <c r="J218" i="2"/>
  <c r="K34" i="2"/>
  <c r="Q247" i="2"/>
  <c r="L216" i="2"/>
  <c r="M141" i="2"/>
  <c r="M152" i="2" s="1"/>
  <c r="AM245" i="2"/>
  <c r="AM248" i="2" s="1"/>
  <c r="AM246" i="2"/>
  <c r="AM258" i="2"/>
  <c r="AM259" i="2"/>
  <c r="AM247" i="2"/>
  <c r="AI137" i="2"/>
  <c r="AI148" i="2" s="1"/>
  <c r="AI41" i="2"/>
  <c r="AI29" i="2" s="1"/>
  <c r="X136" i="2"/>
  <c r="X147" i="2" s="1"/>
  <c r="X40" i="2"/>
  <c r="X28" i="2" s="1"/>
  <c r="V137" i="2"/>
  <c r="V148" i="2" s="1"/>
  <c r="V41" i="2"/>
  <c r="V29" i="2" s="1"/>
  <c r="Y137" i="2"/>
  <c r="Y148" i="2" s="1"/>
  <c r="Y41" i="2"/>
  <c r="Y29" i="2" s="1"/>
  <c r="AB136" i="2"/>
  <c r="AB147" i="2" s="1"/>
  <c r="AB40" i="2"/>
  <c r="AB28" i="2" s="1"/>
  <c r="AH136" i="2"/>
  <c r="AH147" i="2" s="1"/>
  <c r="AH40" i="2"/>
  <c r="AH28" i="2" s="1"/>
  <c r="AW136" i="2"/>
  <c r="AW147" i="2" s="1"/>
  <c r="AW40" i="2"/>
  <c r="AW28" i="2" s="1"/>
  <c r="N245" i="2"/>
  <c r="N248" i="2" s="1"/>
  <c r="N246" i="2"/>
  <c r="N258" i="2"/>
  <c r="L202" i="2"/>
  <c r="O137" i="2"/>
  <c r="O148" i="2" s="1"/>
  <c r="O41" i="2"/>
  <c r="O29" i="2" s="1"/>
  <c r="AL137" i="2"/>
  <c r="AL148" i="2" s="1"/>
  <c r="AL41" i="2"/>
  <c r="AL29" i="2" s="1"/>
  <c r="AA245" i="2"/>
  <c r="AA248" i="2" s="1"/>
  <c r="AA258" i="2"/>
  <c r="AA246" i="2"/>
  <c r="AM136" i="2"/>
  <c r="AM147" i="2" s="1"/>
  <c r="AM40" i="2"/>
  <c r="AM28" i="2" s="1"/>
  <c r="I47" i="2"/>
  <c r="I50" i="2"/>
  <c r="S137" i="2"/>
  <c r="S148" i="2" s="1"/>
  <c r="S41" i="2"/>
  <c r="S29" i="2" s="1"/>
  <c r="BE137" i="2"/>
  <c r="BE148" i="2" s="1"/>
  <c r="BE41" i="2"/>
  <c r="BE29" i="2" s="1"/>
  <c r="AM137" i="2"/>
  <c r="AM148" i="2" s="1"/>
  <c r="AM41" i="2"/>
  <c r="AM29" i="2" s="1"/>
  <c r="AC258" i="2"/>
  <c r="AC245" i="2"/>
  <c r="AC248" i="2" s="1"/>
  <c r="AC246" i="2"/>
  <c r="M47" i="2"/>
  <c r="M50" i="2"/>
  <c r="BB137" i="2"/>
  <c r="BB148" i="2" s="1"/>
  <c r="BB41" i="2"/>
  <c r="BB29" i="2" s="1"/>
  <c r="R137" i="2"/>
  <c r="R148" i="2" s="1"/>
  <c r="R41" i="2"/>
  <c r="R29" i="2" s="1"/>
  <c r="AB247" i="2"/>
  <c r="AB259" i="2"/>
  <c r="AZ136" i="2"/>
  <c r="AZ147" i="2" s="1"/>
  <c r="AZ40" i="2"/>
  <c r="AZ28" i="2" s="1"/>
  <c r="AG136" i="2"/>
  <c r="AG147" i="2" s="1"/>
  <c r="AG40" i="2"/>
  <c r="AG28" i="2" s="1"/>
  <c r="AS136" i="2"/>
  <c r="AS147" i="2" s="1"/>
  <c r="AS40" i="2"/>
  <c r="AS28" i="2" s="1"/>
  <c r="AI136" i="2"/>
  <c r="AI147" i="2" s="1"/>
  <c r="AI40" i="2"/>
  <c r="AI28" i="2" s="1"/>
  <c r="AW259" i="2"/>
  <c r="AW247" i="2"/>
  <c r="AZ137" i="2"/>
  <c r="AZ148" i="2" s="1"/>
  <c r="AZ41" i="2"/>
  <c r="AZ29" i="2" s="1"/>
  <c r="AN137" i="2"/>
  <c r="AN148" i="2" s="1"/>
  <c r="AN41" i="2"/>
  <c r="AN29" i="2" s="1"/>
  <c r="AK137" i="2"/>
  <c r="AK148" i="2" s="1"/>
  <c r="AK41" i="2"/>
  <c r="AK29" i="2" s="1"/>
  <c r="K206" i="2"/>
  <c r="K198" i="2" s="1"/>
  <c r="K197" i="2"/>
  <c r="J205" i="2"/>
  <c r="F194" i="2"/>
  <c r="G186" i="2"/>
  <c r="BH258" i="2"/>
  <c r="BH245" i="2"/>
  <c r="BH248" i="2" s="1"/>
  <c r="BH246" i="2"/>
  <c r="BE259" i="2"/>
  <c r="BE247" i="2"/>
  <c r="R247" i="2"/>
  <c r="R259" i="2"/>
  <c r="AG246" i="2"/>
  <c r="AG245" i="2"/>
  <c r="AG248" i="2" s="1"/>
  <c r="AG258" i="2"/>
  <c r="AI259" i="2"/>
  <c r="AI247" i="2"/>
  <c r="BD137" i="2"/>
  <c r="BD148" i="2" s="1"/>
  <c r="BD41" i="2"/>
  <c r="BD29" i="2" s="1"/>
  <c r="AA137" i="2"/>
  <c r="AA148" i="2" s="1"/>
  <c r="AA41" i="2"/>
  <c r="AA29" i="2" s="1"/>
  <c r="AK136" i="2"/>
  <c r="AK147" i="2" s="1"/>
  <c r="AK40" i="2"/>
  <c r="AK28" i="2" s="1"/>
  <c r="V259" i="2"/>
  <c r="V247" i="2"/>
  <c r="E47" i="2"/>
  <c r="E50" i="2"/>
  <c r="AT258" i="2"/>
  <c r="AT245" i="2"/>
  <c r="AT248" i="2" s="1"/>
  <c r="AT246" i="2"/>
  <c r="R245" i="2"/>
  <c r="R248" i="2" s="1"/>
  <c r="R258" i="2"/>
  <c r="R246" i="2"/>
  <c r="Y259" i="2"/>
  <c r="Y247" i="2"/>
  <c r="BC258" i="2"/>
  <c r="BC246" i="2"/>
  <c r="BC245" i="2"/>
  <c r="BC248" i="2" s="1"/>
  <c r="V136" i="2"/>
  <c r="V147" i="2" s="1"/>
  <c r="V40" i="2"/>
  <c r="V28" i="2" s="1"/>
  <c r="AQ246" i="2"/>
  <c r="AQ258" i="2"/>
  <c r="AQ245" i="2"/>
  <c r="AQ248" i="2" s="1"/>
  <c r="AB258" i="2"/>
  <c r="AB245" i="2"/>
  <c r="AB248" i="2" s="1"/>
  <c r="AB246" i="2"/>
  <c r="P258" i="2"/>
  <c r="P246" i="2"/>
  <c r="P245" i="2"/>
  <c r="P248" i="2" s="1"/>
  <c r="M221" i="2"/>
  <c r="M226" i="2" s="1"/>
  <c r="L225" i="2"/>
  <c r="M42" i="2"/>
  <c r="M30" i="2" s="1"/>
  <c r="BJ245" i="2"/>
  <c r="BJ248" i="2" s="1"/>
  <c r="BJ246" i="2"/>
  <c r="BJ258" i="2"/>
  <c r="AH245" i="2"/>
  <c r="AH248" i="2" s="1"/>
  <c r="AH246" i="2"/>
  <c r="AH258" i="2"/>
  <c r="AF137" i="2"/>
  <c r="AF148" i="2" s="1"/>
  <c r="AF41" i="2"/>
  <c r="AF29" i="2" s="1"/>
  <c r="U259" i="2"/>
  <c r="U247" i="2"/>
  <c r="AH137" i="2"/>
  <c r="AH148" i="2" s="1"/>
  <c r="AH41" i="2"/>
  <c r="AH29" i="2" s="1"/>
  <c r="AW246" i="2"/>
  <c r="AW245" i="2"/>
  <c r="AW248" i="2" s="1"/>
  <c r="AW258" i="2"/>
  <c r="AX137" i="2"/>
  <c r="AX148" i="2" s="1"/>
  <c r="AX41" i="2"/>
  <c r="AX29" i="2" s="1"/>
  <c r="BI259" i="2"/>
  <c r="BI247" i="2"/>
  <c r="AD137" i="2"/>
  <c r="AD148" i="2" s="1"/>
  <c r="AD41" i="2"/>
  <c r="AD29" i="2" s="1"/>
  <c r="Q136" i="2"/>
  <c r="Q147" i="2" s="1"/>
  <c r="Q40" i="2"/>
  <c r="Q28" i="2" s="1"/>
  <c r="BD247" i="2"/>
  <c r="BD259" i="2"/>
  <c r="BD258" i="2"/>
  <c r="BD246" i="2"/>
  <c r="BD245" i="2"/>
  <c r="BD248" i="2" s="1"/>
  <c r="AD245" i="2"/>
  <c r="AD248" i="2" s="1"/>
  <c r="AD246" i="2"/>
  <c r="AD258" i="2"/>
  <c r="Z137" i="2"/>
  <c r="Z148" i="2" s="1"/>
  <c r="Z41" i="2"/>
  <c r="Z29" i="2" s="1"/>
  <c r="AA259" i="2"/>
  <c r="AA247" i="2"/>
  <c r="AN136" i="2"/>
  <c r="AN147" i="2" s="1"/>
  <c r="AN40" i="2"/>
  <c r="AN28" i="2" s="1"/>
  <c r="Y136" i="2"/>
  <c r="Y147" i="2" s="1"/>
  <c r="Y40" i="2"/>
  <c r="Y28" i="2" s="1"/>
  <c r="B215" i="2"/>
  <c r="M215" i="2" s="1"/>
  <c r="AZ245" i="2"/>
  <c r="AZ248" i="2" s="1"/>
  <c r="AZ246" i="2"/>
  <c r="AZ258" i="2"/>
  <c r="U136" i="2"/>
  <c r="U147" i="2" s="1"/>
  <c r="U40" i="2"/>
  <c r="U28" i="2" s="1"/>
  <c r="AZ259" i="2"/>
  <c r="AZ247" i="2"/>
  <c r="L201" i="2"/>
  <c r="L199" i="2"/>
  <c r="L200" i="2" s="1"/>
  <c r="AR259" i="2"/>
  <c r="AR247" i="2"/>
  <c r="AP245" i="2"/>
  <c r="AP248" i="2" s="1"/>
  <c r="AP246" i="2"/>
  <c r="AP258" i="2"/>
  <c r="AK258" i="2"/>
  <c r="AK245" i="2"/>
  <c r="AK248" i="2" s="1"/>
  <c r="AK246" i="2"/>
  <c r="BG137" i="2"/>
  <c r="BG148" i="2" s="1"/>
  <c r="BG41" i="2"/>
  <c r="BG29" i="2" s="1"/>
  <c r="AC137" i="2"/>
  <c r="AC148" i="2" s="1"/>
  <c r="AC41" i="2"/>
  <c r="AC29" i="2" s="1"/>
  <c r="BJ137" i="2"/>
  <c r="BJ148" i="2" s="1"/>
  <c r="BJ41" i="2"/>
  <c r="BJ29" i="2" s="1"/>
  <c r="T137" i="2"/>
  <c r="T148" i="2" s="1"/>
  <c r="T41" i="2"/>
  <c r="T29" i="2" s="1"/>
  <c r="V246" i="2"/>
  <c r="V258" i="2"/>
  <c r="V245" i="2"/>
  <c r="V248" i="2" s="1"/>
  <c r="AP137" i="2"/>
  <c r="AP148" i="2" s="1"/>
  <c r="AP41" i="2"/>
  <c r="AP29" i="2" s="1"/>
  <c r="BG136" i="2"/>
  <c r="BG147" i="2" s="1"/>
  <c r="BG40" i="2"/>
  <c r="BG28" i="2" s="1"/>
  <c r="AR136" i="2"/>
  <c r="AR147" i="2" s="1"/>
  <c r="AR40" i="2"/>
  <c r="AR28" i="2" s="1"/>
  <c r="AF136" i="2"/>
  <c r="AF147" i="2" s="1"/>
  <c r="AF40" i="2"/>
  <c r="AF28" i="2" s="1"/>
  <c r="B192" i="2"/>
  <c r="M192" i="2" s="1"/>
  <c r="N137" i="2"/>
  <c r="N148" i="2" s="1"/>
  <c r="N41" i="2"/>
  <c r="N29" i="2" s="1"/>
  <c r="BF137" i="2"/>
  <c r="BF148" i="2" s="1"/>
  <c r="BF41" i="2"/>
  <c r="BF29" i="2" s="1"/>
  <c r="W137" i="2"/>
  <c r="W148" i="2" s="1"/>
  <c r="W41" i="2"/>
  <c r="W29" i="2" s="1"/>
  <c r="AF259" i="2"/>
  <c r="AF247" i="2"/>
  <c r="AH259" i="2"/>
  <c r="AH247" i="2"/>
  <c r="B204" i="2"/>
  <c r="M204" i="2" s="1"/>
  <c r="N139" i="2"/>
  <c r="N150" i="2" s="1"/>
  <c r="AX259" i="2"/>
  <c r="AX247" i="2"/>
  <c r="AD247" i="2"/>
  <c r="AD259" i="2"/>
  <c r="AX136" i="2"/>
  <c r="AX147" i="2" s="1"/>
  <c r="AX40" i="2"/>
  <c r="AX28" i="2" s="1"/>
  <c r="Q246" i="2"/>
  <c r="Q245" i="2"/>
  <c r="Q248" i="2" s="1"/>
  <c r="Q258" i="2"/>
  <c r="T136" i="2"/>
  <c r="T147" i="2" s="1"/>
  <c r="T40" i="2"/>
  <c r="T28" i="2" s="1"/>
  <c r="AU136" i="2"/>
  <c r="AU147" i="2" s="1"/>
  <c r="AU40" i="2"/>
  <c r="AU28" i="2" s="1"/>
  <c r="AY136" i="2"/>
  <c r="AY147" i="2" s="1"/>
  <c r="AY40" i="2"/>
  <c r="AY28" i="2" s="1"/>
  <c r="BI136" i="2"/>
  <c r="BI147" i="2" s="1"/>
  <c r="BI40" i="2"/>
  <c r="BI28" i="2" s="1"/>
  <c r="AT137" i="2"/>
  <c r="AT148" i="2" s="1"/>
  <c r="AT41" i="2"/>
  <c r="AT29" i="2" s="1"/>
  <c r="Z259" i="2"/>
  <c r="Z247" i="2"/>
  <c r="AQ137" i="2"/>
  <c r="AQ148" i="2" s="1"/>
  <c r="AQ41" i="2"/>
  <c r="AQ29" i="2" s="1"/>
  <c r="O136" i="2"/>
  <c r="O147" i="2" s="1"/>
  <c r="O40" i="2"/>
  <c r="O28" i="2" s="1"/>
  <c r="AN258" i="2"/>
  <c r="AN246" i="2"/>
  <c r="AN245" i="2"/>
  <c r="AN248" i="2" s="1"/>
  <c r="Y246" i="2"/>
  <c r="Y258" i="2"/>
  <c r="Y245" i="2"/>
  <c r="Y248" i="2" s="1"/>
  <c r="AE254" i="2"/>
  <c r="AE253" i="2"/>
  <c r="AE46" i="2"/>
  <c r="AE48" i="2" s="1"/>
  <c r="AE26" i="2" s="1"/>
  <c r="AE256" i="2" s="1"/>
  <c r="AL259" i="2"/>
  <c r="AL247" i="2"/>
  <c r="BA246" i="2"/>
  <c r="BA258" i="2"/>
  <c r="BA245" i="2"/>
  <c r="BA248" i="2" s="1"/>
  <c r="AS137" i="2"/>
  <c r="AS148" i="2" s="1"/>
  <c r="AS41" i="2"/>
  <c r="AS29" i="2" s="1"/>
  <c r="AR41" i="2"/>
  <c r="AR29" i="2" s="1"/>
  <c r="AR137" i="2"/>
  <c r="AR148" i="2" s="1"/>
  <c r="M228" i="2"/>
  <c r="M177" i="2" s="1"/>
  <c r="L230" i="2"/>
  <c r="M39" i="2"/>
  <c r="M27" i="2" s="1"/>
  <c r="AI246" i="2"/>
  <c r="AI258" i="2"/>
  <c r="AI245" i="2"/>
  <c r="AI248" i="2" s="1"/>
  <c r="AT136" i="2"/>
  <c r="AT147" i="2" s="1"/>
  <c r="AT40" i="2"/>
  <c r="AT28" i="2" s="1"/>
  <c r="P136" i="2"/>
  <c r="P147" i="2" s="1"/>
  <c r="P40" i="2"/>
  <c r="P28" i="2" s="1"/>
  <c r="P259" i="2"/>
  <c r="P247" i="2"/>
  <c r="U245" i="2"/>
  <c r="U248" i="2" s="1"/>
  <c r="U246" i="2"/>
  <c r="U258" i="2"/>
  <c r="BD136" i="2"/>
  <c r="BD147" i="2" s="1"/>
  <c r="BD40" i="2"/>
  <c r="BD28" i="2" s="1"/>
  <c r="G50" i="2"/>
  <c r="G47" i="2"/>
  <c r="BG259" i="2"/>
  <c r="BG247" i="2"/>
  <c r="AC259" i="2"/>
  <c r="AC247" i="2"/>
  <c r="BJ259" i="2"/>
  <c r="BJ247" i="2"/>
  <c r="BH41" i="2"/>
  <c r="BH29" i="2" s="1"/>
  <c r="BH137" i="2"/>
  <c r="BH148" i="2" s="1"/>
  <c r="AV136" i="2"/>
  <c r="AV147" i="2" s="1"/>
  <c r="AV40" i="2"/>
  <c r="AV28" i="2" s="1"/>
  <c r="T259" i="2"/>
  <c r="T247" i="2"/>
  <c r="AP259" i="2"/>
  <c r="AP247" i="2"/>
  <c r="BG258" i="2"/>
  <c r="BG245" i="2"/>
  <c r="BG248" i="2" s="1"/>
  <c r="BG246" i="2"/>
  <c r="AR246" i="2"/>
  <c r="AR258" i="2"/>
  <c r="AR245" i="2"/>
  <c r="AR248" i="2" s="1"/>
  <c r="AF258" i="2"/>
  <c r="AF246" i="2"/>
  <c r="AF245" i="2"/>
  <c r="AF248" i="2" s="1"/>
  <c r="BK34" i="2"/>
  <c r="D252" i="2"/>
  <c r="D262" i="2"/>
  <c r="D251" i="2"/>
  <c r="D45" i="2"/>
  <c r="N259" i="2"/>
  <c r="N247" i="2"/>
  <c r="BF259" i="2"/>
  <c r="BF247" i="2"/>
  <c r="W259" i="2"/>
  <c r="W247" i="2"/>
  <c r="AE137" i="2"/>
  <c r="AE148" i="2" s="1"/>
  <c r="AE41" i="2"/>
  <c r="AE29" i="2" s="1"/>
  <c r="AY137" i="2"/>
  <c r="AY148" i="2" s="1"/>
  <c r="AY41" i="2"/>
  <c r="AY29" i="2" s="1"/>
  <c r="BB136" i="2"/>
  <c r="BB147" i="2" s="1"/>
  <c r="BB40" i="2"/>
  <c r="BB28" i="2" s="1"/>
  <c r="AX245" i="2"/>
  <c r="AX248" i="2" s="1"/>
  <c r="AX258" i="2"/>
  <c r="AX246" i="2"/>
  <c r="AG137" i="2"/>
  <c r="AG148" i="2" s="1"/>
  <c r="AG41" i="2"/>
  <c r="AG29" i="2" s="1"/>
  <c r="T258" i="2"/>
  <c r="T245" i="2"/>
  <c r="T248" i="2" s="1"/>
  <c r="T246" i="2"/>
  <c r="AU258" i="2"/>
  <c r="AU245" i="2"/>
  <c r="AU248" i="2" s="1"/>
  <c r="AU246" i="2"/>
  <c r="AY245" i="2"/>
  <c r="AY248" i="2" s="1"/>
  <c r="AY246" i="2"/>
  <c r="AY258" i="2"/>
  <c r="BI258" i="2"/>
  <c r="BI245" i="2"/>
  <c r="BI248" i="2" s="1"/>
  <c r="BI246" i="2"/>
  <c r="AT259" i="2"/>
  <c r="AT247" i="2"/>
  <c r="AQ259" i="2"/>
  <c r="AQ247" i="2"/>
  <c r="O245" i="2"/>
  <c r="O248" i="2" s="1"/>
  <c r="O246" i="2"/>
  <c r="O258" i="2"/>
  <c r="BE40" i="2"/>
  <c r="BE28" i="2" s="1"/>
  <c r="BE136" i="2"/>
  <c r="BE147" i="2" s="1"/>
  <c r="O259" i="2"/>
  <c r="O247" i="2"/>
  <c r="S247" i="2"/>
  <c r="S259" i="2"/>
  <c r="BB247" i="2"/>
  <c r="BB259" i="2"/>
  <c r="AS246" i="2"/>
  <c r="AS258" i="2"/>
  <c r="AS245" i="2"/>
  <c r="AS248" i="2" s="1"/>
  <c r="AK259" i="2"/>
  <c r="AK247" i="2"/>
  <c r="AP136" i="2"/>
  <c r="AP147" i="2" s="1"/>
  <c r="AP40" i="2"/>
  <c r="AP28" i="2" s="1"/>
  <c r="J262" i="2"/>
  <c r="J252" i="2"/>
  <c r="J251" i="2"/>
  <c r="J45" i="2"/>
  <c r="R136" i="2"/>
  <c r="R147" i="2" s="1"/>
  <c r="R40" i="2"/>
  <c r="R28" i="2" s="1"/>
  <c r="AQ136" i="2"/>
  <c r="AQ147" i="2" s="1"/>
  <c r="AQ40" i="2"/>
  <c r="AQ28" i="2" s="1"/>
  <c r="BJ136" i="2"/>
  <c r="BJ147" i="2" s="1"/>
  <c r="BJ40" i="2"/>
  <c r="BJ28" i="2" s="1"/>
  <c r="U137" i="2"/>
  <c r="U148" i="2" s="1"/>
  <c r="U41" i="2"/>
  <c r="U29" i="2" s="1"/>
  <c r="BI137" i="2"/>
  <c r="BI148" i="2" s="1"/>
  <c r="BI41" i="2"/>
  <c r="BI29" i="2" s="1"/>
  <c r="AD136" i="2"/>
  <c r="AD147" i="2" s="1"/>
  <c r="AD40" i="2"/>
  <c r="AD28" i="2" s="1"/>
  <c r="X258" i="2"/>
  <c r="X246" i="2"/>
  <c r="X245" i="2"/>
  <c r="X248" i="2" s="1"/>
  <c r="BA137" i="2"/>
  <c r="BA148" i="2" s="1"/>
  <c r="BA41" i="2"/>
  <c r="BA29" i="2" s="1"/>
  <c r="AO136" i="2"/>
  <c r="AO147" i="2" s="1"/>
  <c r="AO40" i="2"/>
  <c r="AO28" i="2" s="1"/>
  <c r="H47" i="2"/>
  <c r="H50" i="2"/>
  <c r="BH259" i="2"/>
  <c r="BH247" i="2"/>
  <c r="AV258" i="2"/>
  <c r="AV246" i="2"/>
  <c r="AV245" i="2"/>
  <c r="AV248" i="2" s="1"/>
  <c r="AE136" i="2"/>
  <c r="AE147" i="2" s="1"/>
  <c r="AE40" i="2"/>
  <c r="AE28" i="2" s="1"/>
  <c r="F251" i="2"/>
  <c r="F252" i="2"/>
  <c r="F262" i="2"/>
  <c r="F45" i="2"/>
  <c r="BF136" i="2"/>
  <c r="BF147" i="2" s="1"/>
  <c r="BF40" i="2"/>
  <c r="BF28" i="2" s="1"/>
  <c r="AO137" i="2"/>
  <c r="AO148" i="2" s="1"/>
  <c r="AO41" i="2"/>
  <c r="AO29" i="2" s="1"/>
  <c r="W136" i="2"/>
  <c r="W147" i="2" s="1"/>
  <c r="W40" i="2"/>
  <c r="W28" i="2" s="1"/>
  <c r="AV137" i="2"/>
  <c r="AV148" i="2" s="1"/>
  <c r="AV41" i="2"/>
  <c r="AV29" i="2" s="1"/>
  <c r="AU137" i="2"/>
  <c r="AU148" i="2" s="1"/>
  <c r="AU41" i="2"/>
  <c r="AU29" i="2" s="1"/>
  <c r="AL136" i="2"/>
  <c r="AL147" i="2" s="1"/>
  <c r="AL40" i="2"/>
  <c r="AL28" i="2" s="1"/>
  <c r="BC137" i="2"/>
  <c r="BC148" i="2" s="1"/>
  <c r="BC41" i="2"/>
  <c r="BC29" i="2" s="1"/>
  <c r="Z136" i="2"/>
  <c r="Z147" i="2" s="1"/>
  <c r="Z40" i="2"/>
  <c r="Z28" i="2" s="1"/>
  <c r="AY259" i="2"/>
  <c r="AY247" i="2"/>
  <c r="BB246" i="2"/>
  <c r="BB258" i="2"/>
  <c r="BB245" i="2"/>
  <c r="BB248" i="2" s="1"/>
  <c r="S136" i="2"/>
  <c r="S147" i="2" s="1"/>
  <c r="S40" i="2"/>
  <c r="S28" i="2" s="1"/>
  <c r="AG259" i="2"/>
  <c r="AG247" i="2"/>
  <c r="AJ136" i="2"/>
  <c r="AJ147" i="2" s="1"/>
  <c r="AJ40" i="2"/>
  <c r="AJ28" i="2" s="1"/>
  <c r="X137" i="2"/>
  <c r="X148" i="2" s="1"/>
  <c r="X41" i="2"/>
  <c r="X29" i="2" s="1"/>
  <c r="AJ41" i="2"/>
  <c r="AJ29" i="2" s="1"/>
  <c r="AJ137" i="2"/>
  <c r="AJ148" i="2" s="1"/>
  <c r="L236" i="2"/>
  <c r="M43" i="2"/>
  <c r="M31" i="2" s="1"/>
  <c r="M234" i="2"/>
  <c r="BE258" i="2"/>
  <c r="BE246" i="2"/>
  <c r="BE245" i="2"/>
  <c r="BE248" i="2" s="1"/>
  <c r="Q253" i="2"/>
  <c r="Q254" i="2"/>
  <c r="Q46" i="2"/>
  <c r="Q48" i="2" s="1"/>
  <c r="Q26" i="2" s="1"/>
  <c r="Q256" i="2" s="1"/>
  <c r="P137" i="2"/>
  <c r="P148" i="2" s="1"/>
  <c r="P41" i="2"/>
  <c r="P29" i="2" s="1"/>
  <c r="B191" i="2"/>
  <c r="M191" i="2" s="1"/>
  <c r="N136" i="2"/>
  <c r="N147" i="2" s="1"/>
  <c r="N40" i="2"/>
  <c r="N28" i="2" s="1"/>
  <c r="AN247" i="2"/>
  <c r="AN259" i="2"/>
  <c r="BC136" i="2"/>
  <c r="BC147" i="2" s="1"/>
  <c r="BC40" i="2"/>
  <c r="BC28" i="2" s="1"/>
  <c r="AS259" i="2"/>
  <c r="AS247" i="2"/>
  <c r="BA259" i="2"/>
  <c r="BA247" i="2"/>
  <c r="AO246" i="2"/>
  <c r="AO245" i="2"/>
  <c r="AO248" i="2" s="1"/>
  <c r="AO258" i="2"/>
  <c r="K47" i="2"/>
  <c r="K50" i="2"/>
  <c r="AA136" i="2"/>
  <c r="AA147" i="2" s="1"/>
  <c r="AA40" i="2"/>
  <c r="AA28" i="2" s="1"/>
  <c r="AE246" i="2"/>
  <c r="AE258" i="2"/>
  <c r="AE245" i="2"/>
  <c r="AE248" i="2" s="1"/>
  <c r="BA136" i="2"/>
  <c r="BA147" i="2" s="1"/>
  <c r="BA40" i="2"/>
  <c r="BA28" i="2" s="1"/>
  <c r="BF245" i="2"/>
  <c r="BF248" i="2" s="1"/>
  <c r="BF258" i="2"/>
  <c r="BF246" i="2"/>
  <c r="AO247" i="2"/>
  <c r="AO259" i="2"/>
  <c r="W246" i="2"/>
  <c r="W258" i="2"/>
  <c r="W245" i="2"/>
  <c r="W248" i="2" s="1"/>
  <c r="AV259" i="2"/>
  <c r="AV247" i="2"/>
  <c r="AU259" i="2"/>
  <c r="AU247" i="2"/>
  <c r="AC136" i="2"/>
  <c r="AC147" i="2" s="1"/>
  <c r="AC40" i="2"/>
  <c r="AC28" i="2" s="1"/>
  <c r="AL258" i="2"/>
  <c r="AL245" i="2"/>
  <c r="AL248" i="2" s="1"/>
  <c r="AL246" i="2"/>
  <c r="AB41" i="2"/>
  <c r="AB29" i="2" s="1"/>
  <c r="AB137" i="2"/>
  <c r="AB148" i="2" s="1"/>
  <c r="BC247" i="2"/>
  <c r="BC259" i="2"/>
  <c r="Z245" i="2"/>
  <c r="Z248" i="2" s="1"/>
  <c r="Z246" i="2"/>
  <c r="Z258" i="2"/>
  <c r="L252" i="2"/>
  <c r="L262" i="2"/>
  <c r="L251" i="2"/>
  <c r="L45" i="2"/>
  <c r="S258" i="2"/>
  <c r="S245" i="2"/>
  <c r="S248" i="2" s="1"/>
  <c r="S246" i="2"/>
  <c r="AW137" i="2"/>
  <c r="AW148" i="2" s="1"/>
  <c r="AW41" i="2"/>
  <c r="AW29" i="2" s="1"/>
  <c r="AJ258" i="2"/>
  <c r="AJ245" i="2"/>
  <c r="AJ248" i="2" s="1"/>
  <c r="AJ246" i="2"/>
  <c r="X259" i="2"/>
  <c r="X247" i="2"/>
  <c r="AJ259" i="2"/>
  <c r="AJ247" i="2"/>
  <c r="BH136" i="2"/>
  <c r="BH147" i="2" s="1"/>
  <c r="BH40" i="2"/>
  <c r="BH28" i="2" s="1"/>
  <c r="M138" i="2" l="1"/>
  <c r="M149" i="2" s="1"/>
  <c r="I218" i="2"/>
  <c r="J34" i="2"/>
  <c r="L192" i="2"/>
  <c r="M137" i="2"/>
  <c r="M148" i="2" s="1"/>
  <c r="M41" i="2"/>
  <c r="M29" i="2" s="1"/>
  <c r="AC254" i="2"/>
  <c r="AC253" i="2"/>
  <c r="AC46" i="2"/>
  <c r="AC48" i="2" s="1"/>
  <c r="AC26" i="2" s="1"/>
  <c r="AC256" i="2" s="1"/>
  <c r="AK262" i="2"/>
  <c r="AK251" i="2"/>
  <c r="AK252" i="2"/>
  <c r="AK45" i="2"/>
  <c r="AJ252" i="2"/>
  <c r="AJ262" i="2"/>
  <c r="AJ251" i="2"/>
  <c r="AJ45" i="2"/>
  <c r="AU253" i="2"/>
  <c r="AU254" i="2"/>
  <c r="AU46" i="2"/>
  <c r="AU48" i="2" s="1"/>
  <c r="AU26" i="2" s="1"/>
  <c r="AU256" i="2" s="1"/>
  <c r="BA253" i="2"/>
  <c r="BA254" i="2"/>
  <c r="BA46" i="2"/>
  <c r="BA48" i="2" s="1"/>
  <c r="BA26" i="2" s="1"/>
  <c r="BA256" i="2" s="1"/>
  <c r="AY254" i="2"/>
  <c r="AY253" i="2"/>
  <c r="AY46" i="2"/>
  <c r="AY48" i="2" s="1"/>
  <c r="AY26" i="2" s="1"/>
  <c r="AY256" i="2" s="1"/>
  <c r="AK254" i="2"/>
  <c r="AK253" i="2"/>
  <c r="AK46" i="2"/>
  <c r="AK48" i="2" s="1"/>
  <c r="AK26" i="2" s="1"/>
  <c r="AK256" i="2" s="1"/>
  <c r="AQ253" i="2"/>
  <c r="AQ254" i="2"/>
  <c r="AQ46" i="2"/>
  <c r="AQ48" i="2" s="1"/>
  <c r="AQ26" i="2" s="1"/>
  <c r="AQ256" i="2" s="1"/>
  <c r="D47" i="2"/>
  <c r="D50" i="2"/>
  <c r="U262" i="2"/>
  <c r="U252" i="2"/>
  <c r="U251" i="2"/>
  <c r="U45" i="2"/>
  <c r="AN252" i="2"/>
  <c r="AN262" i="2"/>
  <c r="AN251" i="2"/>
  <c r="AN45" i="2"/>
  <c r="AF254" i="2"/>
  <c r="AF253" i="2"/>
  <c r="AF46" i="2"/>
  <c r="AF48" i="2" s="1"/>
  <c r="AF26" i="2" s="1"/>
  <c r="AF256" i="2" s="1"/>
  <c r="AA253" i="2"/>
  <c r="AA254" i="2"/>
  <c r="AA46" i="2"/>
  <c r="AA48" i="2" s="1"/>
  <c r="AA26" i="2" s="1"/>
  <c r="AA256" i="2" s="1"/>
  <c r="BD262" i="2"/>
  <c r="BD252" i="2"/>
  <c r="BD251" i="2"/>
  <c r="BI253" i="2"/>
  <c r="BI254" i="2"/>
  <c r="BH252" i="2"/>
  <c r="BH251" i="2"/>
  <c r="BH262" i="2"/>
  <c r="AM254" i="2"/>
  <c r="AM253" i="2"/>
  <c r="AM46" i="2"/>
  <c r="AM48" i="2" s="1"/>
  <c r="AM26" i="2" s="1"/>
  <c r="AM256" i="2" s="1"/>
  <c r="L191" i="2"/>
  <c r="M136" i="2"/>
  <c r="M147" i="2" s="1"/>
  <c r="AM251" i="2"/>
  <c r="AM262" i="2"/>
  <c r="AM252" i="2"/>
  <c r="AM45" i="2"/>
  <c r="AV253" i="2"/>
  <c r="AV254" i="2"/>
  <c r="AV46" i="2"/>
  <c r="AV48" i="2" s="1"/>
  <c r="AV26" i="2" s="1"/>
  <c r="AV256" i="2" s="1"/>
  <c r="AS253" i="2"/>
  <c r="AS254" i="2"/>
  <c r="AS46" i="2"/>
  <c r="AS48" i="2" s="1"/>
  <c r="AS26" i="2" s="1"/>
  <c r="AS256" i="2" s="1"/>
  <c r="AS251" i="2"/>
  <c r="AS252" i="2"/>
  <c r="AS262" i="2"/>
  <c r="AS45" i="2"/>
  <c r="AT254" i="2"/>
  <c r="AT253" i="2"/>
  <c r="AT46" i="2"/>
  <c r="AT48" i="2" s="1"/>
  <c r="AT26" i="2" s="1"/>
  <c r="AT256" i="2" s="1"/>
  <c r="AX262" i="2"/>
  <c r="AX252" i="2"/>
  <c r="AX251" i="2"/>
  <c r="AX45" i="2"/>
  <c r="AI251" i="2"/>
  <c r="AI252" i="2"/>
  <c r="AI262" i="2"/>
  <c r="AI45" i="2"/>
  <c r="V252" i="2"/>
  <c r="V262" i="2"/>
  <c r="V251" i="2"/>
  <c r="V45" i="2"/>
  <c r="AP262" i="2"/>
  <c r="AP251" i="2"/>
  <c r="AP252" i="2"/>
  <c r="AP45" i="2"/>
  <c r="L215" i="2"/>
  <c r="M140" i="2"/>
  <c r="M151" i="2" s="1"/>
  <c r="M61" i="1" s="1"/>
  <c r="AB252" i="2"/>
  <c r="AB262" i="2"/>
  <c r="AB251" i="2"/>
  <c r="AB45" i="2"/>
  <c r="BC251" i="2"/>
  <c r="BC262" i="2"/>
  <c r="BC252" i="2"/>
  <c r="AT251" i="2"/>
  <c r="AT252" i="2"/>
  <c r="AT262" i="2"/>
  <c r="AT45" i="2"/>
  <c r="R253" i="2"/>
  <c r="R254" i="2"/>
  <c r="R46" i="2"/>
  <c r="R48" i="2" s="1"/>
  <c r="R26" i="2" s="1"/>
  <c r="R256" i="2" s="1"/>
  <c r="F186" i="2"/>
  <c r="E194" i="2"/>
  <c r="AV262" i="2"/>
  <c r="AV252" i="2"/>
  <c r="AV251" i="2"/>
  <c r="AV45" i="2"/>
  <c r="AJ253" i="2"/>
  <c r="AJ254" i="2"/>
  <c r="AJ46" i="2"/>
  <c r="AJ48" i="2" s="1"/>
  <c r="AJ26" i="2" s="1"/>
  <c r="AJ256" i="2" s="1"/>
  <c r="Z262" i="2"/>
  <c r="Z251" i="2"/>
  <c r="Z252" i="2"/>
  <c r="Z45" i="2"/>
  <c r="K51" i="2"/>
  <c r="K25" i="2"/>
  <c r="BB262" i="2"/>
  <c r="BB251" i="2"/>
  <c r="BB252" i="2"/>
  <c r="BB45" i="2"/>
  <c r="BH253" i="2"/>
  <c r="BH254" i="2"/>
  <c r="AU251" i="2"/>
  <c r="AU262" i="2"/>
  <c r="AU252" i="2"/>
  <c r="AU45" i="2"/>
  <c r="W254" i="2"/>
  <c r="W253" i="2"/>
  <c r="W46" i="2"/>
  <c r="W48" i="2" s="1"/>
  <c r="W26" i="2" s="1"/>
  <c r="W256" i="2" s="1"/>
  <c r="BG254" i="2"/>
  <c r="BG253" i="2"/>
  <c r="L204" i="2"/>
  <c r="M139" i="2"/>
  <c r="M150" i="2" s="1"/>
  <c r="AD262" i="2"/>
  <c r="AD252" i="2"/>
  <c r="AD251" i="2"/>
  <c r="AD45" i="2"/>
  <c r="AW252" i="2"/>
  <c r="AW262" i="2"/>
  <c r="AW251" i="2"/>
  <c r="AW45" i="2"/>
  <c r="L221" i="2"/>
  <c r="L226" i="2" s="1"/>
  <c r="K225" i="2"/>
  <c r="L42" i="2"/>
  <c r="L30" i="2" s="1"/>
  <c r="T254" i="2"/>
  <c r="T253" i="2"/>
  <c r="T46" i="2"/>
  <c r="T48" i="2" s="1"/>
  <c r="T26" i="2" s="1"/>
  <c r="T256" i="2" s="1"/>
  <c r="BD253" i="2"/>
  <c r="BD254" i="2"/>
  <c r="AL262" i="2"/>
  <c r="AL251" i="2"/>
  <c r="AL252" i="2"/>
  <c r="AL45" i="2"/>
  <c r="W251" i="2"/>
  <c r="W252" i="2"/>
  <c r="W262" i="2"/>
  <c r="W45" i="2"/>
  <c r="AO262" i="2"/>
  <c r="AO251" i="2"/>
  <c r="AO252" i="2"/>
  <c r="AO45" i="2"/>
  <c r="BE262" i="2"/>
  <c r="BE252" i="2"/>
  <c r="BE251" i="2"/>
  <c r="X252" i="2"/>
  <c r="X262" i="2"/>
  <c r="X251" i="2"/>
  <c r="X45" i="2"/>
  <c r="BB254" i="2"/>
  <c r="BB253" i="2"/>
  <c r="BB46" i="2"/>
  <c r="BB48" i="2" s="1"/>
  <c r="BB26" i="2" s="1"/>
  <c r="BB256" i="2" s="1"/>
  <c r="O251" i="2"/>
  <c r="O262" i="2"/>
  <c r="O252" i="2"/>
  <c r="O45" i="2"/>
  <c r="G51" i="2"/>
  <c r="G25" i="2"/>
  <c r="P253" i="2"/>
  <c r="P254" i="2"/>
  <c r="P46" i="2"/>
  <c r="P48" i="2" s="1"/>
  <c r="P26" i="2" s="1"/>
  <c r="P256" i="2" s="1"/>
  <c r="BA251" i="2"/>
  <c r="BA262" i="2"/>
  <c r="BA252" i="2"/>
  <c r="BA45" i="2"/>
  <c r="Y251" i="2"/>
  <c r="Y262" i="2"/>
  <c r="Y252" i="2"/>
  <c r="Y45" i="2"/>
  <c r="AZ254" i="2"/>
  <c r="AZ253" i="2"/>
  <c r="AZ46" i="2"/>
  <c r="AZ48" i="2" s="1"/>
  <c r="AZ26" i="2" s="1"/>
  <c r="AZ256" i="2" s="1"/>
  <c r="AH262" i="2"/>
  <c r="AH251" i="2"/>
  <c r="AH252" i="2"/>
  <c r="AH45" i="2"/>
  <c r="AQ251" i="2"/>
  <c r="AQ252" i="2"/>
  <c r="AQ262" i="2"/>
  <c r="AQ45" i="2"/>
  <c r="Y253" i="2"/>
  <c r="Y254" i="2"/>
  <c r="Y46" i="2"/>
  <c r="Y48" i="2" s="1"/>
  <c r="Y26" i="2" s="1"/>
  <c r="Y256" i="2" s="1"/>
  <c r="E51" i="2"/>
  <c r="E25" i="2"/>
  <c r="I205" i="2"/>
  <c r="J206" i="2"/>
  <c r="J198" i="2" s="1"/>
  <c r="J197" i="2"/>
  <c r="O254" i="2"/>
  <c r="O253" i="2"/>
  <c r="O46" i="2"/>
  <c r="O48" i="2" s="1"/>
  <c r="O26" i="2" s="1"/>
  <c r="O256" i="2" s="1"/>
  <c r="AR252" i="2"/>
  <c r="AR251" i="2"/>
  <c r="AR262" i="2"/>
  <c r="AR45" i="2"/>
  <c r="Q251" i="2"/>
  <c r="Q252" i="2"/>
  <c r="Q262" i="2"/>
  <c r="Q45" i="2"/>
  <c r="I51" i="2"/>
  <c r="I25" i="2"/>
  <c r="X253" i="2"/>
  <c r="X254" i="2"/>
  <c r="X46" i="2"/>
  <c r="X48" i="2" s="1"/>
  <c r="X26" i="2" s="1"/>
  <c r="X256" i="2" s="1"/>
  <c r="S252" i="2"/>
  <c r="S251" i="2"/>
  <c r="S262" i="2"/>
  <c r="S45" i="2"/>
  <c r="AN254" i="2"/>
  <c r="AN253" i="2"/>
  <c r="AN46" i="2"/>
  <c r="AN48" i="2" s="1"/>
  <c r="AN26" i="2" s="1"/>
  <c r="AN256" i="2" s="1"/>
  <c r="M237" i="2"/>
  <c r="M219" i="2" s="1"/>
  <c r="M36" i="2"/>
  <c r="M35" i="2" s="1"/>
  <c r="H51" i="2"/>
  <c r="H25" i="2"/>
  <c r="BI251" i="2"/>
  <c r="BI252" i="2"/>
  <c r="BI262" i="2"/>
  <c r="BF254" i="2"/>
  <c r="BF253" i="2"/>
  <c r="BG262" i="2"/>
  <c r="BG252" i="2"/>
  <c r="BG251" i="2"/>
  <c r="K230" i="2"/>
  <c r="L228" i="2"/>
  <c r="L177" i="2" s="1"/>
  <c r="L39" i="2"/>
  <c r="L27" i="2" s="1"/>
  <c r="BE253" i="2"/>
  <c r="BE254" i="2"/>
  <c r="K199" i="2"/>
  <c r="K200" i="2" s="1"/>
  <c r="K201" i="2"/>
  <c r="AA262" i="2"/>
  <c r="AA251" i="2"/>
  <c r="AA252" i="2"/>
  <c r="AA45" i="2"/>
  <c r="K216" i="2"/>
  <c r="L141" i="2"/>
  <c r="L152" i="2" s="1"/>
  <c r="U254" i="2"/>
  <c r="U253" i="2"/>
  <c r="U46" i="2"/>
  <c r="U48" i="2" s="1"/>
  <c r="U26" i="2" s="1"/>
  <c r="U256" i="2" s="1"/>
  <c r="BC253" i="2"/>
  <c r="BC254" i="2"/>
  <c r="AO253" i="2"/>
  <c r="AO254" i="2"/>
  <c r="AO46" i="2"/>
  <c r="AO48" i="2" s="1"/>
  <c r="AO26" i="2" s="1"/>
  <c r="AO256" i="2" s="1"/>
  <c r="AE251" i="2"/>
  <c r="AE252" i="2"/>
  <c r="AE262" i="2"/>
  <c r="AE45" i="2"/>
  <c r="S253" i="2"/>
  <c r="S254" i="2"/>
  <c r="S46" i="2"/>
  <c r="S48" i="2" s="1"/>
  <c r="S26" i="2" s="1"/>
  <c r="S256" i="2" s="1"/>
  <c r="AY262" i="2"/>
  <c r="AY251" i="2"/>
  <c r="AY252" i="2"/>
  <c r="AY45" i="2"/>
  <c r="T252" i="2"/>
  <c r="T262" i="2"/>
  <c r="T251" i="2"/>
  <c r="T45" i="2"/>
  <c r="M231" i="2"/>
  <c r="M193" i="2" s="1"/>
  <c r="M185" i="2" s="1"/>
  <c r="M32" i="2"/>
  <c r="M33" i="2" s="1"/>
  <c r="M209" i="2"/>
  <c r="M217" i="2" s="1"/>
  <c r="Z253" i="2"/>
  <c r="Z254" i="2"/>
  <c r="Z46" i="2"/>
  <c r="Z48" i="2" s="1"/>
  <c r="Z26" i="2" s="1"/>
  <c r="Z256" i="2" s="1"/>
  <c r="AD254" i="2"/>
  <c r="AD253" i="2"/>
  <c r="AD46" i="2"/>
  <c r="AD48" i="2" s="1"/>
  <c r="AD26" i="2" s="1"/>
  <c r="AD256" i="2" s="1"/>
  <c r="AH253" i="2"/>
  <c r="AH254" i="2"/>
  <c r="AH46" i="2"/>
  <c r="AH48" i="2" s="1"/>
  <c r="AH26" i="2" s="1"/>
  <c r="AH256" i="2" s="1"/>
  <c r="AR253" i="2"/>
  <c r="AR254" i="2"/>
  <c r="AR46" i="2"/>
  <c r="AR48" i="2" s="1"/>
  <c r="AR26" i="2" s="1"/>
  <c r="AR256" i="2" s="1"/>
  <c r="R262" i="2"/>
  <c r="R252" i="2"/>
  <c r="R251" i="2"/>
  <c r="R45" i="2"/>
  <c r="V254" i="2"/>
  <c r="V253" i="2"/>
  <c r="V46" i="2"/>
  <c r="V48" i="2" s="1"/>
  <c r="V26" i="2" s="1"/>
  <c r="V256" i="2" s="1"/>
  <c r="AI253" i="2"/>
  <c r="AI254" i="2"/>
  <c r="AI46" i="2"/>
  <c r="AI48" i="2" s="1"/>
  <c r="AI26" i="2" s="1"/>
  <c r="AI256" i="2" s="1"/>
  <c r="K202" i="2"/>
  <c r="AW253" i="2"/>
  <c r="AW254" i="2"/>
  <c r="AW46" i="2"/>
  <c r="AW48" i="2" s="1"/>
  <c r="AW26" i="2" s="1"/>
  <c r="AW256" i="2" s="1"/>
  <c r="M51" i="2"/>
  <c r="M25" i="2"/>
  <c r="N262" i="2"/>
  <c r="N251" i="2"/>
  <c r="N252" i="2"/>
  <c r="N45" i="2"/>
  <c r="BF262" i="2"/>
  <c r="BF252" i="2"/>
  <c r="BF251" i="2"/>
  <c r="F50" i="2"/>
  <c r="F47" i="2"/>
  <c r="J47" i="2"/>
  <c r="J50" i="2"/>
  <c r="AX254" i="2"/>
  <c r="AX253" i="2"/>
  <c r="AX46" i="2"/>
  <c r="AX48" i="2" s="1"/>
  <c r="AX26" i="2" s="1"/>
  <c r="AX256" i="2" s="1"/>
  <c r="AC262" i="2"/>
  <c r="AC251" i="2"/>
  <c r="AC252" i="2"/>
  <c r="AC45" i="2"/>
  <c r="L47" i="2"/>
  <c r="L50" i="2"/>
  <c r="K236" i="2"/>
  <c r="L43" i="2"/>
  <c r="L31" i="2" s="1"/>
  <c r="L234" i="2"/>
  <c r="AG253" i="2"/>
  <c r="AG254" i="2"/>
  <c r="AG46" i="2"/>
  <c r="AG48" i="2" s="1"/>
  <c r="AG26" i="2" s="1"/>
  <c r="AG256" i="2" s="1"/>
  <c r="N254" i="2"/>
  <c r="N253" i="2"/>
  <c r="N46" i="2"/>
  <c r="N48" i="2" s="1"/>
  <c r="N26" i="2" s="1"/>
  <c r="N256" i="2" s="1"/>
  <c r="AF251" i="2"/>
  <c r="AF252" i="2"/>
  <c r="AF262" i="2"/>
  <c r="AF45" i="2"/>
  <c r="AP253" i="2"/>
  <c r="AP254" i="2"/>
  <c r="AP46" i="2"/>
  <c r="AP48" i="2" s="1"/>
  <c r="AP26" i="2" s="1"/>
  <c r="AP256" i="2" s="1"/>
  <c r="BJ254" i="2"/>
  <c r="BJ253" i="2"/>
  <c r="AL254" i="2"/>
  <c r="AL253" i="2"/>
  <c r="AL46" i="2"/>
  <c r="AL48" i="2" s="1"/>
  <c r="AL26" i="2" s="1"/>
  <c r="AL256" i="2" s="1"/>
  <c r="AZ252" i="2"/>
  <c r="AZ251" i="2"/>
  <c r="AZ262" i="2"/>
  <c r="AZ45" i="2"/>
  <c r="BJ251" i="2"/>
  <c r="BJ262" i="2"/>
  <c r="BJ252" i="2"/>
  <c r="P251" i="2"/>
  <c r="P262" i="2"/>
  <c r="P252" i="2"/>
  <c r="P45" i="2"/>
  <c r="AG251" i="2"/>
  <c r="AG252" i="2"/>
  <c r="AG262" i="2"/>
  <c r="AG45" i="2"/>
  <c r="AB253" i="2"/>
  <c r="AB254" i="2"/>
  <c r="AB46" i="2"/>
  <c r="AB48" i="2" s="1"/>
  <c r="AB26" i="2" s="1"/>
  <c r="AB256" i="2" s="1"/>
  <c r="K203" i="2"/>
  <c r="L138" i="2"/>
  <c r="L149" i="2" s="1"/>
  <c r="M40" i="2" l="1"/>
  <c r="M28" i="2" s="1"/>
  <c r="M171" i="2"/>
  <c r="M178" i="2"/>
  <c r="H218" i="2"/>
  <c r="I34" i="2"/>
  <c r="AZ47" i="2"/>
  <c r="AZ50" i="2"/>
  <c r="J236" i="2"/>
  <c r="K43" i="2"/>
  <c r="K31" i="2" s="1"/>
  <c r="K234" i="2"/>
  <c r="T47" i="2"/>
  <c r="T50" i="2"/>
  <c r="H255" i="2"/>
  <c r="H257" i="2" s="1"/>
  <c r="H37" i="2"/>
  <c r="Q47" i="2"/>
  <c r="Q50" i="2"/>
  <c r="AH47" i="2"/>
  <c r="AH50" i="2"/>
  <c r="AW47" i="2"/>
  <c r="AW50" i="2"/>
  <c r="AP47" i="2"/>
  <c r="AP50" i="2"/>
  <c r="AI47" i="2"/>
  <c r="AI50" i="2"/>
  <c r="D51" i="2"/>
  <c r="D25" i="2"/>
  <c r="AJ47" i="2"/>
  <c r="AJ50" i="2"/>
  <c r="K204" i="2"/>
  <c r="L139" i="2"/>
  <c r="L150" i="2" s="1"/>
  <c r="L51" i="2"/>
  <c r="L25" i="2"/>
  <c r="R47" i="2"/>
  <c r="R50" i="2"/>
  <c r="J216" i="2"/>
  <c r="K141" i="2"/>
  <c r="K152" i="2" s="1"/>
  <c r="G255" i="2"/>
  <c r="G257" i="2" s="1"/>
  <c r="G37" i="2"/>
  <c r="AO47" i="2"/>
  <c r="AO50" i="2"/>
  <c r="AL50" i="2"/>
  <c r="AL47" i="2"/>
  <c r="AV47" i="2"/>
  <c r="AV50" i="2"/>
  <c r="AB47" i="2"/>
  <c r="AB50" i="2"/>
  <c r="P47" i="2"/>
  <c r="P50" i="2"/>
  <c r="AC47" i="2"/>
  <c r="AC50" i="2"/>
  <c r="J51" i="2"/>
  <c r="J25" i="2"/>
  <c r="AA47" i="2"/>
  <c r="AA50" i="2"/>
  <c r="J201" i="2"/>
  <c r="J199" i="2"/>
  <c r="J200" i="2" s="1"/>
  <c r="BA47" i="2"/>
  <c r="BA50" i="2"/>
  <c r="X47" i="2"/>
  <c r="X50" i="2"/>
  <c r="Z47" i="2"/>
  <c r="Z50" i="2"/>
  <c r="AT50" i="2"/>
  <c r="AT47" i="2"/>
  <c r="AS47" i="2"/>
  <c r="AS50" i="2"/>
  <c r="K191" i="2"/>
  <c r="L136" i="2"/>
  <c r="L147" i="2" s="1"/>
  <c r="U47" i="2"/>
  <c r="U50" i="2"/>
  <c r="J203" i="2"/>
  <c r="K138" i="2"/>
  <c r="K149" i="2" s="1"/>
  <c r="AF47" i="2"/>
  <c r="AF50" i="2"/>
  <c r="F51" i="2"/>
  <c r="F25" i="2"/>
  <c r="AY47" i="2"/>
  <c r="AY50" i="2"/>
  <c r="AR47" i="2"/>
  <c r="AR50" i="2"/>
  <c r="AQ47" i="2"/>
  <c r="AQ50" i="2"/>
  <c r="O50" i="2"/>
  <c r="O47" i="2"/>
  <c r="AD50" i="2"/>
  <c r="AD47" i="2"/>
  <c r="V50" i="2"/>
  <c r="V47" i="2"/>
  <c r="AX47" i="2"/>
  <c r="AX50" i="2"/>
  <c r="N50" i="2"/>
  <c r="N47" i="2"/>
  <c r="AG47" i="2"/>
  <c r="AG50" i="2"/>
  <c r="M255" i="2"/>
  <c r="M257" i="2" s="1"/>
  <c r="M37" i="2"/>
  <c r="AE50" i="2"/>
  <c r="AE47" i="2"/>
  <c r="J202" i="2"/>
  <c r="BB50" i="2"/>
  <c r="BB47" i="2"/>
  <c r="AM50" i="2"/>
  <c r="AM47" i="2"/>
  <c r="L237" i="2"/>
  <c r="L219" i="2" s="1"/>
  <c r="L36" i="2"/>
  <c r="L35" i="2" s="1"/>
  <c r="L231" i="2"/>
  <c r="L193" i="2" s="1"/>
  <c r="L185" i="2" s="1"/>
  <c r="L32" i="2"/>
  <c r="L33" i="2" s="1"/>
  <c r="L209" i="2"/>
  <c r="L217" i="2" s="1"/>
  <c r="I255" i="2"/>
  <c r="I257" i="2" s="1"/>
  <c r="I37" i="2"/>
  <c r="H205" i="2"/>
  <c r="I206" i="2"/>
  <c r="I198" i="2" s="1"/>
  <c r="I197" i="2"/>
  <c r="W50" i="2"/>
  <c r="W47" i="2"/>
  <c r="K221" i="2"/>
  <c r="K226" i="2" s="1"/>
  <c r="J225" i="2"/>
  <c r="K42" i="2"/>
  <c r="K30" i="2" s="1"/>
  <c r="D194" i="2"/>
  <c r="D186" i="2" s="1"/>
  <c r="E186" i="2"/>
  <c r="AK47" i="2"/>
  <c r="AK50" i="2"/>
  <c r="K255" i="2"/>
  <c r="K257" i="2" s="1"/>
  <c r="K37" i="2"/>
  <c r="M187" i="2"/>
  <c r="M188" i="2" s="1"/>
  <c r="M189" i="2"/>
  <c r="M190" i="2"/>
  <c r="J230" i="2"/>
  <c r="K228" i="2"/>
  <c r="K177" i="2" s="1"/>
  <c r="K39" i="2"/>
  <c r="K27" i="2" s="1"/>
  <c r="S47" i="2"/>
  <c r="S50" i="2"/>
  <c r="E255" i="2"/>
  <c r="E257" i="2" s="1"/>
  <c r="E37" i="2"/>
  <c r="Y47" i="2"/>
  <c r="Y50" i="2"/>
  <c r="AU50" i="2"/>
  <c r="AU47" i="2"/>
  <c r="K215" i="2"/>
  <c r="L140" i="2"/>
  <c r="L151" i="2" s="1"/>
  <c r="L61" i="1" s="1"/>
  <c r="AN47" i="2"/>
  <c r="AN50" i="2"/>
  <c r="K192" i="2"/>
  <c r="L41" i="2"/>
  <c r="L29" i="2" s="1"/>
  <c r="L137" i="2"/>
  <c r="L148" i="2" s="1"/>
  <c r="M179" i="2" l="1"/>
  <c r="M180" i="2" s="1"/>
  <c r="M59" i="1" s="1"/>
  <c r="M47" i="1" s="1"/>
  <c r="M44" i="1" s="1"/>
  <c r="L171" i="2"/>
  <c r="L178" i="2"/>
  <c r="G218" i="2"/>
  <c r="H34" i="2"/>
  <c r="J255" i="2"/>
  <c r="J257" i="2" s="1"/>
  <c r="J37" i="2"/>
  <c r="J215" i="2"/>
  <c r="K140" i="2"/>
  <c r="K151" i="2" s="1"/>
  <c r="K61" i="1" s="1"/>
  <c r="W51" i="2"/>
  <c r="W25" i="2"/>
  <c r="AG51" i="2"/>
  <c r="AG25" i="2"/>
  <c r="I203" i="2"/>
  <c r="J138" i="2"/>
  <c r="J149" i="2" s="1"/>
  <c r="AT25" i="2"/>
  <c r="AT51" i="2"/>
  <c r="AB51" i="2"/>
  <c r="AB25" i="2"/>
  <c r="J204" i="2"/>
  <c r="K139" i="2"/>
  <c r="K150" i="2" s="1"/>
  <c r="AP51" i="2"/>
  <c r="AP25" i="2"/>
  <c r="S51" i="2"/>
  <c r="S25" i="2"/>
  <c r="AK51" i="2"/>
  <c r="AK25" i="2"/>
  <c r="I201" i="2"/>
  <c r="I199" i="2"/>
  <c r="I200" i="2" s="1"/>
  <c r="L187" i="2"/>
  <c r="L188" i="2" s="1"/>
  <c r="L189" i="2"/>
  <c r="L190" i="2"/>
  <c r="AY51" i="2"/>
  <c r="AY25" i="2"/>
  <c r="U51" i="2"/>
  <c r="U25" i="2"/>
  <c r="AV51" i="2"/>
  <c r="AV25" i="2"/>
  <c r="I216" i="2"/>
  <c r="J141" i="2"/>
  <c r="J152" i="2" s="1"/>
  <c r="AJ51" i="2"/>
  <c r="AJ25" i="2"/>
  <c r="AW51" i="2"/>
  <c r="AW25" i="2"/>
  <c r="T51" i="2"/>
  <c r="T25" i="2"/>
  <c r="AU51" i="2"/>
  <c r="AU25" i="2"/>
  <c r="AE51" i="2"/>
  <c r="AE25" i="2"/>
  <c r="F255" i="2"/>
  <c r="F257" i="2" s="1"/>
  <c r="F37" i="2"/>
  <c r="L40" i="2"/>
  <c r="L28" i="2" s="1"/>
  <c r="Z51" i="2"/>
  <c r="Z25" i="2"/>
  <c r="AL51" i="2"/>
  <c r="AL25" i="2"/>
  <c r="D255" i="2"/>
  <c r="D257" i="2" s="1"/>
  <c r="D37" i="2"/>
  <c r="K237" i="2"/>
  <c r="K219" i="2" s="1"/>
  <c r="K36" i="2"/>
  <c r="K35" i="2" s="1"/>
  <c r="N51" i="2"/>
  <c r="N25" i="2"/>
  <c r="J192" i="2"/>
  <c r="K137" i="2"/>
  <c r="K148" i="2" s="1"/>
  <c r="K41" i="2"/>
  <c r="K29" i="2" s="1"/>
  <c r="K231" i="2"/>
  <c r="K193" i="2" s="1"/>
  <c r="K185" i="2" s="1"/>
  <c r="K32" i="2"/>
  <c r="K33" i="2" s="1"/>
  <c r="K209" i="2"/>
  <c r="K217" i="2" s="1"/>
  <c r="I202" i="2"/>
  <c r="AX51" i="2"/>
  <c r="AX25" i="2"/>
  <c r="AQ51" i="2"/>
  <c r="AQ25" i="2"/>
  <c r="AC51" i="2"/>
  <c r="AC25" i="2"/>
  <c r="R51" i="2"/>
  <c r="R25" i="2"/>
  <c r="AH51" i="2"/>
  <c r="AH25" i="2"/>
  <c r="O51" i="2"/>
  <c r="O25" i="2"/>
  <c r="I230" i="2"/>
  <c r="J228" i="2"/>
  <c r="J177" i="2" s="1"/>
  <c r="J39" i="2"/>
  <c r="J27" i="2" s="1"/>
  <c r="G205" i="2"/>
  <c r="H197" i="2"/>
  <c r="H206" i="2"/>
  <c r="H198" i="2" s="1"/>
  <c r="AM51" i="2"/>
  <c r="AM25" i="2"/>
  <c r="V51" i="2"/>
  <c r="V25" i="2"/>
  <c r="J191" i="2"/>
  <c r="K136" i="2"/>
  <c r="K147" i="2" s="1"/>
  <c r="X51" i="2"/>
  <c r="X25" i="2"/>
  <c r="AA51" i="2"/>
  <c r="AA25" i="2"/>
  <c r="L255" i="2"/>
  <c r="L257" i="2" s="1"/>
  <c r="L37" i="2"/>
  <c r="I236" i="2"/>
  <c r="J43" i="2"/>
  <c r="J31" i="2" s="1"/>
  <c r="J234" i="2"/>
  <c r="AN51" i="2"/>
  <c r="AN25" i="2"/>
  <c r="Y51" i="2"/>
  <c r="Y25" i="2"/>
  <c r="J221" i="2"/>
  <c r="J226" i="2" s="1"/>
  <c r="I225" i="2"/>
  <c r="J42" i="2"/>
  <c r="J30" i="2" s="1"/>
  <c r="AR51" i="2"/>
  <c r="AR25" i="2"/>
  <c r="AF51" i="2"/>
  <c r="AF25" i="2"/>
  <c r="P51" i="2"/>
  <c r="P25" i="2"/>
  <c r="AO51" i="2"/>
  <c r="AO25" i="2"/>
  <c r="AI51" i="2"/>
  <c r="AI25" i="2"/>
  <c r="Q51" i="2"/>
  <c r="Q25" i="2"/>
  <c r="BB25" i="2"/>
  <c r="BB51" i="2"/>
  <c r="AD51" i="2"/>
  <c r="AD25" i="2"/>
  <c r="AS51" i="2"/>
  <c r="AS25" i="2"/>
  <c r="BA51" i="2"/>
  <c r="BA25" i="2"/>
  <c r="AZ51" i="2"/>
  <c r="AZ25" i="2"/>
  <c r="Q2" i="6" l="1"/>
  <c r="K178" i="2"/>
  <c r="K171" i="2"/>
  <c r="K179" i="2" s="1"/>
  <c r="K180" i="2" s="1"/>
  <c r="K59" i="1" s="1"/>
  <c r="K47" i="1" s="1"/>
  <c r="K44" i="1" s="1"/>
  <c r="L179" i="2"/>
  <c r="L180" i="2" s="1"/>
  <c r="L59" i="1" s="1"/>
  <c r="L47" i="1" s="1"/>
  <c r="L44" i="1" s="1"/>
  <c r="F218" i="2"/>
  <c r="G34" i="2"/>
  <c r="K189" i="2"/>
  <c r="K187" i="2"/>
  <c r="K188" i="2" s="1"/>
  <c r="K190" i="2"/>
  <c r="AD255" i="2"/>
  <c r="AD257" i="2" s="1"/>
  <c r="AD37" i="2"/>
  <c r="AO255" i="2"/>
  <c r="AO257" i="2" s="1"/>
  <c r="AO37" i="2"/>
  <c r="J237" i="2"/>
  <c r="J219" i="2" s="1"/>
  <c r="J36" i="2"/>
  <c r="J35" i="2" s="1"/>
  <c r="H202" i="2"/>
  <c r="T255" i="2"/>
  <c r="T257" i="2" s="1"/>
  <c r="T37" i="2"/>
  <c r="AV255" i="2"/>
  <c r="AV257" i="2" s="1"/>
  <c r="AV37" i="2"/>
  <c r="AG255" i="2"/>
  <c r="AG257" i="2" s="1"/>
  <c r="AG37" i="2"/>
  <c r="H199" i="2"/>
  <c r="H200" i="2" s="1"/>
  <c r="H201" i="2"/>
  <c r="AZ255" i="2"/>
  <c r="AZ257" i="2" s="1"/>
  <c r="AZ37" i="2"/>
  <c r="P255" i="2"/>
  <c r="P257" i="2" s="1"/>
  <c r="P37" i="2"/>
  <c r="H225" i="2"/>
  <c r="I221" i="2"/>
  <c r="I226" i="2" s="1"/>
  <c r="I42" i="2"/>
  <c r="I30" i="2" s="1"/>
  <c r="H236" i="2"/>
  <c r="I43" i="2"/>
  <c r="I31" i="2" s="1"/>
  <c r="I234" i="2"/>
  <c r="AE255" i="2"/>
  <c r="AE257" i="2" s="1"/>
  <c r="AE37" i="2"/>
  <c r="AW255" i="2"/>
  <c r="AW257" i="2" s="1"/>
  <c r="AW37" i="2"/>
  <c r="U255" i="2"/>
  <c r="U257" i="2" s="1"/>
  <c r="U37" i="2"/>
  <c r="I204" i="2"/>
  <c r="J139" i="2"/>
  <c r="J150" i="2" s="1"/>
  <c r="W255" i="2"/>
  <c r="W257" i="2" s="1"/>
  <c r="W37" i="2"/>
  <c r="BB255" i="2"/>
  <c r="BB257" i="2" s="1"/>
  <c r="BB37" i="2"/>
  <c r="I191" i="2"/>
  <c r="J136" i="2"/>
  <c r="J147" i="2" s="1"/>
  <c r="F205" i="2"/>
  <c r="G206" i="2"/>
  <c r="G198" i="2" s="1"/>
  <c r="G197" i="2"/>
  <c r="R255" i="2"/>
  <c r="R257" i="2" s="1"/>
  <c r="R37" i="2"/>
  <c r="AL255" i="2"/>
  <c r="AL257" i="2" s="1"/>
  <c r="AL37" i="2"/>
  <c r="AB255" i="2"/>
  <c r="AB257" i="2" s="1"/>
  <c r="AB37" i="2"/>
  <c r="AT255" i="2"/>
  <c r="AT257" i="2" s="1"/>
  <c r="AT37" i="2"/>
  <c r="K40" i="2"/>
  <c r="K28" i="2" s="1"/>
  <c r="AX255" i="2"/>
  <c r="AX257" i="2" s="1"/>
  <c r="AX37" i="2"/>
  <c r="BA255" i="2"/>
  <c r="BA257" i="2" s="1"/>
  <c r="BA37" i="2"/>
  <c r="Y255" i="2"/>
  <c r="Y257" i="2" s="1"/>
  <c r="Y37" i="2"/>
  <c r="V255" i="2"/>
  <c r="V257" i="2" s="1"/>
  <c r="V37" i="2"/>
  <c r="I192" i="2"/>
  <c r="J137" i="2"/>
  <c r="J148" i="2" s="1"/>
  <c r="J41" i="2"/>
  <c r="J29" i="2" s="1"/>
  <c r="AJ255" i="2"/>
  <c r="AJ257" i="2" s="1"/>
  <c r="AJ37" i="2"/>
  <c r="AY255" i="2"/>
  <c r="AY257" i="2" s="1"/>
  <c r="AY37" i="2"/>
  <c r="AK255" i="2"/>
  <c r="AK257" i="2" s="1"/>
  <c r="AK37" i="2"/>
  <c r="AF255" i="2"/>
  <c r="AF257" i="2" s="1"/>
  <c r="AF37" i="2"/>
  <c r="AA255" i="2"/>
  <c r="AA257" i="2" s="1"/>
  <c r="AA37" i="2"/>
  <c r="J231" i="2"/>
  <c r="J193" i="2" s="1"/>
  <c r="J185" i="2" s="1"/>
  <c r="J32" i="2"/>
  <c r="J33" i="2" s="1"/>
  <c r="J209" i="2"/>
  <c r="J217" i="2" s="1"/>
  <c r="AC255" i="2"/>
  <c r="AC257" i="2" s="1"/>
  <c r="AC37" i="2"/>
  <c r="N255" i="2"/>
  <c r="N257" i="2" s="1"/>
  <c r="N37" i="2"/>
  <c r="Z255" i="2"/>
  <c r="Z257" i="2" s="1"/>
  <c r="Z37" i="2"/>
  <c r="S255" i="2"/>
  <c r="S257" i="2" s="1"/>
  <c r="S37" i="2"/>
  <c r="H203" i="2"/>
  <c r="I138" i="2"/>
  <c r="I149" i="2" s="1"/>
  <c r="I215" i="2"/>
  <c r="J140" i="2"/>
  <c r="J151" i="2" s="1"/>
  <c r="J61" i="1" s="1"/>
  <c r="AS255" i="2"/>
  <c r="AS257" i="2" s="1"/>
  <c r="AS37" i="2"/>
  <c r="AI255" i="2"/>
  <c r="AI257" i="2" s="1"/>
  <c r="AI37" i="2"/>
  <c r="AN255" i="2"/>
  <c r="AN257" i="2" s="1"/>
  <c r="AN37" i="2"/>
  <c r="AM255" i="2"/>
  <c r="AM257" i="2" s="1"/>
  <c r="AM37" i="2"/>
  <c r="I228" i="2"/>
  <c r="I177" i="2" s="1"/>
  <c r="H230" i="2"/>
  <c r="I39" i="2"/>
  <c r="I27" i="2" s="1"/>
  <c r="AU255" i="2"/>
  <c r="AU257" i="2" s="1"/>
  <c r="AU37" i="2"/>
  <c r="AH255" i="2"/>
  <c r="AH257" i="2" s="1"/>
  <c r="AH37" i="2"/>
  <c r="Q255" i="2"/>
  <c r="Q257" i="2" s="1"/>
  <c r="Q37" i="2"/>
  <c r="AR255" i="2"/>
  <c r="AR257" i="2" s="1"/>
  <c r="AR37" i="2"/>
  <c r="X255" i="2"/>
  <c r="X257" i="2" s="1"/>
  <c r="X37" i="2"/>
  <c r="O255" i="2"/>
  <c r="O257" i="2" s="1"/>
  <c r="O37" i="2"/>
  <c r="AQ255" i="2"/>
  <c r="AQ257" i="2" s="1"/>
  <c r="AQ37" i="2"/>
  <c r="H216" i="2"/>
  <c r="I141" i="2"/>
  <c r="I152" i="2" s="1"/>
  <c r="AP255" i="2"/>
  <c r="AP257" i="2" s="1"/>
  <c r="AP37" i="2"/>
  <c r="P2" i="6" l="1"/>
  <c r="O2" i="6"/>
  <c r="J178" i="2"/>
  <c r="J171" i="2"/>
  <c r="E218" i="2"/>
  <c r="F34" i="2"/>
  <c r="G216" i="2"/>
  <c r="H141" i="2"/>
  <c r="H152" i="2" s="1"/>
  <c r="H228" i="2"/>
  <c r="H177" i="2" s="1"/>
  <c r="G230" i="2"/>
  <c r="H39" i="2"/>
  <c r="H27" i="2" s="1"/>
  <c r="H191" i="2"/>
  <c r="I136" i="2"/>
  <c r="I147" i="2" s="1"/>
  <c r="J189" i="2"/>
  <c r="J187" i="2"/>
  <c r="J188" i="2" s="1"/>
  <c r="J190" i="2"/>
  <c r="G201" i="2"/>
  <c r="G199" i="2"/>
  <c r="G200" i="2" s="1"/>
  <c r="H221" i="2"/>
  <c r="H226" i="2" s="1"/>
  <c r="G225" i="2"/>
  <c r="H42" i="2"/>
  <c r="H30" i="2" s="1"/>
  <c r="H215" i="2"/>
  <c r="I140" i="2"/>
  <c r="I151" i="2" s="1"/>
  <c r="I61" i="1" s="1"/>
  <c r="G202" i="2"/>
  <c r="G203" i="2"/>
  <c r="H138" i="2"/>
  <c r="H149" i="2" s="1"/>
  <c r="F206" i="2"/>
  <c r="F198" i="2" s="1"/>
  <c r="E205" i="2"/>
  <c r="F197" i="2"/>
  <c r="I237" i="2"/>
  <c r="I219" i="2" s="1"/>
  <c r="I36" i="2"/>
  <c r="I35" i="2" s="1"/>
  <c r="I231" i="2"/>
  <c r="I193" i="2" s="1"/>
  <c r="I185" i="2" s="1"/>
  <c r="I32" i="2"/>
  <c r="I33" i="2" s="1"/>
  <c r="I209" i="2"/>
  <c r="I217" i="2" s="1"/>
  <c r="J40" i="2"/>
  <c r="J28" i="2" s="1"/>
  <c r="H204" i="2"/>
  <c r="I139" i="2"/>
  <c r="I150" i="2" s="1"/>
  <c r="H192" i="2"/>
  <c r="I137" i="2"/>
  <c r="I148" i="2" s="1"/>
  <c r="I41" i="2"/>
  <c r="I29" i="2" s="1"/>
  <c r="G236" i="2"/>
  <c r="H43" i="2"/>
  <c r="H31" i="2" s="1"/>
  <c r="H234" i="2"/>
  <c r="I178" i="2" l="1"/>
  <c r="I171" i="2"/>
  <c r="J179" i="2"/>
  <c r="J180" i="2" s="1"/>
  <c r="J59" i="1" s="1"/>
  <c r="J47" i="1" s="1"/>
  <c r="J44" i="1" s="1"/>
  <c r="D218" i="2"/>
  <c r="D34" i="2" s="1"/>
  <c r="E34" i="2"/>
  <c r="G192" i="2"/>
  <c r="H137" i="2"/>
  <c r="H148" i="2" s="1"/>
  <c r="H41" i="2"/>
  <c r="H29" i="2" s="1"/>
  <c r="F202" i="2"/>
  <c r="F225" i="2"/>
  <c r="G221" i="2"/>
  <c r="G226" i="2" s="1"/>
  <c r="G42" i="2"/>
  <c r="G30" i="2" s="1"/>
  <c r="I187" i="2"/>
  <c r="I188" i="2" s="1"/>
  <c r="I189" i="2"/>
  <c r="I190" i="2"/>
  <c r="F203" i="2"/>
  <c r="G138" i="2"/>
  <c r="G149" i="2" s="1"/>
  <c r="H231" i="2"/>
  <c r="H193" i="2" s="1"/>
  <c r="H185" i="2" s="1"/>
  <c r="H32" i="2"/>
  <c r="H33" i="2" s="1"/>
  <c r="H209" i="2"/>
  <c r="H217" i="2" s="1"/>
  <c r="F216" i="2"/>
  <c r="G141" i="2"/>
  <c r="G152" i="2" s="1"/>
  <c r="F230" i="2"/>
  <c r="G228" i="2"/>
  <c r="G177" i="2" s="1"/>
  <c r="G39" i="2"/>
  <c r="G27" i="2" s="1"/>
  <c r="H237" i="2"/>
  <c r="H219" i="2" s="1"/>
  <c r="H36" i="2"/>
  <c r="H35" i="2" s="1"/>
  <c r="F236" i="2"/>
  <c r="G43" i="2"/>
  <c r="G31" i="2" s="1"/>
  <c r="G234" i="2"/>
  <c r="F199" i="2"/>
  <c r="F200" i="2" s="1"/>
  <c r="F201" i="2"/>
  <c r="I40" i="2"/>
  <c r="I28" i="2" s="1"/>
  <c r="G204" i="2"/>
  <c r="H139" i="2"/>
  <c r="H150" i="2" s="1"/>
  <c r="G215" i="2"/>
  <c r="H140" i="2"/>
  <c r="H151" i="2" s="1"/>
  <c r="H61" i="1" s="1"/>
  <c r="E206" i="2"/>
  <c r="E198" i="2" s="1"/>
  <c r="D205" i="2"/>
  <c r="E197" i="2"/>
  <c r="G191" i="2"/>
  <c r="H136" i="2"/>
  <c r="H147" i="2" s="1"/>
  <c r="N2" i="6" l="1"/>
  <c r="I179" i="2"/>
  <c r="I180" i="2" s="1"/>
  <c r="I59" i="1" s="1"/>
  <c r="I47" i="1" s="1"/>
  <c r="I44" i="1" s="1"/>
  <c r="H178" i="2"/>
  <c r="H171" i="2"/>
  <c r="H179" i="2" s="1"/>
  <c r="H180" i="2" s="1"/>
  <c r="H59" i="1" s="1"/>
  <c r="H47" i="1" s="1"/>
  <c r="H44" i="1" s="1"/>
  <c r="H40" i="2"/>
  <c r="H28" i="2" s="1"/>
  <c r="E225" i="2"/>
  <c r="F221" i="2"/>
  <c r="F226" i="2" s="1"/>
  <c r="F42" i="2"/>
  <c r="F30" i="2" s="1"/>
  <c r="E201" i="2"/>
  <c r="E199" i="2"/>
  <c r="E200" i="2" s="1"/>
  <c r="F204" i="2"/>
  <c r="G139" i="2"/>
  <c r="G150" i="2" s="1"/>
  <c r="E230" i="2"/>
  <c r="F228" i="2"/>
  <c r="F177" i="2" s="1"/>
  <c r="F39" i="2"/>
  <c r="F27" i="2" s="1"/>
  <c r="F191" i="2"/>
  <c r="G136" i="2"/>
  <c r="G147" i="2" s="1"/>
  <c r="G237" i="2"/>
  <c r="G219" i="2" s="1"/>
  <c r="G36" i="2"/>
  <c r="G35" i="2" s="1"/>
  <c r="H187" i="2"/>
  <c r="H188" i="2" s="1"/>
  <c r="H189" i="2"/>
  <c r="H190" i="2"/>
  <c r="D206" i="2"/>
  <c r="D198" i="2" s="1"/>
  <c r="D197" i="2"/>
  <c r="E216" i="2"/>
  <c r="F141" i="2"/>
  <c r="F152" i="2" s="1"/>
  <c r="F215" i="2"/>
  <c r="G140" i="2"/>
  <c r="G151" i="2" s="1"/>
  <c r="G61" i="1" s="1"/>
  <c r="G231" i="2"/>
  <c r="G193" i="2" s="1"/>
  <c r="G185" i="2" s="1"/>
  <c r="G32" i="2"/>
  <c r="G33" i="2" s="1"/>
  <c r="G209" i="2"/>
  <c r="G217" i="2" s="1"/>
  <c r="E202" i="2"/>
  <c r="E236" i="2"/>
  <c r="F43" i="2"/>
  <c r="F31" i="2" s="1"/>
  <c r="F234" i="2"/>
  <c r="E203" i="2"/>
  <c r="F138" i="2"/>
  <c r="F149" i="2" s="1"/>
  <c r="F192" i="2"/>
  <c r="G137" i="2"/>
  <c r="G148" i="2" s="1"/>
  <c r="G41" i="2"/>
  <c r="G29" i="2" s="1"/>
  <c r="L2" i="6" l="1"/>
  <c r="M2" i="6"/>
  <c r="G178" i="2"/>
  <c r="G171" i="2"/>
  <c r="D202" i="2"/>
  <c r="D203" i="2"/>
  <c r="D138" i="2" s="1"/>
  <c r="D149" i="2" s="1"/>
  <c r="E138" i="2"/>
  <c r="E149" i="2" s="1"/>
  <c r="G189" i="2"/>
  <c r="G187" i="2"/>
  <c r="G188" i="2" s="1"/>
  <c r="G190" i="2"/>
  <c r="E191" i="2"/>
  <c r="F136" i="2"/>
  <c r="F147" i="2" s="1"/>
  <c r="F237" i="2"/>
  <c r="F219" i="2" s="1"/>
  <c r="F36" i="2"/>
  <c r="F35" i="2" s="1"/>
  <c r="E215" i="2"/>
  <c r="F140" i="2"/>
  <c r="F151" i="2" s="1"/>
  <c r="F61" i="1" s="1"/>
  <c r="F231" i="2"/>
  <c r="F193" i="2" s="1"/>
  <c r="F185" i="2" s="1"/>
  <c r="F32" i="2"/>
  <c r="F33" i="2" s="1"/>
  <c r="F209" i="2"/>
  <c r="F217" i="2" s="1"/>
  <c r="D236" i="2"/>
  <c r="E43" i="2"/>
  <c r="E31" i="2" s="1"/>
  <c r="E234" i="2"/>
  <c r="E228" i="2"/>
  <c r="E177" i="2" s="1"/>
  <c r="D230" i="2"/>
  <c r="E39" i="2"/>
  <c r="E27" i="2" s="1"/>
  <c r="E192" i="2"/>
  <c r="F137" i="2"/>
  <c r="F148" i="2" s="1"/>
  <c r="F41" i="2"/>
  <c r="F29" i="2" s="1"/>
  <c r="D216" i="2"/>
  <c r="D141" i="2" s="1"/>
  <c r="D152" i="2" s="1"/>
  <c r="E141" i="2"/>
  <c r="E152" i="2" s="1"/>
  <c r="E221" i="2"/>
  <c r="E226" i="2" s="1"/>
  <c r="D225" i="2"/>
  <c r="E42" i="2"/>
  <c r="E30" i="2" s="1"/>
  <c r="E204" i="2"/>
  <c r="F139" i="2"/>
  <c r="F150" i="2" s="1"/>
  <c r="D201" i="2"/>
  <c r="D199" i="2"/>
  <c r="D200" i="2" s="1"/>
  <c r="G40" i="2"/>
  <c r="G28" i="2" s="1"/>
  <c r="G179" i="2" l="1"/>
  <c r="G180" i="2" s="1"/>
  <c r="G59" i="1" s="1"/>
  <c r="G47" i="1" s="1"/>
  <c r="G44" i="1" s="1"/>
  <c r="F40" i="2"/>
  <c r="F28" i="2" s="1"/>
  <c r="F178" i="2"/>
  <c r="F171" i="2"/>
  <c r="D43" i="2"/>
  <c r="D31" i="2" s="1"/>
  <c r="D234" i="2"/>
  <c r="D192" i="2"/>
  <c r="E137" i="2"/>
  <c r="E148" i="2" s="1"/>
  <c r="E41" i="2"/>
  <c r="E29" i="2" s="1"/>
  <c r="D191" i="2"/>
  <c r="E136" i="2"/>
  <c r="E147" i="2" s="1"/>
  <c r="D221" i="2"/>
  <c r="D226" i="2" s="1"/>
  <c r="D42" i="2"/>
  <c r="D30" i="2" s="1"/>
  <c r="F187" i="2"/>
  <c r="F188" i="2" s="1"/>
  <c r="F189" i="2"/>
  <c r="F190" i="2"/>
  <c r="D228" i="2"/>
  <c r="D177" i="2" s="1"/>
  <c r="D178" i="2" s="1"/>
  <c r="D39" i="2"/>
  <c r="D27" i="2" s="1"/>
  <c r="E231" i="2"/>
  <c r="E193" i="2" s="1"/>
  <c r="E185" i="2" s="1"/>
  <c r="E32" i="2"/>
  <c r="E33" i="2" s="1"/>
  <c r="E209" i="2"/>
  <c r="E217" i="2" s="1"/>
  <c r="D215" i="2"/>
  <c r="D140" i="2" s="1"/>
  <c r="D151" i="2" s="1"/>
  <c r="D61" i="1" s="1"/>
  <c r="E140" i="2"/>
  <c r="E151" i="2" s="1"/>
  <c r="E61" i="1" s="1"/>
  <c r="E237" i="2"/>
  <c r="E219" i="2" s="1"/>
  <c r="E36" i="2"/>
  <c r="E35" i="2" s="1"/>
  <c r="D204" i="2"/>
  <c r="D139" i="2" s="1"/>
  <c r="D150" i="2" s="1"/>
  <c r="E139" i="2"/>
  <c r="E150" i="2" s="1"/>
  <c r="K2" i="6" l="1"/>
  <c r="F179" i="2"/>
  <c r="F180" i="2" s="1"/>
  <c r="F59" i="1" s="1"/>
  <c r="F47" i="1" s="1"/>
  <c r="F44" i="1" s="1"/>
  <c r="E171" i="2"/>
  <c r="E178" i="2"/>
  <c r="D136" i="2"/>
  <c r="D147" i="2" s="1"/>
  <c r="E187" i="2"/>
  <c r="E188" i="2" s="1"/>
  <c r="E189" i="2"/>
  <c r="E190" i="2"/>
  <c r="D41" i="2"/>
  <c r="D29" i="2" s="1"/>
  <c r="D137" i="2"/>
  <c r="D148" i="2" s="1"/>
  <c r="D231" i="2"/>
  <c r="D193" i="2" s="1"/>
  <c r="D185" i="2" s="1"/>
  <c r="D32" i="2"/>
  <c r="D33" i="2" s="1"/>
  <c r="D209" i="2"/>
  <c r="D217" i="2" s="1"/>
  <c r="D237" i="2"/>
  <c r="D219" i="2" s="1"/>
  <c r="D36" i="2"/>
  <c r="D35" i="2" s="1"/>
  <c r="E40" i="2"/>
  <c r="E28" i="2" s="1"/>
  <c r="J2" i="6" l="1"/>
  <c r="E179" i="2"/>
  <c r="E180" i="2" s="1"/>
  <c r="E59" i="1" s="1"/>
  <c r="E47" i="1" s="1"/>
  <c r="E44" i="1" s="1"/>
  <c r="D171" i="2"/>
  <c r="D187" i="2"/>
  <c r="D188" i="2" s="1"/>
  <c r="D189" i="2"/>
  <c r="D190" i="2"/>
  <c r="D40" i="2"/>
  <c r="D28" i="2" s="1"/>
  <c r="I2" i="6" l="1"/>
  <c r="D179" i="2"/>
  <c r="D180" i="2" s="1"/>
  <c r="D59" i="1" s="1"/>
  <c r="D47" i="1" s="1"/>
  <c r="D44" i="1" s="1"/>
  <c r="H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B107" authorId="0" shapeId="0" xr:uid="{00000000-0006-0000-0400-000002000000}">
      <text>
        <r>
          <rPr>
            <b/>
            <sz val="15"/>
            <color indexed="56"/>
            <rFont val="Calibri"/>
            <family val="2"/>
          </rPr>
          <t xml:space="preserve">..  Values Not Available
</t>
        </r>
      </text>
    </comment>
    <comment ref="BB108" authorId="0" shapeId="0" xr:uid="{00000000-0006-0000-0400-000003000000}">
      <text>
        <r>
          <rPr>
            <b/>
            <sz val="15"/>
            <color indexed="56"/>
            <rFont val="Calibri"/>
            <family val="2"/>
          </rPr>
          <t xml:space="preserve">..  Values Not Available
</t>
        </r>
      </text>
    </comment>
    <comment ref="BB113" authorId="0" shapeId="0" xr:uid="{00000000-0006-0000-0400-000004000000}">
      <text>
        <r>
          <rPr>
            <b/>
            <sz val="15"/>
            <color indexed="56"/>
            <rFont val="Calibri"/>
            <family val="2"/>
          </rPr>
          <t xml:space="preserve">..  Values Not Available
</t>
        </r>
      </text>
    </comment>
    <comment ref="BB114" authorId="0" shapeId="0" xr:uid="{00000000-0006-0000-0400-000005000000}">
      <text>
        <r>
          <rPr>
            <b/>
            <sz val="15"/>
            <color indexed="56"/>
            <rFont val="Calibri"/>
            <family val="2"/>
          </rPr>
          <t xml:space="preserve">..  Values Not Available
</t>
        </r>
      </text>
    </comment>
  </commentList>
</comments>
</file>

<file path=xl/sharedStrings.xml><?xml version="1.0" encoding="utf-8"?>
<sst xmlns="http://schemas.openxmlformats.org/spreadsheetml/2006/main" count="539" uniqueCount="408">
  <si>
    <t>start point</t>
  </si>
  <si>
    <t>0. 0 mpg = 0% efficiency</t>
  </si>
  <si>
    <t xml:space="preserve">terminal efficiency </t>
  </si>
  <si>
    <t>diesel exergy efficiency, y = 43.75(1-e^-0.025x)</t>
  </si>
  <si>
    <t>fuel economy mpg (Uk Gallon)</t>
  </si>
  <si>
    <t>x</t>
  </si>
  <si>
    <t>y1</t>
  </si>
  <si>
    <t>y2</t>
  </si>
  <si>
    <t>petrol exergy efficiency, y = 35(1-e^-0.025x)</t>
  </si>
  <si>
    <t>y3</t>
  </si>
  <si>
    <t>y4</t>
  </si>
  <si>
    <t>y5</t>
  </si>
  <si>
    <t>Ayres &amp; warr y = 0.52xmpg (US Gallon)</t>
  </si>
  <si>
    <t>use these efficiencies</t>
  </si>
  <si>
    <t>mpUKg</t>
  </si>
  <si>
    <t>UK</t>
  </si>
  <si>
    <t>mpg</t>
  </si>
  <si>
    <t>l/100km</t>
  </si>
  <si>
    <t>LDVs - gasoline (ECUK)</t>
  </si>
  <si>
    <t>LDVs - gasoline (JRC)</t>
  </si>
  <si>
    <t>EU-28</t>
  </si>
  <si>
    <t>GER</t>
  </si>
  <si>
    <t>LDVs - gasoline</t>
  </si>
  <si>
    <t>kgoe/100km</t>
  </si>
  <si>
    <t>gasoline</t>
  </si>
  <si>
    <t>litre</t>
  </si>
  <si>
    <t>kg</t>
  </si>
  <si>
    <t>Description</t>
  </si>
  <si>
    <t>petrol</t>
  </si>
  <si>
    <t>1 gallon = 131.9 megajoules – HHV *</t>
  </si>
  <si>
    <t>MJ (HHV)</t>
  </si>
  <si>
    <t>This page produces the time-series exergy conversion efficiencies for road vehicles</t>
  </si>
  <si>
    <t>131.9 megajoules = 0.00315037737652 tons of oil</t>
  </si>
  <si>
    <t>https://theicct.org/sites/default/files/publications/AERO_RR_Technologies_Whitepaper_FINAL_Oct2012.pdf</t>
  </si>
  <si>
    <t>petrol and diesel transport are calcualted separately</t>
  </si>
  <si>
    <r>
      <t>www.extension.iastate.edu/agdm/wholefarm/pdf/c6-87.pdf</t>
    </r>
    <r>
      <rPr>
        <sz val="11"/>
        <color rgb="FF222222"/>
        <rFont val="Arial"/>
        <family val="2"/>
      </rPr>
      <t>‎</t>
    </r>
  </si>
  <si>
    <t>MJ</t>
  </si>
  <si>
    <t>toe</t>
  </si>
  <si>
    <t>truck = 66% losses, so power to wheels / input fuel eta here is 34%</t>
  </si>
  <si>
    <t>car: % power to wheels / input fuel eta here is 16-25%</t>
  </si>
  <si>
    <t>US gallons</t>
  </si>
  <si>
    <t xml:space="preserve">Uk gallons </t>
  </si>
  <si>
    <t>How this page works</t>
  </si>
  <si>
    <t>diesel</t>
  </si>
  <si>
    <t>1 gallon = 146.3 megajoules – HHV *</t>
  </si>
  <si>
    <t>get vehicle miles by mode (car, van, truck, bus, motor cycle)</t>
  </si>
  <si>
    <t>get vehicle fuel consumption by mode (car, van, truck, bus etc)</t>
  </si>
  <si>
    <t>1 toe</t>
  </si>
  <si>
    <t>calculate diesel and petrol mpg 1960+</t>
  </si>
  <si>
    <t>use 1970 car exergy efficiency value as starting point. 10% petrol = 1970. diesel = 12.5% (25% higher)</t>
  </si>
  <si>
    <r>
      <t xml:space="preserve">Convert </t>
    </r>
    <r>
      <rPr>
        <b/>
        <sz val="12"/>
        <color rgb="FF222222"/>
        <rFont val="Arial"/>
        <family val="2"/>
      </rPr>
      <t>US</t>
    </r>
    <r>
      <rPr>
        <sz val="12"/>
        <color rgb="FF222222"/>
        <rFont val="Arial"/>
        <family val="2"/>
      </rPr>
      <t xml:space="preserve"> gallon to </t>
    </r>
    <r>
      <rPr>
        <b/>
        <sz val="12"/>
        <color rgb="FF222222"/>
        <rFont val="Arial"/>
        <family val="2"/>
      </rPr>
      <t>Imperial gallon</t>
    </r>
    <r>
      <rPr>
        <sz val="12"/>
        <color rgb="FF222222"/>
        <rFont val="Arial"/>
        <family val="2"/>
      </rPr>
      <t xml:space="preserve"> (gal to </t>
    </r>
    <r>
      <rPr>
        <b/>
        <sz val="12"/>
        <color rgb="FF222222"/>
        <rFont val="Arial"/>
        <family val="2"/>
      </rPr>
      <t>Imperial gallon</t>
    </r>
    <r>
      <rPr>
        <sz val="12"/>
        <color rgb="FF222222"/>
        <rFont val="Arial"/>
        <family val="2"/>
      </rPr>
      <t xml:space="preserve">) and back. Volume: Imperialgallon=gal×0.83267384. gal=Imperialgallon×1.20095042. Definitions </t>
    </r>
  </si>
  <si>
    <t>use 1970 trucks/bus efficiency = 34% (2010) from ICCT plot. Reistad estimates 25% in 1970</t>
  </si>
  <si>
    <t>The imperial (UK) gallon, defined as exactly 4.54609 litres</t>
  </si>
  <si>
    <t>terminal efficiency for petrol = 35%, diesel cars = 43.75% (35% x 1.25); diesel bus/truck 50%</t>
  </si>
  <si>
    <t>The US gallon, which is equal to 3.785411784 litres</t>
  </si>
  <si>
    <t>All other points using fuel efficiency values mpg and exponential fit to terminal value</t>
  </si>
  <si>
    <t>data sources</t>
  </si>
  <si>
    <t>US Gallon</t>
  </si>
  <si>
    <t xml:space="preserve"> = </t>
  </si>
  <si>
    <t>UK (Imperial) Gallon</t>
  </si>
  <si>
    <t>IEA data</t>
  </si>
  <si>
    <t>1960+ diesel and petrol ktoe consumed</t>
  </si>
  <si>
    <t>TRA 0101</t>
  </si>
  <si>
    <t>1960+ vehicle kms by mode (car, van, truck, bus)</t>
  </si>
  <si>
    <t xml:space="preserve">Thus pro-rata US mpg data by </t>
  </si>
  <si>
    <t>to get into UK equivalent mpg</t>
  </si>
  <si>
    <t>Table C8 ECUK</t>
  </si>
  <si>
    <t>1970+ fuel consumption diesel/petrol by mode (car, van, bus etc)</t>
  </si>
  <si>
    <t>DECC, Energy Consumption in the UK</t>
  </si>
  <si>
    <t xml:space="preserve">https://www.gov.uk/government/publications/energy-consumption-in-the-uk </t>
  </si>
  <si>
    <t>DfT road freight tables</t>
  </si>
  <si>
    <t>1970 car exergy efficiency value</t>
  </si>
  <si>
    <t>Results</t>
  </si>
  <si>
    <t>old/aggregate</t>
  </si>
  <si>
    <t>new by mode</t>
  </si>
  <si>
    <t>gasoline-motorcycles f-u eta efficiency, y = 35(1-e^-0.025x)</t>
  </si>
  <si>
    <t>gasoline-cars/vans f-u eta efficiency, y = 35(1-e^-0.025x)</t>
  </si>
  <si>
    <t>diesel-cars/vans f-u eta efficiency, y = 43.75(1-e^-0.025x)</t>
  </si>
  <si>
    <t>diesel-trucks f-u eta efficiency, y = 50(1-e^-0.13x)</t>
  </si>
  <si>
    <t>diesel-bus f-u eta efficiency, y = 50(1-e^-0.13x)</t>
  </si>
  <si>
    <t>gasoline-motorcycles share of road gasoline use</t>
  </si>
  <si>
    <t>gasoline-cars/vans share of road gasoline use</t>
  </si>
  <si>
    <t>diesel-cars/vans share of road diesel use</t>
  </si>
  <si>
    <t>diesel-trucks share of road diesel use</t>
  </si>
  <si>
    <t>diesel-bus share of road diesel use</t>
  </si>
  <si>
    <t>UK aggregate road vehicle exergy efficiency</t>
  </si>
  <si>
    <t>10% 1970 US Petrol vehcile</t>
  </si>
  <si>
    <t>gasoline-motorcycles fuel economy mpUSg</t>
  </si>
  <si>
    <t>gasoline-cars/vans fuel economy mpUSg</t>
  </si>
  <si>
    <t>diesel-cars/vans fuel economy mpUSg</t>
  </si>
  <si>
    <t>diesel-trucks fuel economy mpUSg</t>
  </si>
  <si>
    <t>diesel-bus fuel economy mpUSg</t>
  </si>
  <si>
    <t>UK petrol fuel economy mpUSg</t>
  </si>
  <si>
    <t>UK diesel fuel economy mpUSg</t>
  </si>
  <si>
    <t>UK average fuel economy mpUSg</t>
  </si>
  <si>
    <t xml:space="preserve"> s/s petrol exergy efficiency y = 10log (0.416mpg) Uk Gallon</t>
  </si>
  <si>
    <t xml:space="preserve"> s/s diesel exergy efficiency y = 12.5log (0.416mpg) Uk Gallon</t>
  </si>
  <si>
    <t>s/s - diesel exergy efficiency #2 y = 8log (mpgx1.25) Uk Gallon</t>
  </si>
  <si>
    <t xml:space="preserve"> s/s petrol exergy efficiency y = 16.8log (0.1916mpUKg)</t>
  </si>
  <si>
    <t xml:space="preserve"> s/s diesel exergy efficiency y = 21log (0.1916mpUKg)</t>
  </si>
  <si>
    <t>Total Final consumption - IEA data</t>
  </si>
  <si>
    <t>ktoe</t>
  </si>
  <si>
    <t>Motor gasoline</t>
  </si>
  <si>
    <t>Gas/diesel oil</t>
  </si>
  <si>
    <t>Total</t>
  </si>
  <si>
    <t>Mtoe</t>
  </si>
  <si>
    <t>Motor gasoline - IEA data</t>
  </si>
  <si>
    <t>Gas/diesel oil - IEA data</t>
  </si>
  <si>
    <t>Total - IEA data</t>
  </si>
  <si>
    <t>TRA 0101 mileage data (colected Nov 2020 - scroll down)</t>
  </si>
  <si>
    <t>Billion miles</t>
  </si>
  <si>
    <t>Cars and taxis</t>
  </si>
  <si>
    <t>Light vans</t>
  </si>
  <si>
    <t>Goods vehicles</t>
  </si>
  <si>
    <t>Motorcycles</t>
  </si>
  <si>
    <t>Buses &amp; Coaches</t>
  </si>
  <si>
    <t>TRA 010 mileage data</t>
  </si>
  <si>
    <t>Billion kms</t>
  </si>
  <si>
    <t>mpgUK</t>
  </si>
  <si>
    <t>Cars &amp; taxis gasoline - mpgUK</t>
  </si>
  <si>
    <t>Cars &amp; Taxis diesel - mpgUK</t>
  </si>
  <si>
    <t>LDV - Cars and vans gasoline - MpgUK</t>
  </si>
  <si>
    <t>LDV - Cars and vans diesel - MpgUK</t>
  </si>
  <si>
    <t>1mpg</t>
  </si>
  <si>
    <t>1/100km</t>
  </si>
  <si>
    <t>Cars &amp; taxis gasoline</t>
  </si>
  <si>
    <t>Cars &amp; taxis diesel</t>
  </si>
  <si>
    <t>Light vehicles gasoline</t>
  </si>
  <si>
    <t>Light vehicles diesel</t>
  </si>
  <si>
    <t>LDV - Cars and vans gasoline</t>
  </si>
  <si>
    <t>LDV - Cars and vans diesel</t>
  </si>
  <si>
    <t>billion miles</t>
  </si>
  <si>
    <t>UK gallon</t>
  </si>
  <si>
    <t>UK Gallons</t>
  </si>
  <si>
    <t>total fuel Mtoe</t>
  </si>
  <si>
    <t>Million Uk Gallons</t>
  </si>
  <si>
    <t>BEIS Energy Consumption in the UK</t>
  </si>
  <si>
    <t>https://www.gov.uk/government/statistics/energy-consumption-in-the-uk</t>
  </si>
  <si>
    <t>Cars &amp; Taxis - petrol Mtoe</t>
  </si>
  <si>
    <t>Cars &amp; Taxis - DERV Mtoe</t>
  </si>
  <si>
    <t>Cars &amp; Taxis - total fuel Mtoe</t>
  </si>
  <si>
    <t>2009/1970</t>
  </si>
  <si>
    <t xml:space="preserve">Cars &amp; Taxis - 1000kms/toe </t>
  </si>
  <si>
    <t>Cars &amp; Taxis - 1000kms/toe (Petrol)</t>
  </si>
  <si>
    <t>Cars &amp; Taxis - 1000kms/toe (DERV)</t>
  </si>
  <si>
    <t>% of total petrol</t>
  </si>
  <si>
    <t>% of total DERV</t>
  </si>
  <si>
    <t>Light vans - petrol Mtoe</t>
  </si>
  <si>
    <t>Light vans - DERV Mtoe</t>
  </si>
  <si>
    <t>Light vans - total fuel Mtoe</t>
  </si>
  <si>
    <t xml:space="preserve">Light vans - 1000kms/toe </t>
  </si>
  <si>
    <t>Light vans - 1000kms/toe (Petrol)</t>
  </si>
  <si>
    <t>Light vans - 1000kms/toe (DERV)</t>
  </si>
  <si>
    <t>Light vehicles gasoline - mpgUK</t>
  </si>
  <si>
    <t>Light vehicles diesel - mpgUK</t>
  </si>
  <si>
    <t>Cars and vans - gasoline Mtoe</t>
  </si>
  <si>
    <t>Cars and vans - DERV Mtoe</t>
  </si>
  <si>
    <t>Cars and vans - total fuel Mtoe</t>
  </si>
  <si>
    <t xml:space="preserve">Cars and vans - 1000kms/toe </t>
  </si>
  <si>
    <t>Cars and vans - 1000kms/toe (Petrol)</t>
  </si>
  <si>
    <t>Cars and vans - 1000kms/toe (DERV)</t>
  </si>
  <si>
    <t>Cars and vans gasoline - mpgUK</t>
  </si>
  <si>
    <t>Cars and vans diesel - mpgUK</t>
  </si>
  <si>
    <t>Goods vehicles - DERV Mtoe</t>
  </si>
  <si>
    <t>Goods vehicles - toe/1000km (total)</t>
  </si>
  <si>
    <t>Goods vehicles - kgoe/100km (total)</t>
  </si>
  <si>
    <t>Goods vehicles - 1000kms/toe (total)</t>
  </si>
  <si>
    <t>Goods vehicles - mpgUK</t>
  </si>
  <si>
    <t>Motorcycles - petrol Mtoe</t>
  </si>
  <si>
    <t>Motorcycles - 1000kms/toe</t>
  </si>
  <si>
    <t>Motorcycles - mpgUK</t>
  </si>
  <si>
    <t>Buses &amp; Coaches - DERV Mtoe</t>
  </si>
  <si>
    <t>Buses &amp; Coaches - 1000kms/toe</t>
  </si>
  <si>
    <t>Buses &amp; coaches - mpgUK</t>
  </si>
  <si>
    <t>IEA data 1960-1969</t>
  </si>
  <si>
    <t>Total Petrol Mtoe</t>
  </si>
  <si>
    <t>Total DERV Mtoe</t>
  </si>
  <si>
    <t>Total fuel Mtoe</t>
  </si>
  <si>
    <t>Total petrol Billion kms</t>
  </si>
  <si>
    <t>Total diesel Billion kms</t>
  </si>
  <si>
    <t>Total Billion kms</t>
  </si>
  <si>
    <t>Total petrol 1000kms/toe (av. of 1971-1975)</t>
  </si>
  <si>
    <t>Total DERV 1000kms/toe (av. Of 1971-1975)</t>
  </si>
  <si>
    <t>Total fuel 1000kms/toe</t>
  </si>
  <si>
    <t>old petrol exergy efficiency superseeded</t>
  </si>
  <si>
    <t>new petrol exergy efficiency superseded</t>
  </si>
  <si>
    <t>old diesel exergy efficiency s/s</t>
  </si>
  <si>
    <t>new diesel exergy efficiency s/s</t>
  </si>
  <si>
    <t>UK road vehicle efficiency based on exp function</t>
  </si>
  <si>
    <t>total petrol mpg (UK Gallon)</t>
  </si>
  <si>
    <t>total diesel mpg (UK Gallon)</t>
  </si>
  <si>
    <t>average vehicle mpg (Uk Gallon)</t>
  </si>
  <si>
    <t>total petrol mpg (US Gallon)</t>
  </si>
  <si>
    <t>US - total petrol mpg (US Gallon)</t>
  </si>
  <si>
    <t>US petrol road vehicles - exergy efficiency</t>
  </si>
  <si>
    <t>Road freight statistics 2009</t>
  </si>
  <si>
    <t>Section 1: The domestic activity of GB-registered heavy goods vehicles, 2009</t>
  </si>
  <si>
    <t>Table 1.1:  Tonne kilometres, tonnes lifted and vehicle kilometres, annual 1989-2009 and quarterly 2004-2009</t>
  </si>
  <si>
    <t>http://tna.europarchive.org/20110503185748/http://www.dft.gov.uk/excel/173025/221412/221522/222944/rfs2009section1.xls#'1.1'!A1.</t>
  </si>
  <si>
    <t>Index (1989=100)</t>
  </si>
  <si>
    <t>Tonne km</t>
  </si>
  <si>
    <t>Tonnes lifted</t>
  </si>
  <si>
    <t>Vehicle km</t>
  </si>
  <si>
    <t>Year</t>
  </si>
  <si>
    <t>(billion)</t>
  </si>
  <si>
    <t>(million)</t>
  </si>
  <si>
    <t>1989</t>
  </si>
  <si>
    <t>1990</t>
  </si>
  <si>
    <t>1991</t>
  </si>
  <si>
    <t>1992</t>
  </si>
  <si>
    <t>1993</t>
  </si>
  <si>
    <t>1994</t>
  </si>
  <si>
    <t>R</t>
  </si>
  <si>
    <t>Department for Transport statistics</t>
  </si>
  <si>
    <t>Traffic (www.gov.uk/government/organisations/department-for-transport/series/road-traffic-statistics)</t>
  </si>
  <si>
    <t>Table TRA0101</t>
  </si>
  <si>
    <t>Road traffic (vehicle miles) by vehicle type in Great Britain, annual from 1949</t>
  </si>
  <si>
    <t>Billion vehicle miles</t>
  </si>
  <si>
    <t>Other Vehicles</t>
  </si>
  <si>
    <t>Cars and Taxis</t>
  </si>
  <si>
    <r>
      <t xml:space="preserve">Light Commercial
Vehicles </t>
    </r>
    <r>
      <rPr>
        <b/>
        <vertAlign val="superscript"/>
        <sz val="10"/>
        <color rgb="FF000000"/>
        <rFont val="Arial"/>
        <family val="2"/>
      </rPr>
      <t>1</t>
    </r>
  </si>
  <si>
    <r>
      <t xml:space="preserve">Heavy Goods Vehicles </t>
    </r>
    <r>
      <rPr>
        <b/>
        <vertAlign val="superscript"/>
        <sz val="10"/>
        <color rgb="FF000000"/>
        <rFont val="Arial"/>
        <family val="2"/>
      </rPr>
      <t>2</t>
    </r>
  </si>
  <si>
    <r>
      <t xml:space="preserve">Total </t>
    </r>
    <r>
      <rPr>
        <b/>
        <vertAlign val="superscript"/>
        <sz val="10"/>
        <color rgb="FF000000"/>
        <rFont val="Arial"/>
        <family val="2"/>
      </rPr>
      <t>3</t>
    </r>
  </si>
  <si>
    <t>All motor vehicles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</si>
  <si>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</si>
  <si>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</si>
  <si>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</si>
  <si>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</si>
  <si>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</si>
  <si>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</si>
  <si>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</si>
  <si>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</si>
  <si>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</si>
  <si>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</si>
  <si>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</si>
  <si>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</si>
  <si>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</si>
  <si>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</si>
  <si>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</si>
  <si>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</si>
  <si>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</si>
  <si>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</si>
  <si>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</si>
  <si>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</si>
  <si>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</si>
  <si>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</si>
  <si>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</si>
  <si>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</si>
  <si>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</si>
  <si>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</si>
  <si>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</si>
  <si>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</si>
  <si>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</si>
  <si>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</si>
  <si>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</si>
  <si>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</si>
  <si>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</si>
  <si>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</si>
  <si>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</si>
  <si>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</si>
  <si>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</si>
  <si>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</si>
  <si>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</si>
  <si>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</si>
  <si>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</si>
  <si>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</si>
  <si>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</si>
  <si>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</si>
  <si>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</si>
  <si>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</si>
  <si>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</si>
  <si>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</si>
  <si>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</si>
  <si>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</si>
  <si>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</si>
  <si>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 xml:space="preserve">2006 </t>
  </si>
  <si>
    <t>2007</t>
  </si>
  <si>
    <t>2008</t>
  </si>
  <si>
    <t>2009</t>
  </si>
  <si>
    <t>1 Not exceeding 3,500 kgs gross vehicle weight, post 1982</t>
  </si>
  <si>
    <t>Source: DfT National Road Traffic Survey</t>
  </si>
  <si>
    <t>2 Over 3,500 kgs gross vehicle weight, post 1982</t>
  </si>
  <si>
    <t>Last updated: September 2020</t>
  </si>
  <si>
    <t>3 Total of all other vehicles (i.e. motorcycles, buses, and coaches)</t>
  </si>
  <si>
    <t>Next update: June 2021</t>
  </si>
  <si>
    <t>4 Data for 1993 onwards are not directly comparable with the figures for 1992 and earlier</t>
  </si>
  <si>
    <t xml:space="preserve">R Estimates for the period since 2010 have been revised to take into account the
</t>
  </si>
  <si>
    <t xml:space="preserve">minor road benchmarking exercise. Further details available at: </t>
  </si>
  <si>
    <t>https://www.gov.uk/government/publications/road-traffic-statistics-minor-road-benchmarking</t>
  </si>
  <si>
    <t>Telephone: 020 7944 3095</t>
  </si>
  <si>
    <t>Email: roadtraff.stats@dft.gov.uk</t>
  </si>
  <si>
    <t>Notes &amp; definitions:</t>
  </si>
  <si>
    <t>https://www.gov.uk/government/publications/road-traffic-statistics-guidance</t>
  </si>
  <si>
    <t>The figures in this table are National Statistics.</t>
  </si>
  <si>
    <t>Motorcycle Gasoline only</t>
  </si>
  <si>
    <t>billion miles - motorcycle</t>
  </si>
  <si>
    <t>UK - Motorcycles - gasoline (ECUK) #2</t>
  </si>
  <si>
    <t>fuel consumption, average, 2000</t>
  </si>
  <si>
    <t>km/l</t>
  </si>
  <si>
    <t>tuk-tuk fuel consumption, average, 2000</t>
  </si>
  <si>
    <t>@article{hao2014regional,</t>
  </si>
  <si>
    <t xml:space="preserve">  title={Regional disparity of urban passenger transport associated GHG (greenhouse gas) emissions in China: a review},</t>
  </si>
  <si>
    <t xml:space="preserve">  author={Hao, Han and Geng, Yong and Wang, Hewu and Ouyang, Minggao},</t>
  </si>
  <si>
    <t xml:space="preserve">  journal={Energy},</t>
  </si>
  <si>
    <t xml:space="preserve">  volume={68},</t>
  </si>
  <si>
    <t xml:space="preserve">  pages={783--793},</t>
  </si>
  <si>
    <t xml:space="preserve">  year={2014},</t>
  </si>
  <si>
    <t xml:space="preserve">  publisher={Elsevier}</t>
  </si>
  <si>
    <t>}</t>
  </si>
  <si>
    <t xml:space="preserve">  doi = {10.1016/j.energy.2014.01.008},</t>
  </si>
  <si>
    <t>motorcycle fuel consumption, average, c. 2010</t>
  </si>
  <si>
    <t>India</t>
  </si>
  <si>
    <t>@article{harding2016auto,</t>
  </si>
  <si>
    <t xml:space="preserve">  title={Auto-rickshaws in Indian cities: Public perceptions and operational realities},</t>
  </si>
  <si>
    <t xml:space="preserve">  author={Harding, Simon E and Badami, Madhav G and Reynolds, Conor CO and Kandlikar, Milind},</t>
  </si>
  <si>
    <t xml:space="preserve">  journal={Transport policy},</t>
  </si>
  <si>
    <t xml:space="preserve">  volume={52},</t>
  </si>
  <si>
    <t xml:space="preserve">  pages={143--152},</t>
  </si>
  <si>
    <t xml:space="preserve">  year={2016},</t>
  </si>
  <si>
    <t xml:space="preserve">  doi = {10.1016/j.tranpol.2016.07.013},</t>
  </si>
  <si>
    <t>fuel economy, petrol</t>
  </si>
  <si>
    <t>kg/100km</t>
  </si>
  <si>
    <t xml:space="preserve">take maximum BTE of petrol engine 125cc engine = </t>
  </si>
  <si>
    <t>@article{schuerg2012advanced,</t>
  </si>
  <si>
    <t xml:space="preserve">  title={Advanced combustion system analyses on a 125cc motorcycle engine},</t>
  </si>
  <si>
    <t xml:space="preserve">  author={Schuerg, Frank and Kulzer, Andr{\'e} and Kufferath, Andreas and Manikandan, K and Roth, Peter},</t>
  </si>
  <si>
    <t xml:space="preserve">  journal={SAE International Journal of Engines},</t>
  </si>
  <si>
    <t xml:space="preserve">  volume={5},</t>
  </si>
  <si>
    <t xml:space="preserve">  number={3},</t>
  </si>
  <si>
    <t xml:space="preserve">  pages={812--824},</t>
  </si>
  <si>
    <t xml:space="preserve">  year={2012},</t>
  </si>
  <si>
    <t xml:space="preserve">  publisher={JSTOR}</t>
  </si>
  <si>
    <t xml:space="preserve">  doi = {10.2307/26277509},</t>
  </si>
  <si>
    <t>auto-rickshaws</t>
  </si>
  <si>
    <t>3.6-8.6</t>
  </si>
  <si>
    <t>2 wheel motorbikes</t>
  </si>
  <si>
    <t>2.5-4.0</t>
  </si>
  <si>
    <t>assume</t>
  </si>
  <si>
    <t>2-3 wheelers gasoline</t>
  </si>
  <si>
    <t>petrol exergy efficiency, y = 30(1-e^-0.01x)</t>
  </si>
  <si>
    <t>petrol exergy efficiency, y = 30(1-e^-0.02x)</t>
  </si>
  <si>
    <t>petrol exergy efficiency, y = 30(1-e^-0.025x)</t>
  </si>
  <si>
    <t>petrol exergy efficiency, y = 30(1-e^-0.03x)</t>
  </si>
  <si>
    <t>petrol exergy efficiency, y = 30(1-e^-0.04x)</t>
  </si>
  <si>
    <t>petrol exergy efficiency, y = 30(1-e^-0.05x)</t>
  </si>
  <si>
    <t>carnahan 19#75, chpater 4 automobiles</t>
  </si>
  <si>
    <t xml:space="preserve">3. for petrol 125cc engines take 30%, base don max otto efficiency = 33% </t>
  </si>
  <si>
    <t>HDV</t>
  </si>
  <si>
    <t>engine efficiency</t>
  </si>
  <si>
    <t>f-u efficiency</t>
  </si>
  <si>
    <t>loss factor</t>
  </si>
  <si>
    <t>cars</t>
  </si>
  <si>
    <t>motorcycles</t>
  </si>
  <si>
    <t>assumed</t>
  </si>
  <si>
    <t>one intermediate points:</t>
  </si>
  <si>
    <t>2. assume for 60mpg = 20% f-u efficiency</t>
  </si>
  <si>
    <t>Country</t>
  </si>
  <si>
    <t>Energy.type</t>
  </si>
  <si>
    <t>Last.stage</t>
  </si>
  <si>
    <t>Method</t>
  </si>
  <si>
    <t>Machine</t>
  </si>
  <si>
    <t>Eu.product</t>
  </si>
  <si>
    <t>Quantity</t>
  </si>
  <si>
    <t>f-u efficiency %</t>
  </si>
  <si>
    <t>gasoline motorcycle f-u efficiency values for 5 groups</t>
  </si>
  <si>
    <t>@article{hofman2009development,</t>
  </si>
  <si>
    <t xml:space="preserve">  title={Development of a micro-hybrid system for a three-wheeled motor taxi},</t>
  </si>
  <si>
    <t xml:space="preserve">  author={Hofman, Theo and Van Der Tas, SG and Ooms, W and Van Meijl, EWP and Laugeman, BM},</t>
  </si>
  <si>
    <t xml:space="preserve">  journal={World Electric Vehicle Journal},</t>
  </si>
  <si>
    <t xml:space="preserve">  volume={3},</t>
  </si>
  <si>
    <t xml:space="preserve">  pages={572--580},</t>
  </si>
  <si>
    <t xml:space="preserve">  year={2009},</t>
  </si>
  <si>
    <t xml:space="preserve">  publisher={Multidisciplinary Digital Publishing Institute}</t>
  </si>
  <si>
    <t xml:space="preserve">  doi = {10.3390/wevj3030572),</t>
  </si>
  <si>
    <t>@article{mbandi2019estimating,</t>
  </si>
  <si>
    <t xml:space="preserve">  title={Estimating on-road vehicle fuel economy in Africa: a case study based on an urban transport survey in Nairobi, Kenya},</t>
  </si>
  <si>
    <t xml:space="preserve">  author={Mbandi, Aderiana Mutheu and B{\"o}hnke, Jan R and Schwela, Dietrich and Vallack, Harry and Ashmore, Mike R and Emberson, Lisa},</t>
  </si>
  <si>
    <t xml:space="preserve">  journal={Energies},</t>
  </si>
  <si>
    <t xml:space="preserve">  volume={12},</t>
  </si>
  <si>
    <t xml:space="preserve">  number={6},</t>
  </si>
  <si>
    <t xml:space="preserve">  pages={1177},</t>
  </si>
  <si>
    <t xml:space="preserve">  year={2019},</t>
  </si>
  <si>
    <t xml:space="preserve">  doi = {10.3390/en12061177},</t>
  </si>
  <si>
    <t>url = {https://www.gov.uk/government/statistics/energy-consumption-in-the-uk},</t>
  </si>
  <si>
    <t>institution = {Department for Business, Energy &amp; Industrial Strategy},</t>
  </si>
  <si>
    <t>author = {{Department for Business, Energy &amp; Industrial Strategy (BEIS)}},</t>
  </si>
  <si>
    <t>title = {{Energy Consumption in the UK (ECUK) 2020 Table C8}},</t>
  </si>
  <si>
    <t>year = {2020}</t>
  </si>
  <si>
    <t>url = {https://www.gov.uk/government/statistical-data-sets/road-traffic-statistics-tra},</t>
  </si>
  <si>
    <t>institution = {Department for Transport},</t>
  </si>
  <si>
    <t>author = {{Department for Transport (DfT)}},</t>
  </si>
  <si>
    <t>title = {{Road traffic statistics (TRA) Table TRA 0101}},</t>
  </si>
  <si>
    <t>author = {Carnahan, W. and Ford, K. W. and Prosperetti, A. and Rochlin, G. I. and Rosenfeld, A. and Ross, M. and Rothberg, J. and Seidel, G. and Socolow, R. (Eds)},</t>
  </si>
  <si>
    <t>booktitle = {American Institute of Physics, Conference Series, Vol. 25},</t>
  </si>
  <si>
    <t>doi = {10.1063/1.30310},</t>
  </si>
  <si>
    <t>pages = {99--120},</t>
  </si>
  <si>
    <t>title = {{Technical Aspects of the More Efficient Utilization of Energy: Chapter 4 - The automobile}},</t>
  </si>
  <si>
    <t>year = {1975}</t>
  </si>
  <si>
    <t>Gasoline motorcycles</t>
  </si>
  <si>
    <t>eta.fu</t>
  </si>
  <si>
    <t>PCM</t>
  </si>
  <si>
    <t>Final</t>
  </si>
  <si>
    <t>E</t>
  </si>
  <si>
    <t>RoP</t>
  </si>
  <si>
    <t>WRLD</t>
  </si>
  <si>
    <t>@misc{dft2020,</t>
  </si>
  <si>
    <t>@inproceedings{carnahan1975,</t>
  </si>
  <si>
    <t>@misc{ecuk202otc8,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</si>
</sst>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"/>
    <numFmt numFmtId="166" formatCode="0.000"/>
    <numFmt numFmtId="167" formatCode="General_)"/>
    <numFmt numFmtId="168" formatCode="#,##0.0"/>
    <numFmt numFmtId="169" formatCode="0.0000"/>
    <numFmt numFmtId="170" formatCode="[&gt;0.5]#,##0;[&lt;-0.5]&quot;-&quot;#,##0;&quot;-&quot;"/>
    <numFmt numFmtId="171" formatCode="0&quot; &quot;"/>
  </numFmts>
  <fonts count="4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Arial"/>
      <family val="2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u/>
      <sz val="8.1999999999999993"/>
      <color indexed="12"/>
      <name val="Times New Roman"/>
      <family val="1"/>
    </font>
    <font>
      <u/>
      <sz val="12"/>
      <color indexed="12"/>
      <name val="Times New Roman"/>
      <family val="1"/>
    </font>
    <font>
      <sz val="10"/>
      <name val="Tms Rmn"/>
    </font>
    <font>
      <b/>
      <sz val="12"/>
      <name val="Arial"/>
      <family val="2"/>
    </font>
    <font>
      <u/>
      <sz val="11"/>
      <color indexed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i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8"/>
      <color rgb="FF0000FF"/>
      <name val="Times New Roman"/>
      <family val="1"/>
    </font>
    <font>
      <u/>
      <sz val="10"/>
      <color rgb="FF0000FF"/>
      <name val="Arial"/>
      <family val="2"/>
    </font>
    <font>
      <b/>
      <sz val="12"/>
      <color rgb="FF008080"/>
      <name val="Arial"/>
      <family val="2"/>
    </font>
    <font>
      <sz val="14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Tms Rmn"/>
    </font>
    <font>
      <b/>
      <vertAlign val="superscript"/>
      <sz val="12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sz val="10"/>
      <color theme="9"/>
      <name val="Arial Unicode MS"/>
      <family val="2"/>
    </font>
    <font>
      <sz val="11"/>
      <color theme="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dashed">
        <color rgb="FF000000"/>
      </bottom>
      <diagonal/>
    </border>
  </borders>
  <cellStyleXfs count="19">
    <xf numFmtId="0" fontId="0" fillId="0" borderId="0"/>
    <xf numFmtId="9" fontId="2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167" fontId="16" fillId="0" borderId="0"/>
    <xf numFmtId="9" fontId="2" fillId="0" borderId="0" applyFont="0" applyFill="0" applyBorder="0" applyAlignment="0" applyProtection="0"/>
    <xf numFmtId="0" fontId="20" fillId="0" borderId="0"/>
    <xf numFmtId="168" fontId="21" fillId="0" borderId="0"/>
    <xf numFmtId="0" fontId="1" fillId="0" borderId="0"/>
    <xf numFmtId="0" fontId="25" fillId="0" borderId="0" applyNumberFormat="0" applyBorder="0" applyProtection="0"/>
    <xf numFmtId="0" fontId="28" fillId="0" borderId="0" applyNumberFormat="0" applyFill="0" applyBorder="0" applyAlignment="0" applyProtection="0"/>
    <xf numFmtId="170" fontId="31" fillId="0" borderId="0" applyBorder="0" applyProtection="0">
      <alignment horizontal="left" vertical="center"/>
    </xf>
    <xf numFmtId="168" fontId="35" fillId="0" borderId="0" applyBorder="0" applyProtection="0"/>
    <xf numFmtId="0" fontId="36" fillId="0" borderId="0" applyNumberFormat="0" applyBorder="0" applyProtection="0"/>
    <xf numFmtId="0" fontId="42" fillId="0" borderId="0"/>
  </cellStyleXfs>
  <cellXfs count="214">
    <xf numFmtId="0" fontId="0" fillId="0" borderId="0" xfId="0"/>
    <xf numFmtId="0" fontId="0" fillId="0" borderId="0" xfId="2" applyFont="1"/>
    <xf numFmtId="0" fontId="3" fillId="0" borderId="0" xfId="2" applyFont="1"/>
    <xf numFmtId="0" fontId="2" fillId="0" borderId="0" xfId="2"/>
    <xf numFmtId="0" fontId="2" fillId="0" borderId="0" xfId="2" applyFont="1" applyAlignment="1">
      <alignment horizontal="right"/>
    </xf>
    <xf numFmtId="0" fontId="2" fillId="0" borderId="0" xfId="2" applyFont="1"/>
    <xf numFmtId="0" fontId="2" fillId="2" borderId="0" xfId="2" applyFill="1"/>
    <xf numFmtId="0" fontId="2" fillId="0" borderId="1" xfId="2" applyBorder="1"/>
    <xf numFmtId="0" fontId="0" fillId="0" borderId="0" xfId="2" applyFont="1" applyAlignment="1">
      <alignment horizontal="right"/>
    </xf>
    <xf numFmtId="164" fontId="2" fillId="0" borderId="0" xfId="3" applyNumberFormat="1" applyFont="1"/>
    <xf numFmtId="164" fontId="2" fillId="2" borderId="0" xfId="3" applyNumberFormat="1" applyFont="1" applyFill="1"/>
    <xf numFmtId="0" fontId="2" fillId="0" borderId="0" xfId="2" applyFill="1"/>
    <xf numFmtId="164" fontId="2" fillId="0" borderId="0" xfId="3" applyNumberFormat="1" applyFont="1" applyFill="1"/>
    <xf numFmtId="10" fontId="2" fillId="0" borderId="0" xfId="3" applyNumberFormat="1" applyFont="1"/>
    <xf numFmtId="10" fontId="2" fillId="0" borderId="0" xfId="3" applyNumberFormat="1" applyFont="1" applyFill="1"/>
    <xf numFmtId="0" fontId="0" fillId="3" borderId="0" xfId="2" applyFont="1" applyFill="1"/>
    <xf numFmtId="0" fontId="6" fillId="3" borderId="0" xfId="4" applyFill="1" applyAlignment="1" applyProtection="1"/>
    <xf numFmtId="0" fontId="7" fillId="0" borderId="0" xfId="2" applyFont="1"/>
    <xf numFmtId="0" fontId="7" fillId="0" borderId="1" xfId="2" applyFont="1" applyBorder="1"/>
    <xf numFmtId="164" fontId="2" fillId="3" borderId="0" xfId="1" applyNumberFormat="1" applyFont="1" applyFill="1"/>
    <xf numFmtId="0" fontId="6" fillId="0" borderId="0" xfId="4" applyAlignment="1" applyProtection="1"/>
    <xf numFmtId="165" fontId="2" fillId="3" borderId="0" xfId="2" applyNumberFormat="1" applyFont="1" applyFill="1"/>
    <xf numFmtId="165" fontId="7" fillId="5" borderId="0" xfId="2" applyNumberFormat="1" applyFont="1" applyFill="1"/>
    <xf numFmtId="0" fontId="0" fillId="4" borderId="0" xfId="0" applyFill="1"/>
    <xf numFmtId="2" fontId="2" fillId="3" borderId="0" xfId="2" applyNumberFormat="1" applyFont="1" applyFill="1"/>
    <xf numFmtId="2" fontId="2" fillId="4" borderId="0" xfId="2" applyNumberFormat="1" applyFont="1" applyFill="1" applyBorder="1"/>
    <xf numFmtId="2" fontId="2" fillId="4" borderId="0" xfId="2" applyNumberFormat="1" applyFill="1"/>
    <xf numFmtId="2" fontId="0" fillId="4" borderId="0" xfId="0" applyNumberFormat="1" applyFill="1"/>
    <xf numFmtId="2" fontId="0" fillId="3" borderId="0" xfId="0" applyNumberFormat="1" applyFill="1"/>
    <xf numFmtId="2" fontId="0" fillId="0" borderId="0" xfId="0" applyNumberFormat="1"/>
    <xf numFmtId="0" fontId="8" fillId="0" borderId="0" xfId="5" applyFont="1"/>
    <xf numFmtId="0" fontId="2" fillId="6" borderId="0" xfId="2" applyFont="1" applyFill="1"/>
    <xf numFmtId="0" fontId="4" fillId="0" borderId="0" xfId="5" applyFont="1"/>
    <xf numFmtId="0" fontId="9" fillId="6" borderId="0" xfId="6" applyFont="1" applyFill="1"/>
    <xf numFmtId="0" fontId="10" fillId="6" borderId="0" xfId="6" applyFont="1" applyFill="1" applyAlignment="1">
      <alignment vertical="center"/>
    </xf>
    <xf numFmtId="0" fontId="4" fillId="0" borderId="0" xfId="6" applyFont="1"/>
    <xf numFmtId="0" fontId="4" fillId="0" borderId="0" xfId="5" applyFont="1" applyFill="1"/>
    <xf numFmtId="0" fontId="4" fillId="0" borderId="0" xfId="6"/>
    <xf numFmtId="0" fontId="12" fillId="2" borderId="0" xfId="6" applyFont="1" applyFill="1"/>
    <xf numFmtId="166" fontId="2" fillId="0" borderId="0" xfId="2" applyNumberFormat="1"/>
    <xf numFmtId="0" fontId="2" fillId="0" borderId="0" xfId="2" applyFont="1" applyFill="1"/>
    <xf numFmtId="0" fontId="15" fillId="0" borderId="0" xfId="7" applyFont="1" applyAlignment="1" applyProtection="1"/>
    <xf numFmtId="0" fontId="18" fillId="0" borderId="0" xfId="7" applyFont="1" applyAlignment="1" applyProtection="1"/>
    <xf numFmtId="167" fontId="8" fillId="0" borderId="2" xfId="8" applyFont="1" applyBorder="1" applyAlignment="1">
      <alignment vertical="center"/>
    </xf>
    <xf numFmtId="3" fontId="8" fillId="0" borderId="2" xfId="8" applyNumberFormat="1" applyFont="1" applyBorder="1" applyAlignment="1">
      <alignment vertical="center"/>
    </xf>
    <xf numFmtId="165" fontId="8" fillId="0" borderId="2" xfId="8" applyNumberFormat="1" applyFont="1" applyBorder="1" applyAlignment="1">
      <alignment vertical="center"/>
    </xf>
    <xf numFmtId="165" fontId="19" fillId="0" borderId="2" xfId="8" applyNumberFormat="1" applyFont="1" applyBorder="1" applyAlignment="1">
      <alignment horizontal="right" vertical="center"/>
    </xf>
    <xf numFmtId="167" fontId="8" fillId="0" borderId="0" xfId="8" applyFont="1" applyBorder="1" applyAlignment="1">
      <alignment vertical="center"/>
    </xf>
    <xf numFmtId="3" fontId="8" fillId="0" borderId="0" xfId="8" applyNumberFormat="1" applyFont="1" applyBorder="1" applyAlignment="1">
      <alignment vertical="center"/>
    </xf>
    <xf numFmtId="165" fontId="8" fillId="0" borderId="0" xfId="8" applyNumberFormat="1" applyFont="1" applyBorder="1" applyAlignment="1">
      <alignment vertical="center"/>
    </xf>
    <xf numFmtId="165" fontId="19" fillId="0" borderId="0" xfId="8" applyNumberFormat="1" applyFont="1" applyBorder="1" applyAlignment="1">
      <alignment horizontal="right" vertical="center"/>
    </xf>
    <xf numFmtId="10" fontId="0" fillId="0" borderId="0" xfId="9" applyNumberFormat="1" applyFont="1"/>
    <xf numFmtId="10" fontId="0" fillId="2" borderId="0" xfId="9" applyNumberFormat="1" applyFont="1" applyFill="1"/>
    <xf numFmtId="0" fontId="2" fillId="7" borderId="0" xfId="2" applyFill="1"/>
    <xf numFmtId="0" fontId="2" fillId="7" borderId="0" xfId="2" applyFont="1" applyFill="1" applyAlignment="1">
      <alignment horizontal="right"/>
    </xf>
    <xf numFmtId="10" fontId="2" fillId="7" borderId="0" xfId="3" applyNumberFormat="1" applyFont="1" applyFill="1"/>
    <xf numFmtId="0" fontId="2" fillId="7" borderId="1" xfId="2" applyFill="1" applyBorder="1"/>
    <xf numFmtId="10" fontId="2" fillId="8" borderId="0" xfId="3" applyNumberFormat="1" applyFont="1" applyFill="1"/>
    <xf numFmtId="0" fontId="2" fillId="7" borderId="0" xfId="2" applyFont="1" applyFill="1"/>
    <xf numFmtId="166" fontId="2" fillId="7" borderId="0" xfId="3" applyNumberFormat="1" applyFont="1" applyFill="1"/>
    <xf numFmtId="166" fontId="2" fillId="5" borderId="1" xfId="3" applyNumberFormat="1" applyFont="1" applyFill="1" applyBorder="1"/>
    <xf numFmtId="0" fontId="2" fillId="8" borderId="0" xfId="2" applyFont="1" applyFill="1"/>
    <xf numFmtId="2" fontId="2" fillId="0" borderId="0" xfId="2" applyNumberFormat="1"/>
    <xf numFmtId="0" fontId="4" fillId="0" borderId="0" xfId="6" applyAlignment="1">
      <alignment horizontal="right"/>
    </xf>
    <xf numFmtId="2" fontId="2" fillId="0" borderId="0" xfId="3" applyNumberFormat="1" applyFont="1"/>
    <xf numFmtId="164" fontId="2" fillId="8" borderId="0" xfId="3" applyNumberFormat="1" applyFont="1" applyFill="1"/>
    <xf numFmtId="0" fontId="20" fillId="0" borderId="0" xfId="10"/>
    <xf numFmtId="3" fontId="20" fillId="0" borderId="0" xfId="10" applyNumberFormat="1"/>
    <xf numFmtId="3" fontId="2" fillId="0" borderId="0" xfId="2" applyNumberFormat="1"/>
    <xf numFmtId="3" fontId="2" fillId="2" borderId="0" xfId="2" applyNumberFormat="1" applyFill="1"/>
    <xf numFmtId="0" fontId="20" fillId="0" borderId="0" xfId="10" applyFill="1"/>
    <xf numFmtId="4" fontId="20" fillId="0" borderId="0" xfId="10" applyNumberFormat="1"/>
    <xf numFmtId="4" fontId="20" fillId="2" borderId="0" xfId="10" applyNumberFormat="1" applyFill="1"/>
    <xf numFmtId="4" fontId="2" fillId="0" borderId="0" xfId="2" applyNumberFormat="1"/>
    <xf numFmtId="4" fontId="2" fillId="2" borderId="0" xfId="2" applyNumberFormat="1" applyFill="1"/>
    <xf numFmtId="0" fontId="4" fillId="9" borderId="0" xfId="10" applyFont="1" applyFill="1" applyBorder="1" applyAlignment="1">
      <alignment horizontal="right" wrapText="1"/>
    </xf>
    <xf numFmtId="165" fontId="4" fillId="10" borderId="0" xfId="11" applyNumberFormat="1" applyFont="1" applyFill="1" applyAlignment="1">
      <alignment horizontal="right"/>
    </xf>
    <xf numFmtId="165" fontId="4" fillId="10" borderId="3" xfId="11" applyNumberFormat="1" applyFont="1" applyFill="1" applyBorder="1" applyAlignment="1">
      <alignment horizontal="right"/>
    </xf>
    <xf numFmtId="165" fontId="4" fillId="2" borderId="0" xfId="11" applyNumberFormat="1" applyFont="1" applyFill="1" applyAlignment="1">
      <alignment horizontal="right"/>
    </xf>
    <xf numFmtId="0" fontId="4" fillId="9" borderId="0" xfId="10" applyFont="1" applyFill="1" applyBorder="1" applyAlignment="1" applyProtection="1">
      <alignment horizontal="right" wrapText="1"/>
    </xf>
    <xf numFmtId="0" fontId="4" fillId="0" borderId="0" xfId="10" applyFont="1" applyBorder="1" applyAlignment="1">
      <alignment horizontal="right" wrapText="1"/>
    </xf>
    <xf numFmtId="0" fontId="8" fillId="9" borderId="0" xfId="10" applyFont="1" applyFill="1" applyBorder="1" applyAlignment="1" applyProtection="1">
      <alignment horizontal="right" wrapText="1"/>
    </xf>
    <xf numFmtId="165" fontId="7" fillId="0" borderId="0" xfId="2" applyNumberFormat="1" applyFont="1"/>
    <xf numFmtId="165" fontId="7" fillId="0" borderId="1" xfId="2" applyNumberFormat="1" applyFont="1" applyBorder="1"/>
    <xf numFmtId="0" fontId="7" fillId="0" borderId="1" xfId="2" applyFont="1" applyFill="1" applyBorder="1"/>
    <xf numFmtId="165" fontId="4" fillId="0" borderId="1" xfId="11" applyNumberFormat="1" applyFont="1" applyFill="1" applyBorder="1" applyAlignment="1">
      <alignment horizontal="right"/>
    </xf>
    <xf numFmtId="165" fontId="7" fillId="0" borderId="1" xfId="2" applyNumberFormat="1" applyFont="1" applyFill="1" applyBorder="1"/>
    <xf numFmtId="165" fontId="7" fillId="2" borderId="0" xfId="2" applyNumberFormat="1" applyFont="1" applyFill="1"/>
    <xf numFmtId="2" fontId="2" fillId="0" borderId="0" xfId="2" applyNumberFormat="1" applyFont="1"/>
    <xf numFmtId="0" fontId="7" fillId="0" borderId="0" xfId="2" applyFont="1" applyAlignment="1">
      <alignment horizontal="right"/>
    </xf>
    <xf numFmtId="0" fontId="7" fillId="2" borderId="0" xfId="2" applyFont="1" applyFill="1"/>
    <xf numFmtId="0" fontId="7" fillId="3" borderId="0" xfId="2" applyFont="1" applyFill="1"/>
    <xf numFmtId="165" fontId="7" fillId="0" borderId="0" xfId="2" applyNumberFormat="1" applyFont="1" applyAlignment="1">
      <alignment horizontal="right"/>
    </xf>
    <xf numFmtId="165" fontId="2" fillId="0" borderId="0" xfId="2" applyNumberFormat="1" applyFont="1"/>
    <xf numFmtId="165" fontId="7" fillId="11" borderId="0" xfId="2" applyNumberFormat="1" applyFont="1" applyFill="1"/>
    <xf numFmtId="0" fontId="7" fillId="12" borderId="0" xfId="2" applyFont="1" applyFill="1"/>
    <xf numFmtId="3" fontId="7" fillId="12" borderId="0" xfId="2" applyNumberFormat="1" applyFont="1" applyFill="1"/>
    <xf numFmtId="0" fontId="7" fillId="3" borderId="0" xfId="2" applyFont="1" applyFill="1" applyAlignment="1">
      <alignment horizontal="right"/>
    </xf>
    <xf numFmtId="165" fontId="7" fillId="3" borderId="0" xfId="2" applyNumberFormat="1" applyFont="1" applyFill="1"/>
    <xf numFmtId="165" fontId="7" fillId="13" borderId="0" xfId="2" applyNumberFormat="1" applyFont="1" applyFill="1"/>
    <xf numFmtId="2" fontId="2" fillId="14" borderId="0" xfId="2" applyNumberFormat="1" applyFill="1"/>
    <xf numFmtId="2" fontId="1" fillId="0" borderId="0" xfId="12" applyNumberFormat="1" applyBorder="1" applyAlignment="1">
      <alignment vertical="top"/>
    </xf>
    <xf numFmtId="2" fontId="1" fillId="2" borderId="0" xfId="12" applyNumberFormat="1" applyFill="1" applyBorder="1" applyAlignment="1">
      <alignment vertical="top"/>
    </xf>
    <xf numFmtId="2" fontId="2" fillId="0" borderId="0" xfId="2" applyNumberFormat="1" applyFill="1"/>
    <xf numFmtId="0" fontId="2" fillId="15" borderId="1" xfId="2" applyFill="1" applyBorder="1"/>
    <xf numFmtId="2" fontId="7" fillId="0" borderId="0" xfId="2" applyNumberFormat="1" applyFont="1"/>
    <xf numFmtId="169" fontId="7" fillId="0" borderId="0" xfId="3" applyNumberFormat="1" applyFont="1"/>
    <xf numFmtId="2" fontId="2" fillId="2" borderId="0" xfId="2" applyNumberFormat="1" applyFill="1"/>
    <xf numFmtId="164" fontId="7" fillId="14" borderId="0" xfId="2" applyNumberFormat="1" applyFont="1" applyFill="1"/>
    <xf numFmtId="2" fontId="7" fillId="2" borderId="0" xfId="2" applyNumberFormat="1" applyFont="1" applyFill="1"/>
    <xf numFmtId="4" fontId="2" fillId="0" borderId="0" xfId="2" applyNumberFormat="1" applyFont="1"/>
    <xf numFmtId="4" fontId="7" fillId="0" borderId="0" xfId="2" applyNumberFormat="1" applyFont="1"/>
    <xf numFmtId="164" fontId="7" fillId="0" borderId="0" xfId="2" applyNumberFormat="1" applyFont="1"/>
    <xf numFmtId="0" fontId="2" fillId="5" borderId="1" xfId="2" applyFill="1" applyBorder="1"/>
    <xf numFmtId="2" fontId="7" fillId="0" borderId="0" xfId="2" applyNumberFormat="1" applyFont="1" applyFill="1"/>
    <xf numFmtId="169" fontId="7" fillId="3" borderId="0" xfId="3" applyNumberFormat="1" applyFont="1" applyFill="1"/>
    <xf numFmtId="164" fontId="7" fillId="0" borderId="0" xfId="3" applyNumberFormat="1" applyFont="1" applyFill="1"/>
    <xf numFmtId="9" fontId="2" fillId="0" borderId="0" xfId="3" applyNumberFormat="1" applyFont="1"/>
    <xf numFmtId="2" fontId="2" fillId="5" borderId="1" xfId="2" applyNumberFormat="1" applyFill="1" applyBorder="1"/>
    <xf numFmtId="2" fontId="2" fillId="16" borderId="0" xfId="2" applyNumberFormat="1" applyFill="1"/>
    <xf numFmtId="165" fontId="2" fillId="0" borderId="0" xfId="2" applyNumberFormat="1"/>
    <xf numFmtId="0" fontId="2" fillId="2" borderId="0" xfId="2" applyFont="1" applyFill="1"/>
    <xf numFmtId="10" fontId="7" fillId="0" borderId="0" xfId="3" applyNumberFormat="1" applyFont="1"/>
    <xf numFmtId="0" fontId="2" fillId="13" borderId="0" xfId="2" applyFont="1" applyFill="1"/>
    <xf numFmtId="168" fontId="7" fillId="13" borderId="0" xfId="2" applyNumberFormat="1" applyFont="1" applyFill="1"/>
    <xf numFmtId="168" fontId="7" fillId="0" borderId="0" xfId="2" applyNumberFormat="1" applyFont="1"/>
    <xf numFmtId="4" fontId="7" fillId="8" borderId="0" xfId="2" applyNumberFormat="1" applyFont="1" applyFill="1"/>
    <xf numFmtId="164" fontId="2" fillId="13" borderId="0" xfId="3" applyNumberFormat="1" applyFont="1" applyFill="1"/>
    <xf numFmtId="164" fontId="2" fillId="0" borderId="1" xfId="3" applyNumberFormat="1" applyFont="1" applyBorder="1"/>
    <xf numFmtId="167" fontId="8" fillId="0" borderId="0" xfId="8" applyFont="1" applyBorder="1"/>
    <xf numFmtId="165" fontId="8" fillId="0" borderId="0" xfId="8" applyNumberFormat="1" applyFont="1" applyBorder="1" applyAlignment="1" applyProtection="1">
      <alignment horizontal="right"/>
    </xf>
    <xf numFmtId="167" fontId="8" fillId="0" borderId="0" xfId="8" applyFont="1" applyBorder="1" applyAlignment="1">
      <alignment horizontal="right"/>
    </xf>
    <xf numFmtId="3" fontId="8" fillId="0" borderId="0" xfId="8" applyNumberFormat="1" applyFont="1" applyBorder="1" applyAlignment="1" applyProtection="1">
      <alignment horizontal="right"/>
    </xf>
    <xf numFmtId="165" fontId="4" fillId="0" borderId="0" xfId="8" applyNumberFormat="1" applyFont="1"/>
    <xf numFmtId="167" fontId="8" fillId="0" borderId="2" xfId="8" applyFont="1" applyBorder="1" applyAlignment="1">
      <alignment vertical="top"/>
    </xf>
    <xf numFmtId="165" fontId="8" fillId="0" borderId="2" xfId="8" applyNumberFormat="1" applyFont="1" applyBorder="1" applyAlignment="1" applyProtection="1">
      <alignment horizontal="right" vertical="top"/>
    </xf>
    <xf numFmtId="165" fontId="8" fillId="0" borderId="0" xfId="8" applyNumberFormat="1" applyFont="1" applyBorder="1" applyAlignment="1" applyProtection="1">
      <alignment horizontal="right" vertical="top"/>
    </xf>
    <xf numFmtId="165" fontId="19" fillId="0" borderId="2" xfId="8" applyNumberFormat="1" applyFont="1" applyBorder="1" applyAlignment="1" applyProtection="1">
      <alignment horizontal="right"/>
    </xf>
    <xf numFmtId="165" fontId="19" fillId="0" borderId="0" xfId="8" applyNumberFormat="1" applyFont="1" applyBorder="1" applyAlignment="1" applyProtection="1">
      <alignment horizontal="right" vertical="top"/>
    </xf>
    <xf numFmtId="167" fontId="4" fillId="0" borderId="0" xfId="8" applyFont="1" applyAlignment="1" applyProtection="1">
      <alignment horizontal="left"/>
    </xf>
    <xf numFmtId="1" fontId="4" fillId="0" borderId="0" xfId="8" applyNumberFormat="1" applyFont="1" applyProtection="1"/>
    <xf numFmtId="3" fontId="4" fillId="0" borderId="0" xfId="8" applyNumberFormat="1" applyFont="1" applyProtection="1"/>
    <xf numFmtId="1" fontId="22" fillId="0" borderId="0" xfId="8" applyNumberFormat="1" applyFont="1" applyProtection="1"/>
    <xf numFmtId="1" fontId="23" fillId="0" borderId="0" xfId="8" applyNumberFormat="1" applyFont="1" applyProtection="1"/>
    <xf numFmtId="1" fontId="24" fillId="0" borderId="0" xfId="8" applyNumberFormat="1" applyFont="1" applyProtection="1"/>
    <xf numFmtId="167" fontId="4" fillId="0" borderId="0" xfId="8" applyFont="1" applyFill="1" applyAlignment="1" applyProtection="1">
      <alignment horizontal="left"/>
    </xf>
    <xf numFmtId="167" fontId="4" fillId="0" borderId="0" xfId="8" applyFont="1" applyFill="1" applyBorder="1" applyAlignment="1" applyProtection="1">
      <alignment horizontal="left"/>
    </xf>
    <xf numFmtId="0" fontId="26" fillId="17" borderId="0" xfId="13" applyFont="1" applyFill="1" applyAlignment="1" applyProtection="1"/>
    <xf numFmtId="0" fontId="27" fillId="17" borderId="0" xfId="13" applyFont="1" applyFill="1" applyAlignment="1" applyProtection="1"/>
    <xf numFmtId="0" fontId="30" fillId="17" borderId="0" xfId="13" applyFont="1" applyFill="1" applyAlignment="1" applyProtection="1"/>
    <xf numFmtId="170" fontId="27" fillId="17" borderId="0" xfId="15" applyFont="1" applyFill="1" applyAlignment="1" applyProtection="1">
      <alignment horizontal="left"/>
    </xf>
    <xf numFmtId="170" fontId="32" fillId="17" borderId="0" xfId="15" applyFont="1" applyFill="1" applyAlignment="1" applyProtection="1">
      <alignment horizontal="left"/>
    </xf>
    <xf numFmtId="0" fontId="33" fillId="17" borderId="4" xfId="13" applyFont="1" applyFill="1" applyBorder="1" applyAlignment="1" applyProtection="1">
      <alignment horizontal="left" vertical="top"/>
    </xf>
    <xf numFmtId="0" fontId="25" fillId="17" borderId="4" xfId="13" applyFont="1" applyFill="1" applyBorder="1" applyAlignment="1" applyProtection="1"/>
    <xf numFmtId="0" fontId="25" fillId="0" borderId="4" xfId="13" applyFont="1" applyFill="1" applyBorder="1" applyAlignment="1" applyProtection="1"/>
    <xf numFmtId="0" fontId="25" fillId="17" borderId="4" xfId="13" applyFont="1" applyFill="1" applyBorder="1" applyAlignment="1" applyProtection="1">
      <alignment horizontal="right"/>
    </xf>
    <xf numFmtId="0" fontId="25" fillId="17" borderId="0" xfId="13" applyFont="1" applyFill="1" applyAlignment="1" applyProtection="1"/>
    <xf numFmtId="0" fontId="33" fillId="17" borderId="5" xfId="13" applyFont="1" applyFill="1" applyBorder="1" applyAlignment="1" applyProtection="1">
      <alignment horizontal="left" vertical="top"/>
    </xf>
    <xf numFmtId="0" fontId="25" fillId="17" borderId="5" xfId="13" applyFont="1" applyFill="1" applyBorder="1" applyAlignment="1" applyProtection="1"/>
    <xf numFmtId="0" fontId="33" fillId="17" borderId="4" xfId="13" applyFont="1" applyFill="1" applyBorder="1" applyAlignment="1" applyProtection="1">
      <alignment horizontal="left" wrapText="1"/>
    </xf>
    <xf numFmtId="0" fontId="33" fillId="17" borderId="4" xfId="13" applyFont="1" applyFill="1" applyBorder="1" applyAlignment="1" applyProtection="1">
      <alignment horizontal="right" wrapText="1"/>
    </xf>
    <xf numFmtId="0" fontId="33" fillId="17" borderId="4" xfId="5" applyFont="1" applyFill="1" applyBorder="1" applyAlignment="1" applyProtection="1">
      <alignment horizontal="right" wrapText="1"/>
    </xf>
    <xf numFmtId="0" fontId="33" fillId="17" borderId="0" xfId="5" applyFont="1" applyFill="1" applyAlignment="1" applyProtection="1">
      <alignment horizontal="left"/>
    </xf>
    <xf numFmtId="168" fontId="25" fillId="17" borderId="0" xfId="11" applyFont="1" applyFill="1" applyAlignment="1" applyProtection="1">
      <alignment horizontal="left"/>
    </xf>
    <xf numFmtId="165" fontId="25" fillId="17" borderId="0" xfId="11" applyNumberFormat="1" applyFont="1" applyFill="1" applyAlignment="1" applyProtection="1">
      <alignment horizontal="right"/>
    </xf>
    <xf numFmtId="165" fontId="33" fillId="17" borderId="0" xfId="11" applyNumberFormat="1" applyFont="1" applyFill="1" applyAlignment="1" applyProtection="1">
      <alignment horizontal="right"/>
    </xf>
    <xf numFmtId="168" fontId="35" fillId="17" borderId="0" xfId="16" applyFont="1" applyFill="1" applyAlignment="1" applyProtection="1"/>
    <xf numFmtId="0" fontId="33" fillId="17" borderId="7" xfId="5" applyFont="1" applyFill="1" applyBorder="1" applyAlignment="1" applyProtection="1">
      <alignment horizontal="left"/>
    </xf>
    <xf numFmtId="168" fontId="25" fillId="17" borderId="7" xfId="11" applyFont="1" applyFill="1" applyBorder="1" applyAlignment="1" applyProtection="1">
      <alignment horizontal="left"/>
    </xf>
    <xf numFmtId="0" fontId="37" fillId="17" borderId="0" xfId="17" applyFont="1" applyFill="1" applyAlignment="1" applyProtection="1">
      <alignment horizontal="left"/>
    </xf>
    <xf numFmtId="0" fontId="38" fillId="17" borderId="0" xfId="17" applyFont="1" applyFill="1" applyAlignment="1" applyProtection="1">
      <alignment horizontal="left"/>
    </xf>
    <xf numFmtId="0" fontId="33" fillId="17" borderId="0" xfId="11" applyNumberFormat="1" applyFont="1" applyFill="1" applyAlignment="1" applyProtection="1">
      <alignment horizontal="left"/>
    </xf>
    <xf numFmtId="171" fontId="25" fillId="17" borderId="4" xfId="16" applyNumberFormat="1" applyFont="1" applyFill="1" applyBorder="1" applyAlignment="1" applyProtection="1">
      <alignment horizontal="right"/>
    </xf>
    <xf numFmtId="168" fontId="25" fillId="17" borderId="4" xfId="16" applyFont="1" applyFill="1" applyBorder="1" applyAlignment="1" applyProtection="1">
      <alignment horizontal="left"/>
    </xf>
    <xf numFmtId="1" fontId="39" fillId="17" borderId="4" xfId="16" applyNumberFormat="1" applyFont="1" applyFill="1" applyBorder="1" applyAlignment="1" applyProtection="1">
      <alignment horizontal="right"/>
    </xf>
    <xf numFmtId="171" fontId="25" fillId="17" borderId="0" xfId="5" applyNumberFormat="1" applyFont="1" applyFill="1" applyAlignment="1" applyProtection="1">
      <alignment horizontal="left"/>
    </xf>
    <xf numFmtId="168" fontId="25" fillId="17" borderId="0" xfId="16" applyFont="1" applyFill="1" applyAlignment="1" applyProtection="1">
      <alignment horizontal="left"/>
    </xf>
    <xf numFmtId="165" fontId="25" fillId="17" borderId="0" xfId="16" applyNumberFormat="1" applyFont="1" applyFill="1" applyAlignment="1" applyProtection="1"/>
    <xf numFmtId="168" fontId="25" fillId="17" borderId="0" xfId="16" applyFont="1" applyFill="1" applyAlignment="1" applyProtection="1"/>
    <xf numFmtId="168" fontId="25" fillId="17" borderId="0" xfId="16" applyFont="1" applyFill="1" applyAlignment="1" applyProtection="1">
      <alignment horizontal="right"/>
    </xf>
    <xf numFmtId="0" fontId="25" fillId="17" borderId="0" xfId="13" applyFont="1" applyFill="1" applyAlignment="1" applyProtection="1">
      <alignment horizontal="right"/>
    </xf>
    <xf numFmtId="165" fontId="25" fillId="17" borderId="0" xfId="16" applyNumberFormat="1" applyFont="1" applyFill="1" applyAlignment="1" applyProtection="1">
      <alignment horizontal="right"/>
    </xf>
    <xf numFmtId="0" fontId="25" fillId="17" borderId="0" xfId="13" applyFont="1" applyFill="1" applyAlignment="1" applyProtection="1">
      <alignment horizontal="right" vertical="top"/>
    </xf>
    <xf numFmtId="0" fontId="25" fillId="17" borderId="0" xfId="5" applyFont="1" applyFill="1" applyAlignment="1" applyProtection="1"/>
    <xf numFmtId="0" fontId="29" fillId="17" borderId="0" xfId="14" applyFont="1" applyFill="1" applyAlignment="1"/>
    <xf numFmtId="168" fontId="35" fillId="17" borderId="0" xfId="16" applyFont="1" applyFill="1" applyAlignment="1" applyProtection="1">
      <alignment horizontal="left"/>
    </xf>
    <xf numFmtId="165" fontId="35" fillId="17" borderId="0" xfId="16" applyNumberFormat="1" applyFont="1" applyFill="1" applyAlignment="1" applyProtection="1"/>
    <xf numFmtId="0" fontId="25" fillId="0" borderId="0" xfId="14" applyFont="1" applyFill="1" applyAlignment="1"/>
    <xf numFmtId="0" fontId="40" fillId="17" borderId="0" xfId="13" applyFont="1" applyFill="1" applyAlignment="1" applyProtection="1"/>
    <xf numFmtId="0" fontId="0" fillId="2" borderId="0" xfId="0" applyFill="1"/>
    <xf numFmtId="2" fontId="0" fillId="2" borderId="0" xfId="0" applyNumberFormat="1" applyFill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0" xfId="2" applyFont="1" applyFill="1"/>
    <xf numFmtId="0" fontId="5" fillId="0" borderId="0" xfId="2" applyFont="1" applyFill="1" applyAlignment="1">
      <alignment horizontal="right"/>
    </xf>
    <xf numFmtId="164" fontId="5" fillId="0" borderId="0" xfId="3" applyNumberFormat="1" applyFont="1" applyFill="1"/>
    <xf numFmtId="0" fontId="2" fillId="0" borderId="1" xfId="2" applyFill="1" applyBorder="1"/>
    <xf numFmtId="0" fontId="2" fillId="3" borderId="0" xfId="2" applyFill="1"/>
    <xf numFmtId="0" fontId="0" fillId="3" borderId="0" xfId="2" applyFont="1" applyFill="1" applyAlignment="1">
      <alignment horizontal="right"/>
    </xf>
    <xf numFmtId="0" fontId="2" fillId="3" borderId="0" xfId="2" applyFont="1" applyFill="1"/>
    <xf numFmtId="164" fontId="2" fillId="3" borderId="0" xfId="3" applyNumberFormat="1" applyFont="1" applyFill="1"/>
    <xf numFmtId="0" fontId="2" fillId="3" borderId="1" xfId="2" applyFill="1" applyBorder="1"/>
    <xf numFmtId="0" fontId="43" fillId="0" borderId="2" xfId="18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2" borderId="0" xfId="2" applyFill="1" applyAlignment="1">
      <alignment horizontal="center" vertical="top" wrapText="1"/>
    </xf>
    <xf numFmtId="0" fontId="29" fillId="17" borderId="0" xfId="14" applyFont="1" applyFill="1" applyAlignment="1"/>
    <xf numFmtId="1" fontId="17" fillId="0" borderId="0" xfId="8" applyNumberFormat="1" applyFont="1" applyAlignment="1" applyProtection="1">
      <alignment horizontal="left" vertical="top" wrapText="1"/>
    </xf>
    <xf numFmtId="0" fontId="33" fillId="17" borderId="6" xfId="13" applyFont="1" applyFill="1" applyBorder="1" applyAlignment="1" applyProtection="1">
      <alignment horizontal="center"/>
    </xf>
    <xf numFmtId="0" fontId="0" fillId="18" borderId="0" xfId="0" applyFill="1"/>
    <xf numFmtId="0" fontId="44" fillId="18" borderId="0" xfId="0" applyFont="1" applyFill="1" applyAlignment="1">
      <alignment vertical="center"/>
    </xf>
    <xf numFmtId="0" fontId="45" fillId="18" borderId="0" xfId="0" applyFont="1" applyFill="1"/>
    <xf numFmtId="0" fontId="44" fillId="18" borderId="0" xfId="0" quotePrefix="1" applyFont="1" applyFill="1" applyAlignment="1">
      <alignment vertical="center"/>
    </xf>
    <xf numFmtId="0" fontId="45" fillId="18" borderId="0" xfId="0" quotePrefix="1" applyFont="1" applyFill="1"/>
  </cellXfs>
  <cellStyles count="19">
    <cellStyle name="Heading_6. New topics" xfId="15" xr:uid="{00000000-0005-0000-0000-000000000000}"/>
    <cellStyle name="Hyperlink" xfId="4" builtinId="8"/>
    <cellStyle name="Hyperlink 2" xfId="7" xr:uid="{00000000-0005-0000-0000-000002000000}"/>
    <cellStyle name="Hyperlink 2 2" xfId="14" xr:uid="{00000000-0005-0000-0000-000003000000}"/>
    <cellStyle name="Normal" xfId="0" builtinId="0"/>
    <cellStyle name="Normal 2 2" xfId="5" xr:uid="{00000000-0005-0000-0000-000005000000}"/>
    <cellStyle name="Normal 2 2 3" xfId="18" xr:uid="{00000000-0005-0000-0000-000006000000}"/>
    <cellStyle name="Normal 2 3" xfId="10" xr:uid="{00000000-0005-0000-0000-000007000000}"/>
    <cellStyle name="Normal 4" xfId="6" xr:uid="{00000000-0005-0000-0000-000008000000}"/>
    <cellStyle name="Normal 4 2" xfId="12" xr:uid="{00000000-0005-0000-0000-000009000000}"/>
    <cellStyle name="Normal 8 5" xfId="2" xr:uid="{00000000-0005-0000-0000-00000A000000}"/>
    <cellStyle name="Normal_70108 updated" xfId="17" xr:uid="{00000000-0005-0000-0000-00000B000000}"/>
    <cellStyle name="Normal_CS94D" xfId="8" xr:uid="{00000000-0005-0000-0000-00000C000000}"/>
    <cellStyle name="Normal_TRA2501" xfId="16" xr:uid="{00000000-0005-0000-0000-00000D000000}"/>
    <cellStyle name="Normal_TRA2502a" xfId="11" xr:uid="{00000000-0005-0000-0000-00000E000000}"/>
    <cellStyle name="Normal_TRA9901" xfId="13" xr:uid="{00000000-0005-0000-0000-00000F000000}"/>
    <cellStyle name="Percent" xfId="1" builtinId="5"/>
    <cellStyle name="Percent 2" xfId="3" xr:uid="{00000000-0005-0000-0000-000011000000}"/>
    <cellStyle name="Percent 4" xfId="9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Real-world 2-3</a:t>
            </a:r>
            <a:r>
              <a:rPr lang="en-GB" baseline="0"/>
              <a:t> wheelers </a:t>
            </a:r>
            <a:r>
              <a:rPr lang="en-GB"/>
              <a:t>fuel economy l/100km (gasoline)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'1_Motorcycles calcs'!$B$54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'1_Motorcycles calcs'!$D$53:$BK$53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'1_Motorcycles calcs'!$D$54:$BK$54</c:f>
              <c:numCache>
                <c:formatCode>0.00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1-4D82-909D-440E7515058B}"/>
            </c:ext>
          </c:extLst>
        </c:ser>
        <c:ser>
          <c:idx val="1"/>
          <c:order val="1"/>
          <c:tx>
            <c:strRef>
              <c:f>'1_Motorcycles calcs'!$B$55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'1_Motorcycles calcs'!$D$53:$BK$53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'1_Motorcycles calcs'!$D$55:$BK$55</c:f>
              <c:numCache>
                <c:formatCode>0.0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1-4D82-909D-440E7515058B}"/>
            </c:ext>
          </c:extLst>
        </c:ser>
        <c:ser>
          <c:idx val="2"/>
          <c:order val="2"/>
          <c:tx>
            <c:strRef>
              <c:f>'1_Motorcycles calcs'!$B$56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'1_Motorcycles calcs'!$D$53:$BK$53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'1_Motorcycles calcs'!$D$56:$BK$56</c:f>
              <c:numCache>
                <c:formatCode>0.00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1-4D82-909D-440E7515058B}"/>
            </c:ext>
          </c:extLst>
        </c:ser>
        <c:ser>
          <c:idx val="3"/>
          <c:order val="3"/>
          <c:tx>
            <c:strRef>
              <c:f>'1_Motorcycles calcs'!$B$57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'1_Motorcycles calcs'!$D$53:$BK$53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'1_Motorcycles calcs'!$D$57:$BK$57</c:f>
              <c:numCache>
                <c:formatCode>0.00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1-4D82-909D-440E7515058B}"/>
            </c:ext>
          </c:extLst>
        </c:ser>
        <c:ser>
          <c:idx val="4"/>
          <c:order val="4"/>
          <c:tx>
            <c:strRef>
              <c:f>'1_Motorcycles calcs'!$B$58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'1_Motorcycles calcs'!$D$53:$BK$53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'1_Motorcycles calcs'!$D$58:$BK$58</c:f>
              <c:numCache>
                <c:formatCode>0.00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1-4D82-909D-440E7515058B}"/>
            </c:ext>
          </c:extLst>
        </c:ser>
        <c:ser>
          <c:idx val="5"/>
          <c:order val="5"/>
          <c:tx>
            <c:strRef>
              <c:f>'1_Motorcycles calcs'!$B$59</c:f>
              <c:strCache>
                <c:ptCount val="1"/>
                <c:pt idx="0">
                  <c:v>UK - Motorcycles - gasoline (ECUK) #2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'1_Motorcycles calcs'!$D$53:$BK$53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'1_Motorcycles calcs'!$D$59:$BK$59</c:f>
              <c:numCache>
                <c:formatCode>0.00</c:formatCode>
                <c:ptCount val="60"/>
                <c:pt idx="0">
                  <c:v>5.8047217204252446</c:v>
                </c:pt>
                <c:pt idx="1">
                  <c:v>5.832995466411341</c:v>
                </c:pt>
                <c:pt idx="2">
                  <c:v>5.8614069286826584</c:v>
                </c:pt>
                <c:pt idx="3">
                  <c:v>5.8899567780302284</c:v>
                </c:pt>
                <c:pt idx="4">
                  <c:v>5.9186456885123846</c:v>
                </c:pt>
                <c:pt idx="5">
                  <c:v>5.947474337470676</c:v>
                </c:pt>
                <c:pt idx="6">
                  <c:v>5.9764434055458526</c:v>
                </c:pt>
                <c:pt idx="7">
                  <c:v>6.0055535766939538</c:v>
                </c:pt>
                <c:pt idx="8">
                  <c:v>6.0348055382024368</c:v>
                </c:pt>
                <c:pt idx="9">
                  <c:v>6.0641999807064142</c:v>
                </c:pt>
                <c:pt idx="10">
                  <c:v>6.0937375982049513</c:v>
                </c:pt>
                <c:pt idx="11">
                  <c:v>6.1385913857906642</c:v>
                </c:pt>
                <c:pt idx="12">
                  <c:v>5.9677148469196961</c:v>
                </c:pt>
                <c:pt idx="13">
                  <c:v>6.0844586010597776</c:v>
                </c:pt>
                <c:pt idx="14">
                  <c:v>6.0413417042825923</c:v>
                </c:pt>
                <c:pt idx="15">
                  <c:v>5.6890651172738096</c:v>
                </c:pt>
                <c:pt idx="16">
                  <c:v>5.8434463267916756</c:v>
                </c:pt>
                <c:pt idx="17">
                  <c:v>5.7642113005539537</c:v>
                </c:pt>
                <c:pt idx="18">
                  <c:v>5.96160205274753</c:v>
                </c:pt>
                <c:pt idx="19">
                  <c:v>6.0328740264472227</c:v>
                </c:pt>
                <c:pt idx="20">
                  <c:v>5.8047217204252428</c:v>
                </c:pt>
                <c:pt idx="21">
                  <c:v>5.6102879950200073</c:v>
                </c:pt>
                <c:pt idx="22">
                  <c:v>5.6226012561463277</c:v>
                </c:pt>
                <c:pt idx="23">
                  <c:v>5.5764023659819602</c:v>
                </c:pt>
                <c:pt idx="24">
                  <c:v>5.5964834141008559</c:v>
                </c:pt>
                <c:pt idx="25">
                  <c:v>5.4353431287363803</c:v>
                </c:pt>
                <c:pt idx="26">
                  <c:v>5.4468288217829048</c:v>
                </c:pt>
                <c:pt idx="27">
                  <c:v>5.2387945762468693</c:v>
                </c:pt>
                <c:pt idx="28">
                  <c:v>5.2510825382396229</c:v>
                </c:pt>
                <c:pt idx="29">
                  <c:v>4.8704969401483522</c:v>
                </c:pt>
                <c:pt idx="30">
                  <c:v>5.0534479728373043</c:v>
                </c:pt>
                <c:pt idx="31">
                  <c:v>5.0323356377117641</c:v>
                </c:pt>
                <c:pt idx="32">
                  <c:v>5.2112837876740459</c:v>
                </c:pt>
                <c:pt idx="33">
                  <c:v>5.372294887491428</c:v>
                </c:pt>
                <c:pt idx="34">
                  <c:v>5.2419020527745337</c:v>
                </c:pt>
                <c:pt idx="35">
                  <c:v>5.1259589068493385</c:v>
                </c:pt>
                <c:pt idx="36">
                  <c:v>5.3261131082594479</c:v>
                </c:pt>
                <c:pt idx="37">
                  <c:v>5.2530904762954904</c:v>
                </c:pt>
                <c:pt idx="38">
                  <c:v>5.193287646856616</c:v>
                </c:pt>
                <c:pt idx="39">
                  <c:v>5.3418210742741357</c:v>
                </c:pt>
                <c:pt idx="40">
                  <c:v>5.3342994636792378</c:v>
                </c:pt>
                <c:pt idx="41">
                  <c:v>5.0954615909840779</c:v>
                </c:pt>
                <c:pt idx="42">
                  <c:v>5.1460518950855461</c:v>
                </c:pt>
                <c:pt idx="43">
                  <c:v>5.109862008557533</c:v>
                </c:pt>
                <c:pt idx="44">
                  <c:v>4.965696457018427</c:v>
                </c:pt>
                <c:pt idx="45">
                  <c:v>5.0375802690085347</c:v>
                </c:pt>
                <c:pt idx="46">
                  <c:v>4.8374104809668861</c:v>
                </c:pt>
                <c:pt idx="47">
                  <c:v>4.8551766064264825</c:v>
                </c:pt>
                <c:pt idx="48">
                  <c:v>4.8753445828589914</c:v>
                </c:pt>
                <c:pt idx="49">
                  <c:v>4.5932217545370895</c:v>
                </c:pt>
                <c:pt idx="50">
                  <c:v>4.4721195024194937</c:v>
                </c:pt>
                <c:pt idx="51">
                  <c:v>4.4369884693920785</c:v>
                </c:pt>
                <c:pt idx="52">
                  <c:v>4.2997907195063805</c:v>
                </c:pt>
                <c:pt idx="53">
                  <c:v>4.2214593110528051</c:v>
                </c:pt>
                <c:pt idx="54">
                  <c:v>4.1898216091001652</c:v>
                </c:pt>
                <c:pt idx="55">
                  <c:v>4.2311496402703499</c:v>
                </c:pt>
                <c:pt idx="56">
                  <c:v>4.1271563419433228</c:v>
                </c:pt>
                <c:pt idx="57">
                  <c:v>4.1466286799467369</c:v>
                </c:pt>
                <c:pt idx="58">
                  <c:v>4.0508140624830782</c:v>
                </c:pt>
                <c:pt idx="59">
                  <c:v>4.0166850127691331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1-4D82-909D-440E7515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20104"/>
        <c:axId val="561215184"/>
      </c:lineChart>
      <c:catAx>
        <c:axId val="56122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15184"/>
        <c:crosses val="autoZero"/>
        <c:auto val="1"/>
        <c:lblAlgn val="ctr"/>
        <c:lblOffset val="100"/>
        <c:noMultiLvlLbl val="0"/>
      </c:catAx>
      <c:valAx>
        <c:axId val="5612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2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s/s UK road vehicle - exergy efficiency vs mpUKg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'1_UK stats motorcycles'!$C$95</c:f>
              <c:strCache>
                <c:ptCount val="1"/>
                <c:pt idx="0">
                  <c:v> s/s petrol exergy efficiency y = 10log (0.416mpg) Uk Gallon</c:v>
                </c:pt>
              </c:strCache>
            </c:strRef>
          </c:tx>
          <c:marker>
            <c:symbol val="diamond"/>
            <c:size val="5"/>
          </c:marker>
          <c:dLbls>
            <c:delete val="1"/>
          </c:dLbls>
          <c:xVal>
            <c:numRef>
              <c:f>'1_UK stats motorcycles'!$E$94:$T$94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'1_UK stats motorcycles'!$E$95:$T$95</c:f>
              <c:numCache>
                <c:formatCode>0.0%</c:formatCode>
                <c:ptCount val="16"/>
                <c:pt idx="0" formatCode="General">
                  <c:v>0</c:v>
                </c:pt>
                <c:pt idx="1">
                  <c:v>6.1909333062674279E-2</c:v>
                </c:pt>
                <c:pt idx="2">
                  <c:v>9.2012332629072394E-2</c:v>
                </c:pt>
                <c:pt idx="3">
                  <c:v>0.1096214585346405</c:v>
                </c:pt>
                <c:pt idx="4">
                  <c:v>0.12211533219547049</c:v>
                </c:pt>
                <c:pt idx="5">
                  <c:v>0.13180633349627616</c:v>
                </c:pt>
                <c:pt idx="6">
                  <c:v>0.13972445810103865</c:v>
                </c:pt>
                <c:pt idx="7">
                  <c:v>0.14641913706409995</c:v>
                </c:pt>
                <c:pt idx="8">
                  <c:v>0.15221833176186864</c:v>
                </c:pt>
                <c:pt idx="9">
                  <c:v>0.15733358400660674</c:v>
                </c:pt>
                <c:pt idx="10">
                  <c:v>0.1619093330626743</c:v>
                </c:pt>
                <c:pt idx="11">
                  <c:v>0.1660486015784968</c:v>
                </c:pt>
                <c:pt idx="12">
                  <c:v>0.16982745766743676</c:v>
                </c:pt>
                <c:pt idx="13">
                  <c:v>0.17330366829335794</c:v>
                </c:pt>
                <c:pt idx="14">
                  <c:v>0.17652213663049807</c:v>
                </c:pt>
                <c:pt idx="15">
                  <c:v>0.17951845896824239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2-4E3F-AE52-7C4FC9A37182}"/>
            </c:ext>
          </c:extLst>
        </c:ser>
        <c:ser>
          <c:idx val="1"/>
          <c:order val="1"/>
          <c:tx>
            <c:strRef>
              <c:f>'1_UK stats motorcycles'!$C$96</c:f>
              <c:strCache>
                <c:ptCount val="1"/>
                <c:pt idx="0">
                  <c:v> s/s diesel exergy efficiency y = 12.5log (0.416mpg) Uk Gallon</c:v>
                </c:pt>
              </c:strCache>
            </c:strRef>
          </c:tx>
          <c:marker>
            <c:symbol val="square"/>
            <c:size val="5"/>
          </c:marker>
          <c:dLbls>
            <c:delete val="1"/>
          </c:dLbls>
          <c:xVal>
            <c:numRef>
              <c:f>'1_UK stats motorcycles'!$E$94:$T$94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'1_UK stats motorcycles'!$E$96:$T$96</c:f>
              <c:numCache>
                <c:formatCode>0.0%</c:formatCode>
                <c:ptCount val="16"/>
                <c:pt idx="0" formatCode="General">
                  <c:v>0</c:v>
                </c:pt>
                <c:pt idx="1">
                  <c:v>7.7386666328342846E-2</c:v>
                </c:pt>
                <c:pt idx="2">
                  <c:v>0.11501541578634049</c:v>
                </c:pt>
                <c:pt idx="3">
                  <c:v>0.13702682316830064</c:v>
                </c:pt>
                <c:pt idx="4">
                  <c:v>0.15264416524433813</c:v>
                </c:pt>
                <c:pt idx="5">
                  <c:v>0.16475791687034519</c:v>
                </c:pt>
                <c:pt idx="6">
                  <c:v>0.1746555726262983</c:v>
                </c:pt>
                <c:pt idx="7">
                  <c:v>0.18302392133012493</c:v>
                </c:pt>
                <c:pt idx="8">
                  <c:v>0.19027291470233579</c:v>
                </c:pt>
                <c:pt idx="9">
                  <c:v>0.19666698000825844</c:v>
                </c:pt>
                <c:pt idx="10">
                  <c:v>0.20238666632834285</c:v>
                </c:pt>
                <c:pt idx="11">
                  <c:v>0.20756075197312096</c:v>
                </c:pt>
                <c:pt idx="12">
                  <c:v>0.21228432208429593</c:v>
                </c:pt>
                <c:pt idx="13">
                  <c:v>0.21662958536669744</c:v>
                </c:pt>
                <c:pt idx="14">
                  <c:v>0.22065267078812259</c:v>
                </c:pt>
                <c:pt idx="15">
                  <c:v>0.22439807371030299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22-4E3F-AE52-7C4FC9A37182}"/>
            </c:ext>
          </c:extLst>
        </c:ser>
        <c:ser>
          <c:idx val="2"/>
          <c:order val="2"/>
          <c:tx>
            <c:strRef>
              <c:f>'1_UK stats motorcycles'!$C$100</c:f>
              <c:strCache>
                <c:ptCount val="1"/>
                <c:pt idx="0">
                  <c:v>Ayres &amp; warr y = 0.52xmpg (US Gallon)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dLbls>
            <c:delete val="1"/>
          </c:dLbls>
          <c:xVal>
            <c:numRef>
              <c:f>'1_UK stats motorcycles'!$E$94:$O$94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'1_UK stats motorcycles'!$E$100:$O$100</c:f>
              <c:numCache>
                <c:formatCode>0.00%</c:formatCode>
                <c:ptCount val="11"/>
                <c:pt idx="0">
                  <c:v>0</c:v>
                </c:pt>
                <c:pt idx="1">
                  <c:v>5.1999999999999998E-2</c:v>
                </c:pt>
                <c:pt idx="2">
                  <c:v>0.104</c:v>
                </c:pt>
                <c:pt idx="3">
                  <c:v>0.156</c:v>
                </c:pt>
                <c:pt idx="4">
                  <c:v>0.20799999999999999</c:v>
                </c:pt>
                <c:pt idx="5">
                  <c:v>0.26</c:v>
                </c:pt>
                <c:pt idx="6">
                  <c:v>0.312</c:v>
                </c:pt>
                <c:pt idx="7">
                  <c:v>0.36399999999999999</c:v>
                </c:pt>
                <c:pt idx="8">
                  <c:v>0.41599999999999998</c:v>
                </c:pt>
                <c:pt idx="9">
                  <c:v>0.46799999999999997</c:v>
                </c:pt>
                <c:pt idx="10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22-4E3F-AE52-7C4FC9A37182}"/>
            </c:ext>
          </c:extLst>
        </c:ser>
        <c:ser>
          <c:idx val="3"/>
          <c:order val="3"/>
          <c:tx>
            <c:strRef>
              <c:f>'1_UK stats motorcycles'!$C$97</c:f>
              <c:strCache>
                <c:ptCount val="1"/>
                <c:pt idx="0">
                  <c:v>s/s - diesel exergy efficiency #2 y = 8log (mpgx1.25) Uk Gallon</c:v>
                </c:pt>
              </c:strCache>
            </c:strRef>
          </c:tx>
          <c:dLbls>
            <c:delete val="1"/>
          </c:dLbls>
          <c:xVal>
            <c:numRef>
              <c:f>'1_UK stats motorcycles'!$E$94:$T$94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'1_UK stats motorcycles'!$E$97:$T$97</c:f>
              <c:numCache>
                <c:formatCode>0.0%</c:formatCode>
                <c:ptCount val="16"/>
                <c:pt idx="0" formatCode="General">
                  <c:v>0</c:v>
                </c:pt>
                <c:pt idx="1">
                  <c:v>8.7752801040644521E-2</c:v>
                </c:pt>
                <c:pt idx="2">
                  <c:v>0.11183520069376301</c:v>
                </c:pt>
                <c:pt idx="3">
                  <c:v>0.12592250141821751</c:v>
                </c:pt>
                <c:pt idx="4">
                  <c:v>0.1359176003468815</c:v>
                </c:pt>
                <c:pt idx="5">
                  <c:v>0.14367040138752601</c:v>
                </c:pt>
                <c:pt idx="6">
                  <c:v>0.15000490107133602</c:v>
                </c:pt>
                <c:pt idx="7">
                  <c:v>0.15536064424178506</c:v>
                </c:pt>
                <c:pt idx="8">
                  <c:v>0.16</c:v>
                </c:pt>
                <c:pt idx="9">
                  <c:v>0.16409220179579051</c:v>
                </c:pt>
                <c:pt idx="10">
                  <c:v>0.16775280104064449</c:v>
                </c:pt>
                <c:pt idx="11">
                  <c:v>0.17106421585330253</c:v>
                </c:pt>
                <c:pt idx="12">
                  <c:v>0.1740873007244545</c:v>
                </c:pt>
                <c:pt idx="13">
                  <c:v>0.17686826922519144</c:v>
                </c:pt>
                <c:pt idx="14">
                  <c:v>0.17944304389490356</c:v>
                </c:pt>
                <c:pt idx="15">
                  <c:v>0.18184010176509902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2-4E3F-AE52-7C4FC9A37182}"/>
            </c:ext>
          </c:extLst>
        </c:ser>
        <c:ser>
          <c:idx val="4"/>
          <c:order val="4"/>
          <c:tx>
            <c:strRef>
              <c:f>'1_UK stats motorcycles'!$C$98:$C$99</c:f>
              <c:strCache>
                <c:ptCount val="1"/>
                <c:pt idx="0">
                  <c:v> s/s petrol exergy efficiency y = 16.8log (0.1916mpUKg)  s/s diesel exergy efficiency y = 21log (0.1916mpUKg)</c:v>
                </c:pt>
              </c:strCache>
            </c:strRef>
          </c:tx>
          <c:dLbls>
            <c:delete val="1"/>
          </c:dLbls>
          <c:xVal>
            <c:numRef>
              <c:f>'1_UK stats motorcycles'!$E$94:$T$94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'1_UK stats motorcycles'!$E$98:$T$98</c:f>
              <c:numCache>
                <c:formatCode>0.0%</c:formatCode>
                <c:ptCount val="16"/>
                <c:pt idx="0" formatCode="General">
                  <c:v>0</c:v>
                </c:pt>
                <c:pt idx="1">
                  <c:v>4.744244479674431E-2</c:v>
                </c:pt>
                <c:pt idx="2">
                  <c:v>9.8015484068293135E-2</c:v>
                </c:pt>
                <c:pt idx="3">
                  <c:v>0.12759881558964759</c:v>
                </c:pt>
                <c:pt idx="4">
                  <c:v>0.14858852333984199</c:v>
                </c:pt>
                <c:pt idx="5">
                  <c:v>0.16486940552519549</c:v>
                </c:pt>
                <c:pt idx="6">
                  <c:v>0.17817185486119641</c:v>
                </c:pt>
                <c:pt idx="7">
                  <c:v>0.18941891551913945</c:v>
                </c:pt>
                <c:pt idx="8">
                  <c:v>0.19916156261139084</c:v>
                </c:pt>
                <c:pt idx="9">
                  <c:v>0.20775518638255089</c:v>
                </c:pt>
                <c:pt idx="10">
                  <c:v>0.21544244479674429</c:v>
                </c:pt>
                <c:pt idx="11">
                  <c:v>0.22239641590332609</c:v>
                </c:pt>
                <c:pt idx="12">
                  <c:v>0.22874489413274529</c:v>
                </c:pt>
                <c:pt idx="13">
                  <c:v>0.2345849279842929</c:v>
                </c:pt>
                <c:pt idx="14">
                  <c:v>0.2399919547906883</c:v>
                </c:pt>
                <c:pt idx="15">
                  <c:v>0.24502577631809877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22-4E3F-AE52-7C4FC9A37182}"/>
            </c:ext>
          </c:extLst>
        </c:ser>
        <c:ser>
          <c:idx val="5"/>
          <c:order val="5"/>
          <c:tx>
            <c:strRef>
              <c:f>'1_UK stats motorcycles'!$C$99</c:f>
              <c:strCache>
                <c:ptCount val="1"/>
                <c:pt idx="0">
                  <c:v> s/s diesel exergy efficiency y = 21log (0.1916mpUKg)</c:v>
                </c:pt>
              </c:strCache>
            </c:strRef>
          </c:tx>
          <c:dLbls>
            <c:delete val="1"/>
          </c:dLbls>
          <c:xVal>
            <c:numRef>
              <c:f>'1_UK stats motorcycles'!$E$94:$T$94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'1_UK stats motorcycles'!$E$99:$T$99</c:f>
              <c:numCache>
                <c:formatCode>0.0%</c:formatCode>
                <c:ptCount val="16"/>
                <c:pt idx="0" formatCode="General">
                  <c:v>0</c:v>
                </c:pt>
                <c:pt idx="1">
                  <c:v>5.930305599593038E-2</c:v>
                </c:pt>
                <c:pt idx="2">
                  <c:v>0.12251935508536642</c:v>
                </c:pt>
                <c:pt idx="3">
                  <c:v>0.15949851948705948</c:v>
                </c:pt>
                <c:pt idx="4">
                  <c:v>0.18573565417480251</c:v>
                </c:pt>
                <c:pt idx="5">
                  <c:v>0.20608675690649433</c:v>
                </c:pt>
                <c:pt idx="6">
                  <c:v>0.2227148185764955</c:v>
                </c:pt>
                <c:pt idx="7">
                  <c:v>0.23677364439892432</c:v>
                </c:pt>
                <c:pt idx="8">
                  <c:v>0.24895195326423855</c:v>
                </c:pt>
                <c:pt idx="9">
                  <c:v>0.25969398297818858</c:v>
                </c:pt>
                <c:pt idx="10">
                  <c:v>0.26930305599593035</c:v>
                </c:pt>
                <c:pt idx="11">
                  <c:v>0.2779955198791576</c:v>
                </c:pt>
                <c:pt idx="12">
                  <c:v>0.2859311176659316</c:v>
                </c:pt>
                <c:pt idx="13">
                  <c:v>0.29323115998036614</c:v>
                </c:pt>
                <c:pt idx="14">
                  <c:v>0.29998994348836039</c:v>
                </c:pt>
                <c:pt idx="15">
                  <c:v>0.30628222039762343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22-4E3F-AE52-7C4FC9A37182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17209088"/>
        <c:axId val="517215360"/>
      </c:scatterChart>
      <c:valAx>
        <c:axId val="5172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mpUKg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215360"/>
        <c:crosses val="autoZero"/>
        <c:crossBetween val="midCat"/>
      </c:valAx>
      <c:valAx>
        <c:axId val="517215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exergy efficiency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crossAx val="517209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070962171095737"/>
          <c:y val="4.459943675359105E-2"/>
          <c:w val="0.33097004592998169"/>
          <c:h val="0.9554005632464089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&amp; US road vehicles - exergy efficiency vs mpg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'1_UK stats motorcycles'!$C$100</c:f>
              <c:strCache>
                <c:ptCount val="1"/>
                <c:pt idx="0">
                  <c:v>Ayres &amp; warr y = 0.52xmpg (US Gallon)</c:v>
                </c:pt>
              </c:strCache>
            </c:strRef>
          </c:tx>
          <c:spPr>
            <a:ln w="19050"/>
          </c:spPr>
          <c:marker>
            <c:symbol val="triangle"/>
            <c:size val="5"/>
          </c:marker>
          <c:dLbls>
            <c:delete val="1"/>
          </c:dLbls>
          <c:xVal>
            <c:numRef>
              <c:f>'1_UK stats motorcycles'!$E$94:$O$94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'1_UK stats motorcycles'!$E$100:$O$100</c:f>
              <c:numCache>
                <c:formatCode>0.00%</c:formatCode>
                <c:ptCount val="11"/>
                <c:pt idx="0">
                  <c:v>0</c:v>
                </c:pt>
                <c:pt idx="1">
                  <c:v>5.1999999999999998E-2</c:v>
                </c:pt>
                <c:pt idx="2">
                  <c:v>0.104</c:v>
                </c:pt>
                <c:pt idx="3">
                  <c:v>0.156</c:v>
                </c:pt>
                <c:pt idx="4">
                  <c:v>0.20799999999999999</c:v>
                </c:pt>
                <c:pt idx="5">
                  <c:v>0.26</c:v>
                </c:pt>
                <c:pt idx="6">
                  <c:v>0.312</c:v>
                </c:pt>
                <c:pt idx="7">
                  <c:v>0.36399999999999999</c:v>
                </c:pt>
                <c:pt idx="8">
                  <c:v>0.41599999999999998</c:v>
                </c:pt>
                <c:pt idx="9">
                  <c:v>0.46799999999999997</c:v>
                </c:pt>
                <c:pt idx="10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8-43B1-8CE9-C45DA2E7564C}"/>
            </c:ext>
          </c:extLst>
        </c:ser>
        <c:ser>
          <c:idx val="0"/>
          <c:order val="1"/>
          <c:tx>
            <c:strRef>
              <c:f>'1_UK stats motorcycles'!$C$257</c:f>
              <c:strCache>
                <c:ptCount val="1"/>
                <c:pt idx="0">
                  <c:v>UK road vehicle efficiency based on exp function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elete val="1"/>
          </c:dLbls>
          <c:xVal>
            <c:numRef>
              <c:f>'1_UK stats motorcycles'!$D$50:$BB$50</c:f>
              <c:numCache>
                <c:formatCode>0.00</c:formatCode>
                <c:ptCount val="51"/>
                <c:pt idx="0">
                  <c:v>23.478427268870355</c:v>
                </c:pt>
                <c:pt idx="1">
                  <c:v>23.006506303856494</c:v>
                </c:pt>
                <c:pt idx="2">
                  <c:v>23.108329666134455</c:v>
                </c:pt>
                <c:pt idx="3">
                  <c:v>23.032909068193181</c:v>
                </c:pt>
                <c:pt idx="4">
                  <c:v>22.794662134534597</c:v>
                </c:pt>
                <c:pt idx="5">
                  <c:v>22.880546718264217</c:v>
                </c:pt>
                <c:pt idx="6">
                  <c:v>22.704395141888025</c:v>
                </c:pt>
                <c:pt idx="7">
                  <c:v>23.268529360508555</c:v>
                </c:pt>
                <c:pt idx="8">
                  <c:v>23.658360451878419</c:v>
                </c:pt>
                <c:pt idx="9">
                  <c:v>23.830014699056644</c:v>
                </c:pt>
                <c:pt idx="10">
                  <c:v>22.750468797521485</c:v>
                </c:pt>
                <c:pt idx="11">
                  <c:v>22.955283896529775</c:v>
                </c:pt>
                <c:pt idx="12">
                  <c:v>22.838979904524315</c:v>
                </c:pt>
                <c:pt idx="13">
                  <c:v>22.527526646754993</c:v>
                </c:pt>
                <c:pt idx="14">
                  <c:v>22.743865833392739</c:v>
                </c:pt>
                <c:pt idx="15">
                  <c:v>23.509290304185523</c:v>
                </c:pt>
                <c:pt idx="16">
                  <c:v>23.625291486176163</c:v>
                </c:pt>
                <c:pt idx="17">
                  <c:v>23.397558705009107</c:v>
                </c:pt>
                <c:pt idx="18">
                  <c:v>23.023424673303364</c:v>
                </c:pt>
                <c:pt idx="19">
                  <c:v>22.50374528903393</c:v>
                </c:pt>
                <c:pt idx="20">
                  <c:v>23.512086501867884</c:v>
                </c:pt>
                <c:pt idx="21">
                  <c:v>24.634600692847787</c:v>
                </c:pt>
                <c:pt idx="22">
                  <c:v>24.664535164528573</c:v>
                </c:pt>
                <c:pt idx="23">
                  <c:v>24.45758965533113</c:v>
                </c:pt>
                <c:pt idx="24">
                  <c:v>24.775923509587518</c:v>
                </c:pt>
                <c:pt idx="25">
                  <c:v>25.078531845126697</c:v>
                </c:pt>
                <c:pt idx="26">
                  <c:v>24.936490463387958</c:v>
                </c:pt>
                <c:pt idx="27">
                  <c:v>25.676690230438638</c:v>
                </c:pt>
                <c:pt idx="28">
                  <c:v>25.970486211682438</c:v>
                </c:pt>
                <c:pt idx="29">
                  <c:v>26.769829009475384</c:v>
                </c:pt>
                <c:pt idx="30">
                  <c:v>25.897167514278749</c:v>
                </c:pt>
                <c:pt idx="31">
                  <c:v>25.902559543886468</c:v>
                </c:pt>
                <c:pt idx="32">
                  <c:v>25.437224565792668</c:v>
                </c:pt>
                <c:pt idx="33">
                  <c:v>25.008550294898658</c:v>
                </c:pt>
                <c:pt idx="34">
                  <c:v>25.417999555816259</c:v>
                </c:pt>
                <c:pt idx="35">
                  <c:v>26.078231127793721</c:v>
                </c:pt>
                <c:pt idx="36">
                  <c:v>25.651849532938392</c:v>
                </c:pt>
                <c:pt idx="37">
                  <c:v>25.817190268531142</c:v>
                </c:pt>
                <c:pt idx="38">
                  <c:v>26.41643247790881</c:v>
                </c:pt>
                <c:pt idx="39">
                  <c:v>26.562444844897268</c:v>
                </c:pt>
                <c:pt idx="40">
                  <c:v>26.644906168445836</c:v>
                </c:pt>
                <c:pt idx="41">
                  <c:v>27.037342572628869</c:v>
                </c:pt>
                <c:pt idx="42">
                  <c:v>27.114331958364513</c:v>
                </c:pt>
                <c:pt idx="43">
                  <c:v>27.384264436441466</c:v>
                </c:pt>
                <c:pt idx="44">
                  <c:v>27.537897616726589</c:v>
                </c:pt>
                <c:pt idx="45">
                  <c:v>27.366503546228586</c:v>
                </c:pt>
                <c:pt idx="46">
                  <c:v>27.771814730730803</c:v>
                </c:pt>
                <c:pt idx="47">
                  <c:v>27.757336122113824</c:v>
                </c:pt>
                <c:pt idx="48">
                  <c:v>28.635086768387637</c:v>
                </c:pt>
                <c:pt idx="49">
                  <c:v>29.419383034468524</c:v>
                </c:pt>
                <c:pt idx="50">
                  <c:v>29.64599726007539</c:v>
                </c:pt>
              </c:numCache>
            </c:numRef>
          </c:xVal>
          <c:yVal>
            <c:numRef>
              <c:f>'1_UK stats motorcycles'!$D$51:$BB$51</c:f>
              <c:numCache>
                <c:formatCode>0.00%</c:formatCode>
                <c:ptCount val="51"/>
                <c:pt idx="0">
                  <c:v>0.14763239699834313</c:v>
                </c:pt>
                <c:pt idx="1">
                  <c:v>0.14737477549663267</c:v>
                </c:pt>
                <c:pt idx="2">
                  <c:v>0.14720665278984113</c:v>
                </c:pt>
                <c:pt idx="3">
                  <c:v>0.14693632282650526</c:v>
                </c:pt>
                <c:pt idx="4">
                  <c:v>0.14699474954390571</c:v>
                </c:pt>
                <c:pt idx="5">
                  <c:v>0.14712766261102131</c:v>
                </c:pt>
                <c:pt idx="6">
                  <c:v>0.14715526432209963</c:v>
                </c:pt>
                <c:pt idx="7">
                  <c:v>0.14721276536470465</c:v>
                </c:pt>
                <c:pt idx="8">
                  <c:v>0.14714253099884539</c:v>
                </c:pt>
                <c:pt idx="9">
                  <c:v>0.1470219170470678</c:v>
                </c:pt>
                <c:pt idx="10">
                  <c:v>0.1472999835144928</c:v>
                </c:pt>
                <c:pt idx="11">
                  <c:v>0.14824039505250283</c:v>
                </c:pt>
                <c:pt idx="12">
                  <c:v>0.14827057812020003</c:v>
                </c:pt>
                <c:pt idx="13">
                  <c:v>0.1465475622730712</c:v>
                </c:pt>
                <c:pt idx="14">
                  <c:v>0.14742415452486934</c:v>
                </c:pt>
                <c:pt idx="15">
                  <c:v>0.15036117931815446</c:v>
                </c:pt>
                <c:pt idx="16">
                  <c:v>0.15095490304223652</c:v>
                </c:pt>
                <c:pt idx="17">
                  <c:v>0.14957088708385496</c:v>
                </c:pt>
                <c:pt idx="18">
                  <c:v>0.14837559578494805</c:v>
                </c:pt>
                <c:pt idx="19">
                  <c:v>0.14573275997339308</c:v>
                </c:pt>
                <c:pt idx="20">
                  <c:v>0.15099280477989488</c:v>
                </c:pt>
                <c:pt idx="21">
                  <c:v>0.15620118045906745</c:v>
                </c:pt>
                <c:pt idx="22">
                  <c:v>0.15555323110656968</c:v>
                </c:pt>
                <c:pt idx="23">
                  <c:v>0.15346033732743328</c:v>
                </c:pt>
                <c:pt idx="24">
                  <c:v>0.15353937333856801</c:v>
                </c:pt>
                <c:pt idx="25">
                  <c:v>0.15360602548156096</c:v>
                </c:pt>
                <c:pt idx="26">
                  <c:v>0.15132249723278485</c:v>
                </c:pt>
                <c:pt idx="27">
                  <c:v>0.15526003751409223</c:v>
                </c:pt>
                <c:pt idx="28">
                  <c:v>0.15645783431187543</c:v>
                </c:pt>
                <c:pt idx="29">
                  <c:v>0.16185575659230395</c:v>
                </c:pt>
                <c:pt idx="30">
                  <c:v>0.1617086296199047</c:v>
                </c:pt>
                <c:pt idx="31">
                  <c:v>0.16363611561162922</c:v>
                </c:pt>
                <c:pt idx="32">
                  <c:v>0.16326563603009445</c:v>
                </c:pt>
                <c:pt idx="33">
                  <c:v>0.16350738722587371</c:v>
                </c:pt>
                <c:pt idx="34">
                  <c:v>0.16749700833758235</c:v>
                </c:pt>
                <c:pt idx="35">
                  <c:v>0.17271189074931081</c:v>
                </c:pt>
                <c:pt idx="36">
                  <c:v>0.17228131062597363</c:v>
                </c:pt>
                <c:pt idx="37">
                  <c:v>0.17444457123391371</c:v>
                </c:pt>
                <c:pt idx="38">
                  <c:v>0.17823139444533692</c:v>
                </c:pt>
                <c:pt idx="39">
                  <c:v>0.1804610713795789</c:v>
                </c:pt>
                <c:pt idx="40">
                  <c:v>0.18183008634988565</c:v>
                </c:pt>
                <c:pt idx="41">
                  <c:v>0.18471812966039275</c:v>
                </c:pt>
                <c:pt idx="42">
                  <c:v>0.18628361331338614</c:v>
                </c:pt>
                <c:pt idx="43">
                  <c:v>0.18894929588073028</c:v>
                </c:pt>
                <c:pt idx="44">
                  <c:v>0.19114645023909277</c:v>
                </c:pt>
                <c:pt idx="45">
                  <c:v>0.19170298586136666</c:v>
                </c:pt>
                <c:pt idx="46">
                  <c:v>0.19508055161389612</c:v>
                </c:pt>
                <c:pt idx="47">
                  <c:v>0.19630390684006505</c:v>
                </c:pt>
                <c:pt idx="48">
                  <c:v>0.20194351987759496</c:v>
                </c:pt>
                <c:pt idx="49">
                  <c:v>0.20631768793228805</c:v>
                </c:pt>
                <c:pt idx="50">
                  <c:v>0.20837792754899609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98-43B1-8CE9-C45DA2E7564C}"/>
            </c:ext>
          </c:extLst>
        </c:ser>
        <c:ser>
          <c:idx val="1"/>
          <c:order val="2"/>
          <c:tx>
            <c:strRef>
              <c:f>'1_UK stats motorcycles'!$C$265</c:f>
              <c:strCache>
                <c:ptCount val="1"/>
                <c:pt idx="0">
                  <c:v>US petrol road vehicles - exergy efficiency</c:v>
                </c:pt>
              </c:strCache>
            </c:strRef>
          </c:tx>
          <c:marker>
            <c:spPr>
              <a:noFill/>
            </c:spPr>
          </c:marker>
          <c:dLbls>
            <c:delete val="1"/>
          </c:dLbls>
          <c:xVal>
            <c:numRef>
              <c:f>'1_UK stats motorcycles'!$D$264:$BB$264</c:f>
              <c:numCache>
                <c:formatCode>0.0</c:formatCode>
                <c:ptCount val="51"/>
                <c:pt idx="0" formatCode="#,##0.0">
                  <c:v>13.197054801575648</c:v>
                </c:pt>
                <c:pt idx="1">
                  <c:v>13.295086955157087</c:v>
                </c:pt>
                <c:pt idx="2">
                  <c:v>13.393119108738526</c:v>
                </c:pt>
                <c:pt idx="3">
                  <c:v>13.491151262319965</c:v>
                </c:pt>
                <c:pt idx="4">
                  <c:v>13.589183415901404</c:v>
                </c:pt>
                <c:pt idx="5" formatCode="#,##0.0">
                  <c:v>13.68721556948284</c:v>
                </c:pt>
                <c:pt idx="6">
                  <c:v>13.628390780428564</c:v>
                </c:pt>
                <c:pt idx="7">
                  <c:v>13.569565991374288</c:v>
                </c:pt>
                <c:pt idx="8">
                  <c:v>13.510741202320013</c:v>
                </c:pt>
                <c:pt idx="9">
                  <c:v>13.451916413265737</c:v>
                </c:pt>
                <c:pt idx="10" formatCode="#,##0.00">
                  <c:v>13.393091624211458</c:v>
                </c:pt>
                <c:pt idx="11" formatCode="#,##0.00">
                  <c:v>13.405942192706743</c:v>
                </c:pt>
                <c:pt idx="12" formatCode="#,##0.00">
                  <c:v>13.418792761202027</c:v>
                </c:pt>
                <c:pt idx="13" formatCode="#,##0.00">
                  <c:v>13.431643329697312</c:v>
                </c:pt>
                <c:pt idx="14" formatCode="#,##0.00">
                  <c:v>13.444493898192597</c:v>
                </c:pt>
                <c:pt idx="15" formatCode="#,##0.00">
                  <c:v>13.45734446668788</c:v>
                </c:pt>
                <c:pt idx="16" formatCode="#,##0.00">
                  <c:v>13.826593251845654</c:v>
                </c:pt>
                <c:pt idx="17" formatCode="#,##0.00">
                  <c:v>14.195842037003429</c:v>
                </c:pt>
                <c:pt idx="18" formatCode="#,##0.00">
                  <c:v>14.565090822161203</c:v>
                </c:pt>
                <c:pt idx="19" formatCode="#,##0.00">
                  <c:v>14.934339607318977</c:v>
                </c:pt>
                <c:pt idx="20" formatCode="#,##0.0">
                  <c:v>15.303588392476749</c:v>
                </c:pt>
                <c:pt idx="21" formatCode="#,##0.00">
                  <c:v>15.696882728057679</c:v>
                </c:pt>
                <c:pt idx="22" formatCode="#,##0.00">
                  <c:v>16.09017706363861</c:v>
                </c:pt>
                <c:pt idx="23" formatCode="#,##0.00">
                  <c:v>16.483471399219539</c:v>
                </c:pt>
                <c:pt idx="24" formatCode="#,##0.00">
                  <c:v>16.876765734800468</c:v>
                </c:pt>
                <c:pt idx="25" formatCode="#,##0.0">
                  <c:v>17.270060070381398</c:v>
                </c:pt>
                <c:pt idx="26" formatCode="#,##0.00">
                  <c:v>17.67184947057304</c:v>
                </c:pt>
                <c:pt idx="27" formatCode="#,##0.00">
                  <c:v>18.073638870764682</c:v>
                </c:pt>
                <c:pt idx="28" formatCode="#,##0.00">
                  <c:v>18.475428270956325</c:v>
                </c:pt>
                <c:pt idx="29" formatCode="#,##0.00">
                  <c:v>18.877217671147967</c:v>
                </c:pt>
                <c:pt idx="30" formatCode="#,##0.0">
                  <c:v>19.279007071339617</c:v>
                </c:pt>
                <c:pt idx="31" formatCode="#,##0.0">
                  <c:v>19.913392821192801</c:v>
                </c:pt>
                <c:pt idx="32" formatCode="#,##0.0">
                  <c:v>19.988444728746977</c:v>
                </c:pt>
                <c:pt idx="33" formatCode="#,##0.0">
                  <c:v>20.018615279872112</c:v>
                </c:pt>
                <c:pt idx="34" formatCode="#,##0.0">
                  <c:v>19.904044146485482</c:v>
                </c:pt>
                <c:pt idx="35" formatCode="#,##0.0">
                  <c:v>19.995298550986774</c:v>
                </c:pt>
                <c:pt idx="36" formatCode="#,##0.0">
                  <c:v>20.047069647114174</c:v>
                </c:pt>
                <c:pt idx="37" formatCode="#,##0.0">
                  <c:v>20.186048676831316</c:v>
                </c:pt>
                <c:pt idx="38" formatCode="#,##0.0">
                  <c:v>20.625026158056269</c:v>
                </c:pt>
                <c:pt idx="39" formatCode="#,##0.0">
                  <c:v>20.315369048251508</c:v>
                </c:pt>
                <c:pt idx="40" formatCode="#,##0.0">
                  <c:v>20.624399364619347</c:v>
                </c:pt>
                <c:pt idx="41" formatCode="#,##0.0">
                  <c:v>20.79656680098352</c:v>
                </c:pt>
                <c:pt idx="42" formatCode="#,##0.0">
                  <c:v>20.736660060709248</c:v>
                </c:pt>
                <c:pt idx="43" formatCode="#,##0.0">
                  <c:v>20.193017194526458</c:v>
                </c:pt>
                <c:pt idx="44" formatCode="#,##0.0">
                  <c:v>20.552284807884224</c:v>
                </c:pt>
                <c:pt idx="45" formatCode="#,##0.0">
                  <c:v>21.044466333604017</c:v>
                </c:pt>
                <c:pt idx="46" formatCode="#,##0.0">
                  <c:v>21.274145831973524</c:v>
                </c:pt>
                <c:pt idx="47" formatCode="#,##0.0">
                  <c:v>21.528463794298183</c:v>
                </c:pt>
                <c:pt idx="48" formatCode="#,##0.0">
                  <c:v>22.291194577534764</c:v>
                </c:pt>
                <c:pt idx="49" formatCode="#,##0.0">
                  <c:v>22.893671884457859</c:v>
                </c:pt>
                <c:pt idx="50" formatCode="#,##0.0">
                  <c:v>22.41287587147643</c:v>
                </c:pt>
              </c:numCache>
            </c:numRef>
          </c:xVal>
          <c:yVal>
            <c:numRef>
              <c:f>'1_UK stats motorcycles'!$D$265:$BB$265</c:f>
              <c:numCache>
                <c:formatCode>0.0%</c:formatCode>
                <c:ptCount val="51"/>
                <c:pt idx="0">
                  <c:v>8.1010415833571173E-2</c:v>
                </c:pt>
                <c:pt idx="1">
                  <c:v>8.1550395049725694E-2</c:v>
                </c:pt>
                <c:pt idx="2">
                  <c:v>8.2086407284866228E-2</c:v>
                </c:pt>
                <c:pt idx="3">
                  <c:v>8.2618510401362991E-2</c:v>
                </c:pt>
                <c:pt idx="4">
                  <c:v>8.3146761004776124E-2</c:v>
                </c:pt>
                <c:pt idx="5">
                  <c:v>8.367121447999247E-2</c:v>
                </c:pt>
                <c:pt idx="6">
                  <c:v>8.335696556046672E-2</c:v>
                </c:pt>
                <c:pt idx="7">
                  <c:v>8.3041357297363699E-2</c:v>
                </c:pt>
                <c:pt idx="8">
                  <c:v>8.2724377879373492E-2</c:v>
                </c:pt>
                <c:pt idx="9">
                  <c:v>8.2406015340571945E-2</c:v>
                </c:pt>
                <c:pt idx="10">
                  <c:v>8.2086257557710082E-2</c:v>
                </c:pt>
                <c:pt idx="11">
                  <c:v>8.2156229966719577E-2</c:v>
                </c:pt>
                <c:pt idx="12">
                  <c:v>8.222613533421877E-2</c:v>
                </c:pt>
                <c:pt idx="13">
                  <c:v>8.2295973788551469E-2</c:v>
                </c:pt>
                <c:pt idx="14">
                  <c:v>8.2365745457693235E-2</c:v>
                </c:pt>
                <c:pt idx="15">
                  <c:v>8.2435450469252894E-2</c:v>
                </c:pt>
                <c:pt idx="16">
                  <c:v>8.4410427873277072E-2</c:v>
                </c:pt>
                <c:pt idx="17">
                  <c:v>8.6333351016526547E-2</c:v>
                </c:pt>
                <c:pt idx="18">
                  <c:v>8.8206893557239263E-2</c:v>
                </c:pt>
                <c:pt idx="19">
                  <c:v>9.0033528310542885E-2</c:v>
                </c:pt>
                <c:pt idx="20">
                  <c:v>9.1815546874265228E-2</c:v>
                </c:pt>
                <c:pt idx="21">
                  <c:v>9.3666929945199526E-2</c:v>
                </c:pt>
                <c:pt idx="22">
                  <c:v>9.5472494765297858E-2</c:v>
                </c:pt>
                <c:pt idx="23">
                  <c:v>9.7234454504146209E-2</c:v>
                </c:pt>
                <c:pt idx="24">
                  <c:v>9.8954865750711593E-2</c:v>
                </c:pt>
                <c:pt idx="25">
                  <c:v>0.10063564294433185</c:v>
                </c:pt>
                <c:pt idx="26">
                  <c:v>0.10231365304629186</c:v>
                </c:pt>
                <c:pt idx="27">
                  <c:v>0.10395393731760849</c:v>
                </c:pt>
                <c:pt idx="28">
                  <c:v>0.10555815486631487</c:v>
                </c:pt>
                <c:pt idx="29">
                  <c:v>0.10712785770467832</c:v>
                </c:pt>
                <c:pt idx="30">
                  <c:v>0.108664499772788</c:v>
                </c:pt>
                <c:pt idx="31">
                  <c:v>0.11102668028735753</c:v>
                </c:pt>
                <c:pt idx="32">
                  <c:v>0.11130114905959694</c:v>
                </c:pt>
                <c:pt idx="33">
                  <c:v>0.1114111940500023</c:v>
                </c:pt>
                <c:pt idx="34">
                  <c:v>0.11099241926297493</c:v>
                </c:pt>
                <c:pt idx="35">
                  <c:v>0.11132616247404487</c:v>
                </c:pt>
                <c:pt idx="36">
                  <c:v>0.11151482751584424</c:v>
                </c:pt>
                <c:pt idx="37">
                  <c:v>0.11201889756925659</c:v>
                </c:pt>
                <c:pt idx="38">
                  <c:v>0.11358855379898984</c:v>
                </c:pt>
                <c:pt idx="39">
                  <c:v>0.11248482875773348</c:v>
                </c:pt>
                <c:pt idx="40">
                  <c:v>0.11358633647005378</c:v>
                </c:pt>
                <c:pt idx="41">
                  <c:v>0.11419287288180388</c:v>
                </c:pt>
                <c:pt idx="42">
                  <c:v>0.11398239624071162</c:v>
                </c:pt>
                <c:pt idx="43">
                  <c:v>0.1120440805847355</c:v>
                </c:pt>
                <c:pt idx="44">
                  <c:v>0.11333077486928685</c:v>
                </c:pt>
                <c:pt idx="45">
                  <c:v>0.11505744649932406</c:v>
                </c:pt>
                <c:pt idx="46">
                  <c:v>0.11584943461976704</c:v>
                </c:pt>
                <c:pt idx="47">
                  <c:v>0.11671646733823322</c:v>
                </c:pt>
                <c:pt idx="48">
                  <c:v>0.11925667804092364</c:v>
                </c:pt>
                <c:pt idx="49">
                  <c:v>0.12120247274884542</c:v>
                </c:pt>
                <c:pt idx="50">
                  <c:v>0.11965387088148896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98-43B1-8CE9-C45DA2E7564C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17254144"/>
        <c:axId val="517260800"/>
      </c:scatterChart>
      <c:valAx>
        <c:axId val="517254144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260800"/>
        <c:crosses val="autoZero"/>
        <c:crossBetween val="midCat"/>
        <c:majorUnit val="5"/>
      </c:valAx>
      <c:valAx>
        <c:axId val="51726080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exergy efficiency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17254144"/>
        <c:crosses val="autoZero"/>
        <c:crossBetween val="midCat"/>
        <c:majorUnit val="5.000000000000001E-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eta - GBR road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gasoline-motorcycles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'1_UK stats motorcycles'!$D$24:$BJ$24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'1_UK stats motorcycles'!$D$27:$BJ$27</c:f>
              <c:numCache>
                <c:formatCode>0.00%</c:formatCode>
                <c:ptCount val="59"/>
                <c:pt idx="0">
                  <c:v>0.21066572223769853</c:v>
                </c:pt>
                <c:pt idx="1">
                  <c:v>0.21128941788248043</c:v>
                </c:pt>
                <c:pt idx="2">
                  <c:v>0.21191333920497701</c:v>
                </c:pt>
                <c:pt idx="3">
                  <c:v>0.21253747261499017</c:v>
                </c:pt>
                <c:pt idx="4">
                  <c:v>0.21316180444179583</c:v>
                </c:pt>
                <c:pt idx="5">
                  <c:v>0.21378632093462979</c:v>
                </c:pt>
                <c:pt idx="6">
                  <c:v>0.21441100826318832</c:v>
                </c:pt>
                <c:pt idx="7">
                  <c:v>0.21503585251814206</c:v>
                </c:pt>
                <c:pt idx="8">
                  <c:v>0.21566083971166505</c:v>
                </c:pt>
                <c:pt idx="9">
                  <c:v>0.21628595577797724</c:v>
                </c:pt>
                <c:pt idx="10">
                  <c:v>0.21691118657390213</c:v>
                </c:pt>
                <c:pt idx="11">
                  <c:v>0.21596756907662734</c:v>
                </c:pt>
                <c:pt idx="12">
                  <c:v>0.21960114191949759</c:v>
                </c:pt>
                <c:pt idx="13">
                  <c:v>0.21710729192942196</c:v>
                </c:pt>
                <c:pt idx="14">
                  <c:v>0.21802259747709357</c:v>
                </c:pt>
                <c:pt idx="15">
                  <c:v>0.22575712376045887</c:v>
                </c:pt>
                <c:pt idx="16">
                  <c:v>0.22231057885006306</c:v>
                </c:pt>
                <c:pt idx="17">
                  <c:v>0.22406821742831134</c:v>
                </c:pt>
                <c:pt idx="18">
                  <c:v>0.2197330876707114</c:v>
                </c:pt>
                <c:pt idx="19">
                  <c:v>0.21820314092517162</c:v>
                </c:pt>
                <c:pt idx="20">
                  <c:v>0.22316663901345188</c:v>
                </c:pt>
                <c:pt idx="21">
                  <c:v>0.2275508830648256</c:v>
                </c:pt>
                <c:pt idx="22">
                  <c:v>0.22726892887894581</c:v>
                </c:pt>
                <c:pt idx="23">
                  <c:v>0.22832985101676964</c:v>
                </c:pt>
                <c:pt idx="24">
                  <c:v>0.22786768571411378</c:v>
                </c:pt>
                <c:pt idx="25">
                  <c:v>0.23162091473038177</c:v>
                </c:pt>
                <c:pt idx="26">
                  <c:v>0.23135000121143645</c:v>
                </c:pt>
                <c:pt idx="27">
                  <c:v>0.23633891058248224</c:v>
                </c:pt>
                <c:pt idx="28">
                  <c:v>0.23603936990344127</c:v>
                </c:pt>
                <c:pt idx="29">
                  <c:v>0.245605963296887</c:v>
                </c:pt>
                <c:pt idx="30">
                  <c:v>0.24093219316582887</c:v>
                </c:pt>
                <c:pt idx="31">
                  <c:v>0.24146440729299207</c:v>
                </c:pt>
                <c:pt idx="32">
                  <c:v>0.23701176763607865</c:v>
                </c:pt>
                <c:pt idx="33">
                  <c:v>0.23311740610277465</c:v>
                </c:pt>
                <c:pt idx="34">
                  <c:v>0.23626310225738945</c:v>
                </c:pt>
                <c:pt idx="35">
                  <c:v>0.23911836427076558</c:v>
                </c:pt>
                <c:pt idx="36">
                  <c:v>0.23422367215607071</c:v>
                </c:pt>
                <c:pt idx="37">
                  <c:v>0.23599048133993086</c:v>
                </c:pt>
                <c:pt idx="38">
                  <c:v>0.23745359000524002</c:v>
                </c:pt>
                <c:pt idx="39">
                  <c:v>0.2338464307991083</c:v>
                </c:pt>
                <c:pt idx="40">
                  <c:v>0.23402694513528133</c:v>
                </c:pt>
                <c:pt idx="41">
                  <c:v>0.23987858941171114</c:v>
                </c:pt>
                <c:pt idx="42">
                  <c:v>0.23861959172703753</c:v>
                </c:pt>
                <c:pt idx="43">
                  <c:v>0.23951914255892942</c:v>
                </c:pt>
                <c:pt idx="44">
                  <c:v>0.24315647313669533</c:v>
                </c:pt>
                <c:pt idx="45">
                  <c:v>0.24133202405425394</c:v>
                </c:pt>
                <c:pt idx="46">
                  <c:v>0.24646619798990485</c:v>
                </c:pt>
                <c:pt idx="47">
                  <c:v>0.24600371280985353</c:v>
                </c:pt>
                <c:pt idx="48">
                  <c:v>0.24548031354253269</c:v>
                </c:pt>
                <c:pt idx="49">
                  <c:v>0.25295799313390932</c:v>
                </c:pt>
                <c:pt idx="50">
                  <c:v>0.25627107865876014</c:v>
                </c:pt>
                <c:pt idx="51">
                  <c:v>0.25724376377177294</c:v>
                </c:pt>
                <c:pt idx="52">
                  <c:v>0.26109197247310278</c:v>
                </c:pt>
                <c:pt idx="53">
                  <c:v>0.26332415624853028</c:v>
                </c:pt>
                <c:pt idx="54">
                  <c:v>0.26423287809489254</c:v>
                </c:pt>
                <c:pt idx="55">
                  <c:v>0.26304664368496994</c:v>
                </c:pt>
                <c:pt idx="56">
                  <c:v>0.26604482537281854</c:v>
                </c:pt>
                <c:pt idx="57">
                  <c:v>0.26548008502582765</c:v>
                </c:pt>
                <c:pt idx="58">
                  <c:v>0.26827358211888752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7-454B-846D-B70C319F1A73}"/>
            </c:ext>
          </c:extLst>
        </c:ser>
        <c:ser>
          <c:idx val="1"/>
          <c:order val="1"/>
          <c:tx>
            <c:v>gasoline-cars/vans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'1_UK stats motorcycles'!$D$24:$BJ$24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'1_UK stats motorcycles'!$D$28:$BJ$28</c:f>
              <c:numCache>
                <c:formatCode>0.00%</c:formatCode>
                <c:ptCount val="59"/>
                <c:pt idx="0">
                  <c:v>0.10769496290530746</c:v>
                </c:pt>
                <c:pt idx="1">
                  <c:v>0.10789569974769969</c:v>
                </c:pt>
                <c:pt idx="2">
                  <c:v>0.10810362137103935</c:v>
                </c:pt>
                <c:pt idx="3">
                  <c:v>0.10831092416356271</c:v>
                </c:pt>
                <c:pt idx="4">
                  <c:v>0.10850052739822642</c:v>
                </c:pt>
                <c:pt idx="5">
                  <c:v>0.10869645589588525</c:v>
                </c:pt>
                <c:pt idx="6">
                  <c:v>0.10888761588143157</c:v>
                </c:pt>
                <c:pt idx="7">
                  <c:v>0.1090771323066855</c:v>
                </c:pt>
                <c:pt idx="8">
                  <c:v>0.10926004912754105</c:v>
                </c:pt>
                <c:pt idx="9">
                  <c:v>0.10944027285110186</c:v>
                </c:pt>
                <c:pt idx="10">
                  <c:v>0.10961444345469096</c:v>
                </c:pt>
                <c:pt idx="11">
                  <c:v>0.11041202433050117</c:v>
                </c:pt>
                <c:pt idx="12">
                  <c:v>0.10970227988141405</c:v>
                </c:pt>
                <c:pt idx="13">
                  <c:v>0.10853950249434183</c:v>
                </c:pt>
                <c:pt idx="14">
                  <c:v>0.10934201537199612</c:v>
                </c:pt>
                <c:pt idx="15">
                  <c:v>0.11218624884701478</c:v>
                </c:pt>
                <c:pt idx="16">
                  <c:v>0.11246835069054339</c:v>
                </c:pt>
                <c:pt idx="17">
                  <c:v>0.1115216782393237</c:v>
                </c:pt>
                <c:pt idx="18">
                  <c:v>0.10999807452313271</c:v>
                </c:pt>
                <c:pt idx="19">
                  <c:v>0.10794510275806733</c:v>
                </c:pt>
                <c:pt idx="20">
                  <c:v>0.11148286152446531</c:v>
                </c:pt>
                <c:pt idx="21">
                  <c:v>0.11552489514200971</c:v>
                </c:pt>
                <c:pt idx="22">
                  <c:v>0.11565812716692946</c:v>
                </c:pt>
                <c:pt idx="23">
                  <c:v>0.11527611012296753</c:v>
                </c:pt>
                <c:pt idx="24">
                  <c:v>0.11690807560871951</c:v>
                </c:pt>
                <c:pt idx="25">
                  <c:v>0.11834181663669302</c:v>
                </c:pt>
                <c:pt idx="26">
                  <c:v>0.11811683206520587</c:v>
                </c:pt>
                <c:pt idx="27">
                  <c:v>0.12136967006967819</c:v>
                </c:pt>
                <c:pt idx="28">
                  <c:v>0.12304241013893071</c:v>
                </c:pt>
                <c:pt idx="29">
                  <c:v>0.12652406238669353</c:v>
                </c:pt>
                <c:pt idx="30">
                  <c:v>0.12358414081211422</c:v>
                </c:pt>
                <c:pt idx="31">
                  <c:v>0.1236674891595162</c:v>
                </c:pt>
                <c:pt idx="32">
                  <c:v>0.12218185574877749</c:v>
                </c:pt>
                <c:pt idx="33">
                  <c:v>0.12089685317682072</c:v>
                </c:pt>
                <c:pt idx="34">
                  <c:v>0.12322597434067804</c:v>
                </c:pt>
                <c:pt idx="35">
                  <c:v>0.12603458485411642</c:v>
                </c:pt>
                <c:pt idx="36">
                  <c:v>0.12435891909597477</c:v>
                </c:pt>
                <c:pt idx="37">
                  <c:v>0.12495373883034888</c:v>
                </c:pt>
                <c:pt idx="38">
                  <c:v>0.12717596291699007</c:v>
                </c:pt>
                <c:pt idx="39">
                  <c:v>0.12727239947989888</c:v>
                </c:pt>
                <c:pt idx="40">
                  <c:v>0.12732423591037914</c:v>
                </c:pt>
                <c:pt idx="41">
                  <c:v>0.12875110742475271</c:v>
                </c:pt>
                <c:pt idx="42">
                  <c:v>0.12903729760057492</c:v>
                </c:pt>
                <c:pt idx="43">
                  <c:v>0.13026676874330645</c:v>
                </c:pt>
                <c:pt idx="44">
                  <c:v>0.13062120493302992</c:v>
                </c:pt>
                <c:pt idx="45">
                  <c:v>0.12995131627698689</c:v>
                </c:pt>
                <c:pt idx="46">
                  <c:v>0.13144386786249959</c:v>
                </c:pt>
                <c:pt idx="47">
                  <c:v>0.13107696213238482</c:v>
                </c:pt>
                <c:pt idx="48">
                  <c:v>0.13305996142723395</c:v>
                </c:pt>
                <c:pt idx="49">
                  <c:v>0.13582502453787784</c:v>
                </c:pt>
                <c:pt idx="50">
                  <c:v>0.13769553339106447</c:v>
                </c:pt>
                <c:pt idx="51">
                  <c:v>0.13977199824845485</c:v>
                </c:pt>
                <c:pt idx="52">
                  <c:v>0.14063618107686493</c:v>
                </c:pt>
                <c:pt idx="53">
                  <c:v>0.14293162649929322</c:v>
                </c:pt>
                <c:pt idx="54">
                  <c:v>0.14555683461421171</c:v>
                </c:pt>
                <c:pt idx="55">
                  <c:v>0.14669477031299358</c:v>
                </c:pt>
                <c:pt idx="56">
                  <c:v>0.14764864897165914</c:v>
                </c:pt>
                <c:pt idx="57">
                  <c:v>0.1499745753417516</c:v>
                </c:pt>
                <c:pt idx="58">
                  <c:v>0.15337770756692493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7-454B-846D-B70C319F1A73}"/>
            </c:ext>
          </c:extLst>
        </c:ser>
        <c:ser>
          <c:idx val="2"/>
          <c:order val="2"/>
          <c:tx>
            <c:v>diesel-cars/vans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'1_UK stats motorcycles'!$D$24:$BJ$24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'1_UK stats motorcycles'!$D$29:$BJ$29</c:f>
              <c:numCache>
                <c:formatCode>0.00%</c:formatCode>
                <c:ptCount val="59"/>
                <c:pt idx="0">
                  <c:v>0.1391538743530577</c:v>
                </c:pt>
                <c:pt idx="1">
                  <c:v>0.13973162675931003</c:v>
                </c:pt>
                <c:pt idx="2">
                  <c:v>0.14030842335426183</c:v>
                </c:pt>
                <c:pt idx="3">
                  <c:v>0.14088449304599199</c:v>
                </c:pt>
                <c:pt idx="4">
                  <c:v>0.14146004442495241</c:v>
                </c:pt>
                <c:pt idx="5">
                  <c:v>0.14203526801326</c:v>
                </c:pt>
                <c:pt idx="6">
                  <c:v>0.14261033822060551</c:v>
                </c:pt>
                <c:pt idx="7">
                  <c:v>0.14318541505044741</c:v>
                </c:pt>
                <c:pt idx="8">
                  <c:v>0.14376064559288715</c:v>
                </c:pt>
                <c:pt idx="9">
                  <c:v>0.1443361653346811</c:v>
                </c:pt>
                <c:pt idx="10">
                  <c:v>0.1448936286610889</c:v>
                </c:pt>
                <c:pt idx="11">
                  <c:v>0.1462470147967887</c:v>
                </c:pt>
                <c:pt idx="12">
                  <c:v>0.1459453839457294</c:v>
                </c:pt>
                <c:pt idx="13">
                  <c:v>0.14463621490638207</c:v>
                </c:pt>
                <c:pt idx="14">
                  <c:v>0.14511806198391328</c:v>
                </c:pt>
                <c:pt idx="15">
                  <c:v>0.14910785693818476</c:v>
                </c:pt>
                <c:pt idx="16">
                  <c:v>0.15001099856675248</c:v>
                </c:pt>
                <c:pt idx="17">
                  <c:v>0.14852231699995883</c:v>
                </c:pt>
                <c:pt idx="18">
                  <c:v>0.14749882712517989</c:v>
                </c:pt>
                <c:pt idx="19">
                  <c:v>0.14503322762323392</c:v>
                </c:pt>
                <c:pt idx="20">
                  <c:v>0.15015517699648767</c:v>
                </c:pt>
                <c:pt idx="21">
                  <c:v>0.1550678810347331</c:v>
                </c:pt>
                <c:pt idx="22">
                  <c:v>0.15475754086078986</c:v>
                </c:pt>
                <c:pt idx="23">
                  <c:v>0.15390197653132728</c:v>
                </c:pt>
                <c:pt idx="24">
                  <c:v>0.15491382497868758</c:v>
                </c:pt>
                <c:pt idx="25">
                  <c:v>0.15680388262822947</c:v>
                </c:pt>
                <c:pt idx="26">
                  <c:v>0.15487384824200662</c:v>
                </c:pt>
                <c:pt idx="27">
                  <c:v>0.16183084407033771</c:v>
                </c:pt>
                <c:pt idx="28">
                  <c:v>0.16259884772578345</c:v>
                </c:pt>
                <c:pt idx="29">
                  <c:v>0.15589092703470675</c:v>
                </c:pt>
                <c:pt idx="30">
                  <c:v>0.16024514087113173</c:v>
                </c:pt>
                <c:pt idx="31">
                  <c:v>0.16017939514888296</c:v>
                </c:pt>
                <c:pt idx="32">
                  <c:v>0.15865472921990489</c:v>
                </c:pt>
                <c:pt idx="33">
                  <c:v>0.15841859628127289</c:v>
                </c:pt>
                <c:pt idx="34">
                  <c:v>0.1611450425314504</c:v>
                </c:pt>
                <c:pt idx="35">
                  <c:v>0.16502855163524408</c:v>
                </c:pt>
                <c:pt idx="36">
                  <c:v>0.16287982764153358</c:v>
                </c:pt>
                <c:pt idx="37">
                  <c:v>0.16312203417740115</c:v>
                </c:pt>
                <c:pt idx="38">
                  <c:v>0.16554159960153814</c:v>
                </c:pt>
                <c:pt idx="39">
                  <c:v>0.16616186525706289</c:v>
                </c:pt>
                <c:pt idx="40">
                  <c:v>0.16612350206811932</c:v>
                </c:pt>
                <c:pt idx="41">
                  <c:v>0.16825934341168441</c:v>
                </c:pt>
                <c:pt idx="42">
                  <c:v>0.16923035226469252</c:v>
                </c:pt>
                <c:pt idx="43">
                  <c:v>0.17098052106040262</c:v>
                </c:pt>
                <c:pt idx="44">
                  <c:v>0.17211155763833247</c:v>
                </c:pt>
                <c:pt idx="45">
                  <c:v>0.1715735628379968</c:v>
                </c:pt>
                <c:pt idx="46">
                  <c:v>0.17383899321376822</c:v>
                </c:pt>
                <c:pt idx="47">
                  <c:v>0.17395417595710999</c:v>
                </c:pt>
                <c:pt idx="48">
                  <c:v>0.17812566514196362</c:v>
                </c:pt>
                <c:pt idx="49">
                  <c:v>0.18034858180955229</c:v>
                </c:pt>
                <c:pt idx="50">
                  <c:v>0.1815564989755302</c:v>
                </c:pt>
                <c:pt idx="51">
                  <c:v>0.18382754562673775</c:v>
                </c:pt>
                <c:pt idx="52">
                  <c:v>0.18437780464306969</c:v>
                </c:pt>
                <c:pt idx="53">
                  <c:v>0.1871254788362802</c:v>
                </c:pt>
                <c:pt idx="54">
                  <c:v>0.1898282340017716</c:v>
                </c:pt>
                <c:pt idx="55">
                  <c:v>0.19037757905422648</c:v>
                </c:pt>
                <c:pt idx="56">
                  <c:v>0.190458291754178</c:v>
                </c:pt>
                <c:pt idx="57">
                  <c:v>0.19318380213649683</c:v>
                </c:pt>
                <c:pt idx="58">
                  <c:v>0.19699143218185244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7-454B-846D-B70C319F1A73}"/>
            </c:ext>
          </c:extLst>
        </c:ser>
        <c:ser>
          <c:idx val="3"/>
          <c:order val="3"/>
          <c:tx>
            <c:v>diesel-bus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'1_UK stats motorcycles'!$D$24:$BJ$24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'1_UK stats motorcycles'!$D$30:$BJ$30</c:f>
              <c:numCache>
                <c:formatCode>0.00%</c:formatCode>
                <c:ptCount val="59"/>
                <c:pt idx="0">
                  <c:v>0.20625414176561679</c:v>
                </c:pt>
                <c:pt idx="1">
                  <c:v>0.21436333807075292</c:v>
                </c:pt>
                <c:pt idx="2">
                  <c:v>0.22265760476580621</c:v>
                </c:pt>
                <c:pt idx="3">
                  <c:v>0.23112834998814555</c:v>
                </c:pt>
                <c:pt idx="4">
                  <c:v>0.23976557311547667</c:v>
                </c:pt>
                <c:pt idx="5">
                  <c:v>0.24855780614777431</c:v>
                </c:pt>
                <c:pt idx="6">
                  <c:v>0.25749206429415672</c:v>
                </c:pt>
                <c:pt idx="7">
                  <c:v>0.26655380787385718</c:v>
                </c:pt>
                <c:pt idx="8">
                  <c:v>0.27572691778243696</c:v>
                </c:pt>
                <c:pt idx="9">
                  <c:v>0.28499368688821025</c:v>
                </c:pt>
                <c:pt idx="10">
                  <c:v>0.29433482979953851</c:v>
                </c:pt>
                <c:pt idx="11">
                  <c:v>0.2929618639744247</c:v>
                </c:pt>
                <c:pt idx="12">
                  <c:v>0.29399782123437979</c:v>
                </c:pt>
                <c:pt idx="13">
                  <c:v>0.28847343344699417</c:v>
                </c:pt>
                <c:pt idx="14">
                  <c:v>0.28535323694952197</c:v>
                </c:pt>
                <c:pt idx="15">
                  <c:v>0.28472923223878832</c:v>
                </c:pt>
                <c:pt idx="16">
                  <c:v>0.28519871257822771</c:v>
                </c:pt>
                <c:pt idx="17">
                  <c:v>0.27862412842979223</c:v>
                </c:pt>
                <c:pt idx="18">
                  <c:v>0.27891105174861192</c:v>
                </c:pt>
                <c:pt idx="19">
                  <c:v>0.2741058469489156</c:v>
                </c:pt>
                <c:pt idx="20">
                  <c:v>0.28347706586165239</c:v>
                </c:pt>
                <c:pt idx="21">
                  <c:v>0.28796787506449228</c:v>
                </c:pt>
                <c:pt idx="22">
                  <c:v>0.27876133977850903</c:v>
                </c:pt>
                <c:pt idx="23">
                  <c:v>0.26977833979057264</c:v>
                </c:pt>
                <c:pt idx="24">
                  <c:v>0.26088989488500541</c:v>
                </c:pt>
                <c:pt idx="25">
                  <c:v>0.24982665768570456</c:v>
                </c:pt>
                <c:pt idx="26">
                  <c:v>0.23573119177965376</c:v>
                </c:pt>
                <c:pt idx="27">
                  <c:v>0.24315513369166714</c:v>
                </c:pt>
                <c:pt idx="28">
                  <c:v>0.23896796721736419</c:v>
                </c:pt>
                <c:pt idx="29">
                  <c:v>0.25047751090638337</c:v>
                </c:pt>
                <c:pt idx="30">
                  <c:v>0.24848018656349347</c:v>
                </c:pt>
                <c:pt idx="31">
                  <c:v>0.25386590209564397</c:v>
                </c:pt>
                <c:pt idx="32">
                  <c:v>0.24996785870949256</c:v>
                </c:pt>
                <c:pt idx="33">
                  <c:v>0.25096290869438342</c:v>
                </c:pt>
                <c:pt idx="34">
                  <c:v>0.24893042116408015</c:v>
                </c:pt>
                <c:pt idx="35">
                  <c:v>0.25608908340428782</c:v>
                </c:pt>
                <c:pt idx="36">
                  <c:v>0.25645255325714544</c:v>
                </c:pt>
                <c:pt idx="37">
                  <c:v>0.26021189050349336</c:v>
                </c:pt>
                <c:pt idx="38">
                  <c:v>0.26730193279572673</c:v>
                </c:pt>
                <c:pt idx="39">
                  <c:v>0.27354555695030236</c:v>
                </c:pt>
                <c:pt idx="40">
                  <c:v>0.27632465750858737</c:v>
                </c:pt>
                <c:pt idx="41">
                  <c:v>0.27548762510229341</c:v>
                </c:pt>
                <c:pt idx="42">
                  <c:v>0.27308945967800968</c:v>
                </c:pt>
                <c:pt idx="43">
                  <c:v>0.27216593178016302</c:v>
                </c:pt>
                <c:pt idx="44">
                  <c:v>0.27390861541949796</c:v>
                </c:pt>
                <c:pt idx="45">
                  <c:v>0.26985527162359191</c:v>
                </c:pt>
                <c:pt idx="46">
                  <c:v>0.26957372208913732</c:v>
                </c:pt>
                <c:pt idx="47">
                  <c:v>0.26994527516187083</c:v>
                </c:pt>
                <c:pt idx="48">
                  <c:v>0.27901230419627332</c:v>
                </c:pt>
                <c:pt idx="49">
                  <c:v>0.27820437956297184</c:v>
                </c:pt>
                <c:pt idx="50">
                  <c:v>0.27416375809213733</c:v>
                </c:pt>
                <c:pt idx="51">
                  <c:v>0.27440055916354439</c:v>
                </c:pt>
                <c:pt idx="52">
                  <c:v>0.26957463971845869</c:v>
                </c:pt>
                <c:pt idx="53">
                  <c:v>0.27119057530584112</c:v>
                </c:pt>
                <c:pt idx="54">
                  <c:v>0.27087490146620585</c:v>
                </c:pt>
                <c:pt idx="55">
                  <c:v>0.26812865245445505</c:v>
                </c:pt>
                <c:pt idx="56">
                  <c:v>0.2641526910271273</c:v>
                </c:pt>
                <c:pt idx="57">
                  <c:v>0.26421231574353765</c:v>
                </c:pt>
                <c:pt idx="58">
                  <c:v>0.26573713644085517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7-454B-846D-B70C319F1A73}"/>
            </c:ext>
          </c:extLst>
        </c:ser>
        <c:ser>
          <c:idx val="4"/>
          <c:order val="4"/>
          <c:tx>
            <c:v>diesel-truck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'1_UK stats motorcycles'!$D$24:$BJ$24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'1_UK stats motorcycles'!$D$31:$BJ$31</c:f>
              <c:numCache>
                <c:formatCode>0.00%</c:formatCode>
                <c:ptCount val="59"/>
                <c:pt idx="0">
                  <c:v>0.24670520672063156</c:v>
                </c:pt>
                <c:pt idx="1">
                  <c:v>0.25378173125406267</c:v>
                </c:pt>
                <c:pt idx="2">
                  <c:v>0.26094296180156229</c:v>
                </c:pt>
                <c:pt idx="3">
                  <c:v>0.26818118494751719</c:v>
                </c:pt>
                <c:pt idx="4">
                  <c:v>0.27548805110977587</c:v>
                </c:pt>
                <c:pt idx="5">
                  <c:v>0.28285457329759567</c:v>
                </c:pt>
                <c:pt idx="6">
                  <c:v>0.29027113064882692</c:v>
                </c:pt>
                <c:pt idx="7">
                  <c:v>0.29772747724651272</c:v>
                </c:pt>
                <c:pt idx="8">
                  <c:v>0.30521275671000259</c:v>
                </c:pt>
                <c:pt idx="9">
                  <c:v>0.312715523041323</c:v>
                </c:pt>
                <c:pt idx="10">
                  <c:v>0.32022376818259313</c:v>
                </c:pt>
                <c:pt idx="11">
                  <c:v>0.31981301365543657</c:v>
                </c:pt>
                <c:pt idx="12">
                  <c:v>0.32147290925084809</c:v>
                </c:pt>
                <c:pt idx="13">
                  <c:v>0.31580467496711884</c:v>
                </c:pt>
                <c:pt idx="14">
                  <c:v>0.32246609877975785</c:v>
                </c:pt>
                <c:pt idx="15">
                  <c:v>0.31825323799574329</c:v>
                </c:pt>
                <c:pt idx="16">
                  <c:v>0.32435217508562098</c:v>
                </c:pt>
                <c:pt idx="17">
                  <c:v>0.31547016797764443</c:v>
                </c:pt>
                <c:pt idx="18">
                  <c:v>0.32218552526271005</c:v>
                </c:pt>
                <c:pt idx="19">
                  <c:v>0.31811523623691706</c:v>
                </c:pt>
                <c:pt idx="20">
                  <c:v>0.3213288102250953</c:v>
                </c:pt>
                <c:pt idx="21">
                  <c:v>0.32685351423616715</c:v>
                </c:pt>
                <c:pt idx="22">
                  <c:v>0.31753780619697469</c:v>
                </c:pt>
                <c:pt idx="23">
                  <c:v>0.30707942521262999</c:v>
                </c:pt>
                <c:pt idx="24">
                  <c:v>0.29969215289178242</c:v>
                </c:pt>
                <c:pt idx="25">
                  <c:v>0.29373834967208468</c:v>
                </c:pt>
                <c:pt idx="26">
                  <c:v>0.27880728171479885</c:v>
                </c:pt>
                <c:pt idx="27">
                  <c:v>0.28214563606909909</c:v>
                </c:pt>
                <c:pt idx="28">
                  <c:v>0.28277877793300465</c:v>
                </c:pt>
                <c:pt idx="29">
                  <c:v>0.27273626654277394</c:v>
                </c:pt>
                <c:pt idx="30">
                  <c:v>0.27592387113514028</c:v>
                </c:pt>
                <c:pt idx="31">
                  <c:v>0.2774965062536805</c:v>
                </c:pt>
                <c:pt idx="32">
                  <c:v>0.27367195023486957</c:v>
                </c:pt>
                <c:pt idx="33">
                  <c:v>0.27400462083169652</c:v>
                </c:pt>
                <c:pt idx="34">
                  <c:v>0.2716441430239529</c:v>
                </c:pt>
                <c:pt idx="35">
                  <c:v>0.27516617025700901</c:v>
                </c:pt>
                <c:pt idx="36">
                  <c:v>0.27881728414217677</c:v>
                </c:pt>
                <c:pt idx="37">
                  <c:v>0.28446429813055563</c:v>
                </c:pt>
                <c:pt idx="38">
                  <c:v>0.29486015000054244</c:v>
                </c:pt>
                <c:pt idx="39">
                  <c:v>0.3006503008099547</c:v>
                </c:pt>
                <c:pt idx="40">
                  <c:v>0.30663847100017971</c:v>
                </c:pt>
                <c:pt idx="41">
                  <c:v>0.31110730916121437</c:v>
                </c:pt>
                <c:pt idx="42">
                  <c:v>0.31168966639384199</c:v>
                </c:pt>
                <c:pt idx="43">
                  <c:v>0.3125541869499876</c:v>
                </c:pt>
                <c:pt idx="44">
                  <c:v>0.31517484864195566</c:v>
                </c:pt>
                <c:pt idx="45">
                  <c:v>0.31574386058042436</c:v>
                </c:pt>
                <c:pt idx="46">
                  <c:v>0.31889139100080677</c:v>
                </c:pt>
                <c:pt idx="47">
                  <c:v>0.32121776403190205</c:v>
                </c:pt>
                <c:pt idx="48">
                  <c:v>0.32649563966007622</c:v>
                </c:pt>
                <c:pt idx="49">
                  <c:v>0.32709658782956652</c:v>
                </c:pt>
                <c:pt idx="50">
                  <c:v>0.32880126944523108</c:v>
                </c:pt>
                <c:pt idx="51">
                  <c:v>0.33227890152997136</c:v>
                </c:pt>
                <c:pt idx="52">
                  <c:v>0.32784856340877605</c:v>
                </c:pt>
                <c:pt idx="53">
                  <c:v>0.33188077472100103</c:v>
                </c:pt>
                <c:pt idx="54">
                  <c:v>0.33278450495917666</c:v>
                </c:pt>
                <c:pt idx="55">
                  <c:v>0.3325954996837448</c:v>
                </c:pt>
                <c:pt idx="56">
                  <c:v>0.32860930519567033</c:v>
                </c:pt>
                <c:pt idx="57">
                  <c:v>0.33742988730632784</c:v>
                </c:pt>
                <c:pt idx="58">
                  <c:v>0.34098705785836592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7-454B-846D-B70C319F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51552"/>
        <c:axId val="428453848"/>
      </c:lineChart>
      <c:catAx>
        <c:axId val="4284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53848"/>
        <c:crosses val="autoZero"/>
        <c:auto val="1"/>
        <c:lblAlgn val="ctr"/>
        <c:lblOffset val="100"/>
        <c:noMultiLvlLbl val="0"/>
      </c:catAx>
      <c:valAx>
        <c:axId val="42845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2-3 wheelers </a:t>
            </a:r>
            <a:r>
              <a:rPr lang="en-GB" baseline="0"/>
              <a:t>fuel economy (mpUKg) vs f-u exergy efficiency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67807455897505E-2"/>
          <c:y val="0.12991243432574431"/>
          <c:w val="0.55698053621013555"/>
          <c:h val="0.78883268750775681"/>
        </c:manualLayout>
      </c:layout>
      <c:lineChart>
        <c:grouping val="standard"/>
        <c:varyColors val="0"/>
        <c:ser>
          <c:idx val="0"/>
          <c:order val="0"/>
          <c:tx>
            <c:strRef>
              <c:f>'1_Motorcycles calcs'!$C$31</c:f>
              <c:strCache>
                <c:ptCount val="1"/>
                <c:pt idx="0">
                  <c:v>petrol exergy efficiency, y = 30(1-e^-0.01x)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'1_Motorcycles calcs'!$E$30:$BB$30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cat>
          <c:val>
            <c:numRef>
              <c:f>'1_Motorcycles calcs'!$E$31:$BC$31</c:f>
              <c:numCache>
                <c:formatCode>0.0%</c:formatCode>
                <c:ptCount val="51"/>
                <c:pt idx="0" formatCode="General">
                  <c:v>0</c:v>
                </c:pt>
                <c:pt idx="1">
                  <c:v>2.8548774589212143E-2</c:v>
                </c:pt>
                <c:pt idx="2">
                  <c:v>5.4380774076605451E-2</c:v>
                </c:pt>
                <c:pt idx="3">
                  <c:v>7.7754533795484637E-2</c:v>
                </c:pt>
                <c:pt idx="4">
                  <c:v>9.8903986189308207E-2</c:v>
                </c:pt>
                <c:pt idx="5">
                  <c:v>0.11804080208620997</c:v>
                </c:pt>
                <c:pt idx="6">
                  <c:v>0.13535650917179207</c:v>
                </c:pt>
                <c:pt idx="7">
                  <c:v>0.15102440886257718</c:v>
                </c:pt>
                <c:pt idx="8">
                  <c:v>0.16520131076483352</c:v>
                </c:pt>
                <c:pt idx="9">
                  <c:v>0.17802910207782027</c:v>
                </c:pt>
                <c:pt idx="10">
                  <c:v>0.18963616764856731</c:v>
                </c:pt>
                <c:pt idx="11">
                  <c:v>0.20013867489057616</c:v>
                </c:pt>
                <c:pt idx="12">
                  <c:v>0.20964173642633935</c:v>
                </c:pt>
                <c:pt idx="13">
                  <c:v>0.21824046208979625</c:v>
                </c:pt>
                <c:pt idx="14">
                  <c:v>0.22602091081751804</c:v>
                </c:pt>
                <c:pt idx="15">
                  <c:v>0.23306095195547105</c:v>
                </c:pt>
                <c:pt idx="16">
                  <c:v>0.23943104460160339</c:v>
                </c:pt>
                <c:pt idx="17">
                  <c:v>0.24519494278417958</c:v>
                </c:pt>
                <c:pt idx="18">
                  <c:v>0.25041033353352404</c:v>
                </c:pt>
                <c:pt idx="19">
                  <c:v>0.25512941423320945</c:v>
                </c:pt>
                <c:pt idx="20">
                  <c:v>0.2593994150290162</c:v>
                </c:pt>
                <c:pt idx="21">
                  <c:v>0.26326307152410544</c:v>
                </c:pt>
                <c:pt idx="22">
                  <c:v>0.26675905249129983</c:v>
                </c:pt>
                <c:pt idx="23">
                  <c:v>0.26992234688315891</c:v>
                </c:pt>
                <c:pt idx="24">
                  <c:v>0.27278461401317627</c:v>
                </c:pt>
                <c:pt idx="25">
                  <c:v>0.27537450041283035</c:v>
                </c:pt>
                <c:pt idx="26">
                  <c:v>0.27771792653569982</c:v>
                </c:pt>
                <c:pt idx="27">
                  <c:v>0.27983834617807513</c:v>
                </c:pt>
                <c:pt idx="28">
                  <c:v>0.28175698121243464</c:v>
                </c:pt>
                <c:pt idx="29">
                  <c:v>0.28349303398307785</c:v>
                </c:pt>
                <c:pt idx="30">
                  <c:v>0.28506387948964085</c:v>
                </c:pt>
                <c:pt idx="31">
                  <c:v>0.28648523928193265</c:v>
                </c:pt>
                <c:pt idx="32">
                  <c:v>0.28777133880649014</c:v>
                </c:pt>
                <c:pt idx="33">
                  <c:v>0.28893504977962797</c:v>
                </c:pt>
                <c:pt idx="34">
                  <c:v>0.28998801901190219</c:v>
                </c:pt>
                <c:pt idx="35">
                  <c:v>0.29094078497330444</c:v>
                </c:pt>
                <c:pt idx="36">
                  <c:v>0.29180288326581222</c:v>
                </c:pt>
                <c:pt idx="37">
                  <c:v>0.29258294205889818</c:v>
                </c:pt>
                <c:pt idx="38">
                  <c:v>0.29328876844315033</c:v>
                </c:pt>
                <c:pt idx="39">
                  <c:v>0.2939274265662587</c:v>
                </c:pt>
                <c:pt idx="40">
                  <c:v>0.29450530833337973</c:v>
                </c:pt>
                <c:pt idx="41">
                  <c:v>0.29502819737947161</c:v>
                </c:pt>
                <c:pt idx="42">
                  <c:v>0.29550132695385672</c:v>
                </c:pt>
                <c:pt idx="43">
                  <c:v>0.29592943229633972</c:v>
                </c:pt>
                <c:pt idx="44">
                  <c:v>0.29631679802907945</c:v>
                </c:pt>
                <c:pt idx="45">
                  <c:v>0.29666730103852734</c:v>
                </c:pt>
                <c:pt idx="46">
                  <c:v>0.29698444927660994</c:v>
                </c:pt>
                <c:pt idx="47">
                  <c:v>0.29727141686949127</c:v>
                </c:pt>
                <c:pt idx="48">
                  <c:v>0.29753107588529398</c:v>
                </c:pt>
                <c:pt idx="49">
                  <c:v>0.29776602507872268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6-472A-9D66-71FBE4183B8D}"/>
            </c:ext>
          </c:extLst>
        </c:ser>
        <c:ser>
          <c:idx val="1"/>
          <c:order val="1"/>
          <c:tx>
            <c:strRef>
              <c:f>'1_Motorcycles calcs'!$C$32</c:f>
              <c:strCache>
                <c:ptCount val="1"/>
                <c:pt idx="0">
                  <c:v>petrol exergy efficiency, y = 30(1-e^-0.02x)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'1_Motorcycles calcs'!$E$30:$BB$30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cat>
          <c:val>
            <c:numRef>
              <c:f>'1_Motorcycles calcs'!$E$32:$BB$32</c:f>
              <c:numCache>
                <c:formatCode>0.0%</c:formatCode>
                <c:ptCount val="50"/>
                <c:pt idx="0" formatCode="General">
                  <c:v>0</c:v>
                </c:pt>
                <c:pt idx="1">
                  <c:v>5.4380774076605451E-2</c:v>
                </c:pt>
                <c:pt idx="2">
                  <c:v>9.8903986189308207E-2</c:v>
                </c:pt>
                <c:pt idx="3">
                  <c:v>0.13535650917179207</c:v>
                </c:pt>
                <c:pt idx="4">
                  <c:v>0.16520131076483352</c:v>
                </c:pt>
                <c:pt idx="5">
                  <c:v>0.18963616764856731</c:v>
                </c:pt>
                <c:pt idx="6">
                  <c:v>0.20964173642633935</c:v>
                </c:pt>
                <c:pt idx="7">
                  <c:v>0.22602091081751804</c:v>
                </c:pt>
                <c:pt idx="8">
                  <c:v>0.23943104460160339</c:v>
                </c:pt>
                <c:pt idx="9">
                  <c:v>0.25041033353352404</c:v>
                </c:pt>
                <c:pt idx="10">
                  <c:v>0.2593994150290162</c:v>
                </c:pt>
                <c:pt idx="11">
                  <c:v>0.26675905249129983</c:v>
                </c:pt>
                <c:pt idx="12">
                  <c:v>0.27278461401317627</c:v>
                </c:pt>
                <c:pt idx="13">
                  <c:v>0.27771792653569982</c:v>
                </c:pt>
                <c:pt idx="14">
                  <c:v>0.28175698121243464</c:v>
                </c:pt>
                <c:pt idx="15">
                  <c:v>0.28506387948964085</c:v>
                </c:pt>
                <c:pt idx="16">
                  <c:v>0.28777133880649014</c:v>
                </c:pt>
                <c:pt idx="17">
                  <c:v>0.28998801901190219</c:v>
                </c:pt>
                <c:pt idx="18">
                  <c:v>0.29180288326581222</c:v>
                </c:pt>
                <c:pt idx="19">
                  <c:v>0.29328876844315033</c:v>
                </c:pt>
                <c:pt idx="20">
                  <c:v>0.29450530833337973</c:v>
                </c:pt>
                <c:pt idx="21">
                  <c:v>0.29550132695385672</c:v>
                </c:pt>
                <c:pt idx="22">
                  <c:v>0.29631679802907945</c:v>
                </c:pt>
                <c:pt idx="23">
                  <c:v>0.29698444927660994</c:v>
                </c:pt>
                <c:pt idx="24">
                  <c:v>0.29753107588529398</c:v>
                </c:pt>
                <c:pt idx="25">
                  <c:v>0.29797861590027436</c:v>
                </c:pt>
                <c:pt idx="26">
                  <c:v>0.29834503067377177</c:v>
                </c:pt>
                <c:pt idx="27">
                  <c:v>0.29864502571721618</c:v>
                </c:pt>
                <c:pt idx="28">
                  <c:v>0.29889064088505513</c:v>
                </c:pt>
                <c:pt idx="29">
                  <c:v>0.29909173357638724</c:v>
                </c:pt>
                <c:pt idx="30">
                  <c:v>0.29925637434700009</c:v>
                </c:pt>
                <c:pt idx="31">
                  <c:v>0.29939117080911126</c:v>
                </c:pt>
                <c:pt idx="32">
                  <c:v>0.29950153281804781</c:v>
                </c:pt>
                <c:pt idx="33">
                  <c:v>0.29959188958873562</c:v>
                </c:pt>
                <c:pt idx="34">
                  <c:v>0.29966586745564655</c:v>
                </c:pt>
                <c:pt idx="35">
                  <c:v>0.29972643541033367</c:v>
                </c:pt>
                <c:pt idx="36">
                  <c:v>0.29977602425748701</c:v>
                </c:pt>
                <c:pt idx="37">
                  <c:v>0.29981662417166111</c:v>
                </c:pt>
                <c:pt idx="38">
                  <c:v>0.29984986456996782</c:v>
                </c:pt>
                <c:pt idx="39">
                  <c:v>0.2998770795063061</c:v>
                </c:pt>
                <c:pt idx="40">
                  <c:v>0.29989936121162925</c:v>
                </c:pt>
                <c:pt idx="41">
                  <c:v>0.29991760392900835</c:v>
                </c:pt>
                <c:pt idx="42">
                  <c:v>0.29993253980274637</c:v>
                </c:pt>
                <c:pt idx="43">
                  <c:v>0.29994476826189975</c:v>
                </c:pt>
                <c:pt idx="44">
                  <c:v>0.29995478007747134</c:v>
                </c:pt>
                <c:pt idx="45">
                  <c:v>0.29996297705877401</c:v>
                </c:pt>
                <c:pt idx="46">
                  <c:v>0.29996968817944886</c:v>
                </c:pt>
                <c:pt idx="47">
                  <c:v>0.29997518278033303</c:v>
                </c:pt>
                <c:pt idx="48">
                  <c:v>0.29997968137905273</c:v>
                </c:pt>
                <c:pt idx="49">
                  <c:v>0.29998336452017038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6-472A-9D66-71FBE4183B8D}"/>
            </c:ext>
          </c:extLst>
        </c:ser>
        <c:ser>
          <c:idx val="6"/>
          <c:order val="2"/>
          <c:tx>
            <c:strRef>
              <c:f>'1_Motorcycles calcs'!$B$33:$D$33</c:f>
              <c:strCache>
                <c:ptCount val="3"/>
                <c:pt idx="1">
                  <c:v>petrol exergy efficiency, y = 30(1-e^-0.025x)</c:v>
                </c:pt>
                <c:pt idx="2">
                  <c:v>y2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'1_Motorcycles calcs'!$E$33:$BB$33</c:f>
              <c:numCache>
                <c:formatCode>0.0%</c:formatCode>
                <c:ptCount val="50"/>
                <c:pt idx="0" formatCode="General">
                  <c:v>0</c:v>
                </c:pt>
                <c:pt idx="1">
                  <c:v>6.6359765078578534E-2</c:v>
                </c:pt>
                <c:pt idx="2">
                  <c:v>0.11804080208620997</c:v>
                </c:pt>
                <c:pt idx="3">
                  <c:v>0.1582900341776956</c:v>
                </c:pt>
                <c:pt idx="4">
                  <c:v>0.18963616764856731</c:v>
                </c:pt>
                <c:pt idx="5">
                  <c:v>0.21404856094194294</c:v>
                </c:pt>
                <c:pt idx="6">
                  <c:v>0.23306095195547105</c:v>
                </c:pt>
                <c:pt idx="7">
                  <c:v>0.24786781696486646</c:v>
                </c:pt>
                <c:pt idx="8">
                  <c:v>0.2593994150290162</c:v>
                </c:pt>
                <c:pt idx="9">
                  <c:v>0.26838023263144067</c:v>
                </c:pt>
                <c:pt idx="10">
                  <c:v>0.27537450041283035</c:v>
                </c:pt>
                <c:pt idx="11">
                  <c:v>0.28082164163798773</c:v>
                </c:pt>
                <c:pt idx="12">
                  <c:v>0.28506387948964085</c:v>
                </c:pt>
                <c:pt idx="13">
                  <c:v>0.2883677376504834</c:v>
                </c:pt>
                <c:pt idx="14">
                  <c:v>0.29094078497330444</c:v>
                </c:pt>
                <c:pt idx="15">
                  <c:v>0.29294467624319731</c:v>
                </c:pt>
                <c:pt idx="16">
                  <c:v>0.29450530833337973</c:v>
                </c:pt>
                <c:pt idx="17">
                  <c:v>0.29572072982730024</c:v>
                </c:pt>
                <c:pt idx="18">
                  <c:v>0.29666730103852734</c:v>
                </c:pt>
                <c:pt idx="19">
                  <c:v>0.29740449143906383</c:v>
                </c:pt>
                <c:pt idx="20">
                  <c:v>0.29797861590027436</c:v>
                </c:pt>
                <c:pt idx="21">
                  <c:v>0.29842574448024561</c:v>
                </c:pt>
                <c:pt idx="22">
                  <c:v>0.29877396856846078</c:v>
                </c:pt>
                <c:pt idx="23">
                  <c:v>0.29904516576104706</c:v>
                </c:pt>
                <c:pt idx="24">
                  <c:v>0.29925637434700009</c:v>
                </c:pt>
                <c:pt idx="25">
                  <c:v>0.29942086375913168</c:v>
                </c:pt>
                <c:pt idx="26">
                  <c:v>0.29954896824210669</c:v>
                </c:pt>
                <c:pt idx="27">
                  <c:v>0.29964873611376264</c:v>
                </c:pt>
                <c:pt idx="28">
                  <c:v>0.29972643541033367</c:v>
                </c:pt>
                <c:pt idx="29">
                  <c:v>0.29978694768334724</c:v>
                </c:pt>
                <c:pt idx="30">
                  <c:v>0.29983407468895568</c:v>
                </c:pt>
                <c:pt idx="31">
                  <c:v>0.29987077723782729</c:v>
                </c:pt>
                <c:pt idx="32">
                  <c:v>0.29989936121162925</c:v>
                </c:pt>
                <c:pt idx="33">
                  <c:v>0.29992162243280951</c:v>
                </c:pt>
                <c:pt idx="34">
                  <c:v>0.29993895948929677</c:v>
                </c:pt>
                <c:pt idx="35">
                  <c:v>0.29995246160246525</c:v>
                </c:pt>
                <c:pt idx="36">
                  <c:v>0.29996297705877401</c:v>
                </c:pt>
                <c:pt idx="37">
                  <c:v>0.2999711665043816</c:v>
                </c:pt>
                <c:pt idx="38">
                  <c:v>0.2999775444510337</c:v>
                </c:pt>
                <c:pt idx="39">
                  <c:v>0.29998251160088074</c:v>
                </c:pt>
                <c:pt idx="40">
                  <c:v>0.29998638002107125</c:v>
                </c:pt>
                <c:pt idx="41">
                  <c:v>0.2999893927497449</c:v>
                </c:pt>
                <c:pt idx="42">
                  <c:v>0.29999173906519511</c:v>
                </c:pt>
                <c:pt idx="43">
                  <c:v>0.29999356637750502</c:v>
                </c:pt>
                <c:pt idx="44">
                  <c:v>0.29999498948976294</c:v>
                </c:pt>
                <c:pt idx="45">
                  <c:v>0.29999609781070374</c:v>
                </c:pt>
                <c:pt idx="46">
                  <c:v>0.29999696097192041</c:v>
                </c:pt>
                <c:pt idx="47">
                  <c:v>0.29999763320255185</c:v>
                </c:pt>
                <c:pt idx="48">
                  <c:v>0.29999815673629399</c:v>
                </c:pt>
                <c:pt idx="49">
                  <c:v>0.29999856446478235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6-472A-9D66-71FBE4183B8D}"/>
            </c:ext>
          </c:extLst>
        </c:ser>
        <c:ser>
          <c:idx val="2"/>
          <c:order val="3"/>
          <c:tx>
            <c:strRef>
              <c:f>'1_Motorcycles calcs'!$C$34</c:f>
              <c:strCache>
                <c:ptCount val="1"/>
                <c:pt idx="0">
                  <c:v>petrol exergy efficiency, y = 30(1-e^-0.03x)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'1_Motorcycles calcs'!$E$30:$BB$30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cat>
          <c:val>
            <c:numRef>
              <c:f>'1_Motorcycles calcs'!$E$34:$BB$34</c:f>
              <c:numCache>
                <c:formatCode>0.0%</c:formatCode>
                <c:ptCount val="50"/>
                <c:pt idx="0" formatCode="General">
                  <c:v>0</c:v>
                </c:pt>
                <c:pt idx="1">
                  <c:v>7.7754533795484637E-2</c:v>
                </c:pt>
                <c:pt idx="2">
                  <c:v>0.13535650917179207</c:v>
                </c:pt>
                <c:pt idx="3">
                  <c:v>0.17802910207782024</c:v>
                </c:pt>
                <c:pt idx="4">
                  <c:v>0.20964173642633935</c:v>
                </c:pt>
                <c:pt idx="5">
                  <c:v>0.23306095195547105</c:v>
                </c:pt>
                <c:pt idx="6">
                  <c:v>0.25041033353352404</c:v>
                </c:pt>
                <c:pt idx="7">
                  <c:v>0.26326307152410544</c:v>
                </c:pt>
                <c:pt idx="8">
                  <c:v>0.27278461401317627</c:v>
                </c:pt>
                <c:pt idx="9">
                  <c:v>0.27983834617807513</c:v>
                </c:pt>
                <c:pt idx="10">
                  <c:v>0.28506387948964085</c:v>
                </c:pt>
                <c:pt idx="11">
                  <c:v>0.28893504977962797</c:v>
                </c:pt>
                <c:pt idx="12">
                  <c:v>0.29180288326581222</c:v>
                </c:pt>
                <c:pt idx="13">
                  <c:v>0.2939274265662587</c:v>
                </c:pt>
                <c:pt idx="14">
                  <c:v>0.29550132695385672</c:v>
                </c:pt>
                <c:pt idx="15">
                  <c:v>0.29666730103852734</c:v>
                </c:pt>
                <c:pt idx="16">
                  <c:v>0.29753107588529398</c:v>
                </c:pt>
                <c:pt idx="17">
                  <c:v>0.29817097603034531</c:v>
                </c:pt>
                <c:pt idx="18">
                  <c:v>0.29864502571721618</c:v>
                </c:pt>
                <c:pt idx="19">
                  <c:v>0.29899621036275864</c:v>
                </c:pt>
                <c:pt idx="20">
                  <c:v>0.29925637434700009</c:v>
                </c:pt>
                <c:pt idx="21">
                  <c:v>0.29944910856689133</c:v>
                </c:pt>
                <c:pt idx="22">
                  <c:v>0.29959188958873562</c:v>
                </c:pt>
                <c:pt idx="23">
                  <c:v>0.29969766437128542</c:v>
                </c:pt>
                <c:pt idx="24">
                  <c:v>0.29977602425748701</c:v>
                </c:pt>
                <c:pt idx="25">
                  <c:v>0.29983407468895568</c:v>
                </c:pt>
                <c:pt idx="26">
                  <c:v>0.2998770795063061</c:v>
                </c:pt>
                <c:pt idx="27">
                  <c:v>0.29990893825857634</c:v>
                </c:pt>
                <c:pt idx="28">
                  <c:v>0.29993253980274637</c:v>
                </c:pt>
                <c:pt idx="29">
                  <c:v>0.2999500242567037</c:v>
                </c:pt>
                <c:pt idx="30">
                  <c:v>0.29996297705877401</c:v>
                </c:pt>
                <c:pt idx="31">
                  <c:v>0.29997257273055655</c:v>
                </c:pt>
                <c:pt idx="32">
                  <c:v>0.29997968137905273</c:v>
                </c:pt>
                <c:pt idx="33">
                  <c:v>0.29998494759538313</c:v>
                </c:pt>
                <c:pt idx="34">
                  <c:v>0.29998884890439476</c:v>
                </c:pt>
                <c:pt idx="35">
                  <c:v>0.29999173906519511</c:v>
                </c:pt>
                <c:pt idx="36">
                  <c:v>0.29999388014897665</c:v>
                </c:pt>
                <c:pt idx="37">
                  <c:v>0.29999546630285401</c:v>
                </c:pt>
                <c:pt idx="38">
                  <c:v>0.29999664135454723</c:v>
                </c:pt>
                <c:pt idx="39">
                  <c:v>0.29999751185425177</c:v>
                </c:pt>
                <c:pt idx="40">
                  <c:v>0.29999815673629399</c:v>
                </c:pt>
                <c:pt idx="41">
                  <c:v>0.29999863447666109</c:v>
                </c:pt>
                <c:pt idx="42">
                  <c:v>0.29999898839542977</c:v>
                </c:pt>
                <c:pt idx="43">
                  <c:v>0.29999925058490229</c:v>
                </c:pt>
                <c:pt idx="44">
                  <c:v>0.29999944481964069</c:v>
                </c:pt>
                <c:pt idx="45">
                  <c:v>0.29999958871227411</c:v>
                </c:pt>
                <c:pt idx="46">
                  <c:v>0.2999996953105587</c:v>
                </c:pt>
                <c:pt idx="47">
                  <c:v>0.29999977428051028</c:v>
                </c:pt>
                <c:pt idx="48">
                  <c:v>0.29999983278288922</c:v>
                </c:pt>
                <c:pt idx="49">
                  <c:v>0.29999987612251755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6-472A-9D66-71FBE4183B8D}"/>
            </c:ext>
          </c:extLst>
        </c:ser>
        <c:ser>
          <c:idx val="3"/>
          <c:order val="4"/>
          <c:tx>
            <c:strRef>
              <c:f>'1_Motorcycles calcs'!$C$35</c:f>
              <c:strCache>
                <c:ptCount val="1"/>
                <c:pt idx="0">
                  <c:v>petrol exergy efficiency, y = 30(1-e^-0.04x)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'1_Motorcycles calcs'!$E$30:$BB$30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cat>
          <c:val>
            <c:numRef>
              <c:f>'1_Motorcycles calcs'!$E$35:$BB$35</c:f>
              <c:numCache>
                <c:formatCode>0.0%</c:formatCode>
                <c:ptCount val="50"/>
                <c:pt idx="0" formatCode="General">
                  <c:v>0</c:v>
                </c:pt>
                <c:pt idx="1">
                  <c:v>9.8903986189308207E-2</c:v>
                </c:pt>
                <c:pt idx="2">
                  <c:v>0.16520131076483352</c:v>
                </c:pt>
                <c:pt idx="3">
                  <c:v>0.20964173642633935</c:v>
                </c:pt>
                <c:pt idx="4">
                  <c:v>0.23943104460160339</c:v>
                </c:pt>
                <c:pt idx="5">
                  <c:v>0.2593994150290162</c:v>
                </c:pt>
                <c:pt idx="6">
                  <c:v>0.27278461401317627</c:v>
                </c:pt>
                <c:pt idx="7">
                  <c:v>0.28175698121243464</c:v>
                </c:pt>
                <c:pt idx="8">
                  <c:v>0.28777133880649014</c:v>
                </c:pt>
                <c:pt idx="9">
                  <c:v>0.29180288326581222</c:v>
                </c:pt>
                <c:pt idx="10">
                  <c:v>0.29450530833337973</c:v>
                </c:pt>
                <c:pt idx="11">
                  <c:v>0.29631679802907945</c:v>
                </c:pt>
                <c:pt idx="12">
                  <c:v>0.29753107588529398</c:v>
                </c:pt>
                <c:pt idx="13">
                  <c:v>0.29834503067377177</c:v>
                </c:pt>
                <c:pt idx="14">
                  <c:v>0.29889064088505513</c:v>
                </c:pt>
                <c:pt idx="15">
                  <c:v>0.29925637434700009</c:v>
                </c:pt>
                <c:pt idx="16">
                  <c:v>0.29950153281804781</c:v>
                </c:pt>
                <c:pt idx="17">
                  <c:v>0.29966586745564655</c:v>
                </c:pt>
                <c:pt idx="18">
                  <c:v>0.29977602425748701</c:v>
                </c:pt>
                <c:pt idx="19">
                  <c:v>0.29984986456996782</c:v>
                </c:pt>
                <c:pt idx="20">
                  <c:v>0.29989936121162925</c:v>
                </c:pt>
                <c:pt idx="21">
                  <c:v>0.29993253980274637</c:v>
                </c:pt>
                <c:pt idx="22">
                  <c:v>0.29995478007747134</c:v>
                </c:pt>
                <c:pt idx="23">
                  <c:v>0.29996968817944886</c:v>
                </c:pt>
                <c:pt idx="24">
                  <c:v>0.29997968137905273</c:v>
                </c:pt>
                <c:pt idx="25">
                  <c:v>0.29998638002107125</c:v>
                </c:pt>
                <c:pt idx="26">
                  <c:v>0.29999087025509746</c:v>
                </c:pt>
                <c:pt idx="27">
                  <c:v>0.29999388014897665</c:v>
                </c:pt>
                <c:pt idx="28">
                  <c:v>0.2999958977411803</c:v>
                </c:pt>
                <c:pt idx="29">
                  <c:v>0.29999725017367912</c:v>
                </c:pt>
                <c:pt idx="30">
                  <c:v>0.29999815673629399</c:v>
                </c:pt>
                <c:pt idx="31">
                  <c:v>0.29999876442338774</c:v>
                </c:pt>
                <c:pt idx="32">
                  <c:v>0.29999917176822843</c:v>
                </c:pt>
                <c:pt idx="33">
                  <c:v>0.29999944481964069</c:v>
                </c:pt>
                <c:pt idx="34">
                  <c:v>0.29999962785147605</c:v>
                </c:pt>
                <c:pt idx="35">
                  <c:v>0.29999975054138428</c:v>
                </c:pt>
                <c:pt idx="36">
                  <c:v>0.29999983278288922</c:v>
                </c:pt>
                <c:pt idx="37">
                  <c:v>0.29999988791101861</c:v>
                </c:pt>
                <c:pt idx="38">
                  <c:v>0.29999992486450888</c:v>
                </c:pt>
                <c:pt idx="39">
                  <c:v>0.29999994963517407</c:v>
                </c:pt>
                <c:pt idx="40">
                  <c:v>0.29999996623944758</c:v>
                </c:pt>
                <c:pt idx="41">
                  <c:v>0.29999997736962497</c:v>
                </c:pt>
                <c:pt idx="42">
                  <c:v>0.29999998483040596</c:v>
                </c:pt>
                <c:pt idx="43">
                  <c:v>0.29999998983151704</c:v>
                </c:pt>
                <c:pt idx="44">
                  <c:v>0.299999993183862</c:v>
                </c:pt>
                <c:pt idx="45">
                  <c:v>0.29999999543100608</c:v>
                </c:pt>
                <c:pt idx="46">
                  <c:v>0.29999999693731177</c:v>
                </c:pt>
                <c:pt idx="47">
                  <c:v>0.2999999979470187</c:v>
                </c:pt>
                <c:pt idx="48">
                  <c:v>0.29999999862384547</c:v>
                </c:pt>
                <c:pt idx="49">
                  <c:v>0.29999999907753605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6-472A-9D66-71FBE4183B8D}"/>
            </c:ext>
          </c:extLst>
        </c:ser>
        <c:ser>
          <c:idx val="4"/>
          <c:order val="5"/>
          <c:tx>
            <c:strRef>
              <c:f>'1_Motorcycles calcs'!$C$36</c:f>
              <c:strCache>
                <c:ptCount val="1"/>
                <c:pt idx="0">
                  <c:v>petrol exergy efficiency, y = 30(1-e^-0.05x)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'1_Motorcycles calcs'!$E$30:$BB$30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cat>
          <c:val>
            <c:numRef>
              <c:f>'1_Motorcycles calcs'!$E$36:$BB$36</c:f>
              <c:numCache>
                <c:formatCode>0.0%</c:formatCode>
                <c:ptCount val="50"/>
                <c:pt idx="0" formatCode="General">
                  <c:v>0</c:v>
                </c:pt>
                <c:pt idx="1">
                  <c:v>0.11804080208620997</c:v>
                </c:pt>
                <c:pt idx="2">
                  <c:v>0.18963616764856731</c:v>
                </c:pt>
                <c:pt idx="3">
                  <c:v>0.23306095195547105</c:v>
                </c:pt>
                <c:pt idx="4">
                  <c:v>0.2593994150290162</c:v>
                </c:pt>
                <c:pt idx="5">
                  <c:v>0.27537450041283035</c:v>
                </c:pt>
                <c:pt idx="6">
                  <c:v>0.28506387948964085</c:v>
                </c:pt>
                <c:pt idx="7">
                  <c:v>0.29094078497330444</c:v>
                </c:pt>
                <c:pt idx="8">
                  <c:v>0.29450530833337973</c:v>
                </c:pt>
                <c:pt idx="9">
                  <c:v>0.29666730103852734</c:v>
                </c:pt>
                <c:pt idx="10">
                  <c:v>0.29797861590027436</c:v>
                </c:pt>
                <c:pt idx="11">
                  <c:v>0.29877396856846078</c:v>
                </c:pt>
                <c:pt idx="12">
                  <c:v>0.29925637434700009</c:v>
                </c:pt>
                <c:pt idx="13">
                  <c:v>0.29954896824210669</c:v>
                </c:pt>
                <c:pt idx="14">
                  <c:v>0.29972643541033367</c:v>
                </c:pt>
                <c:pt idx="15">
                  <c:v>0.29983407468895568</c:v>
                </c:pt>
                <c:pt idx="16">
                  <c:v>0.29989936121162925</c:v>
                </c:pt>
                <c:pt idx="17">
                  <c:v>0.29993895948929677</c:v>
                </c:pt>
                <c:pt idx="18">
                  <c:v>0.29996297705877401</c:v>
                </c:pt>
                <c:pt idx="19">
                  <c:v>0.2999775444510337</c:v>
                </c:pt>
                <c:pt idx="20">
                  <c:v>0.29998638002107125</c:v>
                </c:pt>
                <c:pt idx="21">
                  <c:v>0.29999173906519511</c:v>
                </c:pt>
                <c:pt idx="22">
                  <c:v>0.29999498948976294</c:v>
                </c:pt>
                <c:pt idx="23">
                  <c:v>0.29999696097192041</c:v>
                </c:pt>
                <c:pt idx="24">
                  <c:v>0.29999815673629399</c:v>
                </c:pt>
                <c:pt idx="25">
                  <c:v>0.2999988820040484</c:v>
                </c:pt>
                <c:pt idx="26">
                  <c:v>0.2999993219011779</c:v>
                </c:pt>
                <c:pt idx="27">
                  <c:v>0.29999958871227411</c:v>
                </c:pt>
                <c:pt idx="28">
                  <c:v>0.29999975054138428</c:v>
                </c:pt>
                <c:pt idx="29">
                  <c:v>0.29999984869570123</c:v>
                </c:pt>
                <c:pt idx="30">
                  <c:v>0.29999990822930384</c:v>
                </c:pt>
                <c:pt idx="31">
                  <c:v>0.29999994433825911</c:v>
                </c:pt>
                <c:pt idx="32">
                  <c:v>0.29999996623944758</c:v>
                </c:pt>
                <c:pt idx="33">
                  <c:v>0.29999997952318991</c:v>
                </c:pt>
                <c:pt idx="34">
                  <c:v>0.29999998758018687</c:v>
                </c:pt>
                <c:pt idx="35">
                  <c:v>0.29999999246700254</c:v>
                </c:pt>
                <c:pt idx="36">
                  <c:v>0.29999999543100608</c:v>
                </c:pt>
                <c:pt idx="37">
                  <c:v>0.29999999722876508</c:v>
                </c:pt>
                <c:pt idx="38">
                  <c:v>0.29999999831916108</c:v>
                </c:pt>
                <c:pt idx="39">
                  <c:v>0.29999999898051966</c:v>
                </c:pt>
                <c:pt idx="40">
                  <c:v>0.29999999938165389</c:v>
                </c:pt>
                <c:pt idx="41">
                  <c:v>0.29999999962495416</c:v>
                </c:pt>
                <c:pt idx="42">
                  <c:v>0.29999999977252317</c:v>
                </c:pt>
                <c:pt idx="43">
                  <c:v>0.29999999986202835</c:v>
                </c:pt>
                <c:pt idx="44">
                  <c:v>0.29999999991631598</c:v>
                </c:pt>
                <c:pt idx="45">
                  <c:v>0.29999999994924303</c:v>
                </c:pt>
                <c:pt idx="46">
                  <c:v>0.29999999996921434</c:v>
                </c:pt>
                <c:pt idx="47">
                  <c:v>0.29999999998132759</c:v>
                </c:pt>
                <c:pt idx="48">
                  <c:v>0.2999999999886746</c:v>
                </c:pt>
                <c:pt idx="49">
                  <c:v>0.29999999999313082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6-472A-9D66-71FBE4183B8D}"/>
            </c:ext>
          </c:extLst>
        </c:ser>
        <c:ser>
          <c:idx val="5"/>
          <c:order val="6"/>
          <c:tx>
            <c:strRef>
              <c:f>'1_Motorcycles calcs'!$C$37</c:f>
              <c:strCache>
                <c:ptCount val="1"/>
                <c:pt idx="0">
                  <c:v>Ayres &amp; warr y = 0.52xmpg (US Gallon)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'1_Motorcycles calcs'!$E$30:$BB$30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cat>
          <c:val>
            <c:numRef>
              <c:f>'1_Motorcycles calcs'!$E$37:$BB$37</c:f>
              <c:numCache>
                <c:formatCode>0.00%</c:formatCode>
                <c:ptCount val="50"/>
                <c:pt idx="0">
                  <c:v>0</c:v>
                </c:pt>
                <c:pt idx="1">
                  <c:v>5.1999999999999998E-2</c:v>
                </c:pt>
                <c:pt idx="2">
                  <c:v>0.104</c:v>
                </c:pt>
                <c:pt idx="3">
                  <c:v>0.156</c:v>
                </c:pt>
                <c:pt idx="4">
                  <c:v>0.20799999999999999</c:v>
                </c:pt>
                <c:pt idx="5">
                  <c:v>0.26</c:v>
                </c:pt>
                <c:pt idx="6">
                  <c:v>0.312</c:v>
                </c:pt>
                <c:pt idx="7">
                  <c:v>0.36399999999999999</c:v>
                </c:pt>
                <c:pt idx="8">
                  <c:v>0.41599999999999998</c:v>
                </c:pt>
                <c:pt idx="9">
                  <c:v>0.46799999999999997</c:v>
                </c:pt>
                <c:pt idx="10">
                  <c:v>0.52</c:v>
                </c:pt>
                <c:pt idx="11">
                  <c:v>0.57199999999999995</c:v>
                </c:pt>
                <c:pt idx="12">
                  <c:v>0.624</c:v>
                </c:pt>
                <c:pt idx="13">
                  <c:v>0.67599999999999993</c:v>
                </c:pt>
                <c:pt idx="14">
                  <c:v>0.72799999999999998</c:v>
                </c:pt>
                <c:pt idx="15">
                  <c:v>0.77999999999999992</c:v>
                </c:pt>
                <c:pt idx="16">
                  <c:v>0.83199999999999996</c:v>
                </c:pt>
                <c:pt idx="17">
                  <c:v>0.88400000000000001</c:v>
                </c:pt>
                <c:pt idx="18">
                  <c:v>0.93599999999999994</c:v>
                </c:pt>
                <c:pt idx="1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06-472A-9D66-71FBE4183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35920"/>
        <c:axId val="574437232"/>
      </c:lineChart>
      <c:catAx>
        <c:axId val="5744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37232"/>
        <c:crosses val="autoZero"/>
        <c:auto val="1"/>
        <c:lblAlgn val="ctr"/>
        <c:lblOffset val="100"/>
        <c:noMultiLvlLbl val="0"/>
      </c:catAx>
      <c:valAx>
        <c:axId val="5744372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10574838675693"/>
          <c:y val="0.20549609057186591"/>
          <c:w val="0.35600414086736532"/>
          <c:h val="0.68039108071210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Road fuel use IEA vs DECC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'1_UK stats motorcycles'!$C$113</c:f>
              <c:strCache>
                <c:ptCount val="1"/>
                <c:pt idx="0">
                  <c:v>Motor gasoline - IEA data</c:v>
                </c:pt>
              </c:strCache>
            </c:strRef>
          </c:tx>
          <c:marker>
            <c:symbol val="none"/>
          </c:marker>
          <c:cat>
            <c:numRef>
              <c:f>'1_UK stats motorcycles'!$D$112:$BB$112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motorcycles'!$D$113:$BB$113</c:f>
              <c:numCache>
                <c:formatCode>#,##0.00</c:formatCode>
                <c:ptCount val="51"/>
                <c:pt idx="0">
                  <c:v>8.1414919999999995</c:v>
                </c:pt>
                <c:pt idx="1">
                  <c:v>8.6942769999999996</c:v>
                </c:pt>
                <c:pt idx="2">
                  <c:v>9.1461740000000002</c:v>
                </c:pt>
                <c:pt idx="3">
                  <c:v>9.6569219999999998</c:v>
                </c:pt>
                <c:pt idx="4">
                  <c:v>10.689978</c:v>
                </c:pt>
                <c:pt idx="5">
                  <c:v>11.466609</c:v>
                </c:pt>
                <c:pt idx="6">
                  <c:v>12.089806000000001</c:v>
                </c:pt>
                <c:pt idx="7">
                  <c:v>12.903219999999999</c:v>
                </c:pt>
                <c:pt idx="8">
                  <c:v>13.675647000000001</c:v>
                </c:pt>
                <c:pt idx="9">
                  <c:v>14.128594999999999</c:v>
                </c:pt>
                <c:pt idx="10">
                  <c:v>14.959873999999999</c:v>
                </c:pt>
                <c:pt idx="11">
                  <c:v>15.725995999999999</c:v>
                </c:pt>
                <c:pt idx="12">
                  <c:v>16.708608000000002</c:v>
                </c:pt>
                <c:pt idx="13">
                  <c:v>17.788955999999999</c:v>
                </c:pt>
                <c:pt idx="14">
                  <c:v>17.323397</c:v>
                </c:pt>
                <c:pt idx="15">
                  <c:v>16.946116000000004</c:v>
                </c:pt>
                <c:pt idx="16">
                  <c:v>17.738512</c:v>
                </c:pt>
                <c:pt idx="17">
                  <c:v>18.218782999999998</c:v>
                </c:pt>
                <c:pt idx="18">
                  <c:v>19.282315999999998</c:v>
                </c:pt>
                <c:pt idx="19">
                  <c:v>19.636476999999999</c:v>
                </c:pt>
                <c:pt idx="20">
                  <c:v>20.119901000000002</c:v>
                </c:pt>
                <c:pt idx="21">
                  <c:v>19.671157000000001</c:v>
                </c:pt>
                <c:pt idx="22">
                  <c:v>20.227095000000002</c:v>
                </c:pt>
                <c:pt idx="23">
                  <c:v>20.562339000000001</c:v>
                </c:pt>
                <c:pt idx="24">
                  <c:v>21.255946999999999</c:v>
                </c:pt>
                <c:pt idx="25">
                  <c:v>21.441959999999998</c:v>
                </c:pt>
                <c:pt idx="26">
                  <c:v>22.563294000000003</c:v>
                </c:pt>
                <c:pt idx="27">
                  <c:v>23.313651999999998</c:v>
                </c:pt>
                <c:pt idx="28">
                  <c:v>24.432883999999998</c:v>
                </c:pt>
                <c:pt idx="29">
                  <c:v>25.142257000000001</c:v>
                </c:pt>
                <c:pt idx="30">
                  <c:v>25.550014000000001</c:v>
                </c:pt>
                <c:pt idx="31">
                  <c:v>25.244195999999999</c:v>
                </c:pt>
                <c:pt idx="32">
                  <c:v>25.268366999999998</c:v>
                </c:pt>
                <c:pt idx="33">
                  <c:v>24.976210999999999</c:v>
                </c:pt>
                <c:pt idx="34">
                  <c:v>24.006209999999999</c:v>
                </c:pt>
                <c:pt idx="35">
                  <c:v>23.070888999999998</c:v>
                </c:pt>
                <c:pt idx="36">
                  <c:v>23.55011</c:v>
                </c:pt>
                <c:pt idx="37">
                  <c:v>23.385115000000003</c:v>
                </c:pt>
                <c:pt idx="38">
                  <c:v>22.960543000000001</c:v>
                </c:pt>
                <c:pt idx="39">
                  <c:v>23.747683000000002</c:v>
                </c:pt>
                <c:pt idx="40">
                  <c:v>22.703067000000001</c:v>
                </c:pt>
                <c:pt idx="41">
                  <c:v>21.998949</c:v>
                </c:pt>
                <c:pt idx="42">
                  <c:v>21.867583999999997</c:v>
                </c:pt>
                <c:pt idx="43">
                  <c:v>20.932262999999999</c:v>
                </c:pt>
                <c:pt idx="44">
                  <c:v>20.476163</c:v>
                </c:pt>
                <c:pt idx="45">
                  <c:v>19.684819000000001</c:v>
                </c:pt>
                <c:pt idx="46">
                  <c:v>19.067927999999998</c:v>
                </c:pt>
                <c:pt idx="47">
                  <c:v>18.486768000000001</c:v>
                </c:pt>
                <c:pt idx="48">
                  <c:v>17.511512</c:v>
                </c:pt>
                <c:pt idx="49">
                  <c:v>16.564632000000003</c:v>
                </c:pt>
                <c:pt idx="50">
                  <c:v>15.751218000000001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7-45F8-B5B0-DA1D8F07BDE5}"/>
            </c:ext>
          </c:extLst>
        </c:ser>
        <c:ser>
          <c:idx val="1"/>
          <c:order val="1"/>
          <c:tx>
            <c:strRef>
              <c:f>'1_UK stats motorcycles'!$C$114</c:f>
              <c:strCache>
                <c:ptCount val="1"/>
                <c:pt idx="0">
                  <c:v>Gas/diesel oil - IEA data</c:v>
                </c:pt>
              </c:strCache>
            </c:strRef>
          </c:tx>
          <c:marker>
            <c:symbol val="none"/>
          </c:marker>
          <c:cat>
            <c:numRef>
              <c:f>'1_UK stats motorcycles'!$D$112:$BB$112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motorcycles'!$D$114:$BB$114</c:f>
              <c:numCache>
                <c:formatCode>#,##0.00</c:formatCode>
                <c:ptCount val="51"/>
                <c:pt idx="0">
                  <c:v>2.6698770000000001</c:v>
                </c:pt>
                <c:pt idx="1">
                  <c:v>2.933405</c:v>
                </c:pt>
                <c:pt idx="2">
                  <c:v>3.1430069999999999</c:v>
                </c:pt>
                <c:pt idx="3">
                  <c:v>3.4167100000000001</c:v>
                </c:pt>
                <c:pt idx="4">
                  <c:v>3.7585839999999999</c:v>
                </c:pt>
                <c:pt idx="5">
                  <c:v>3.974291</c:v>
                </c:pt>
                <c:pt idx="6">
                  <c:v>4.1777870000000004</c:v>
                </c:pt>
                <c:pt idx="7">
                  <c:v>4.4311409999999993</c:v>
                </c:pt>
                <c:pt idx="8">
                  <c:v>4.732316</c:v>
                </c:pt>
                <c:pt idx="9">
                  <c:v>4.9531099999999997</c:v>
                </c:pt>
                <c:pt idx="10">
                  <c:v>5.12303</c:v>
                </c:pt>
                <c:pt idx="11">
                  <c:v>5.2766700000000002</c:v>
                </c:pt>
                <c:pt idx="12">
                  <c:v>5.3458579999999998</c:v>
                </c:pt>
                <c:pt idx="13">
                  <c:v>5.7569219999999994</c:v>
                </c:pt>
                <c:pt idx="14">
                  <c:v>5.6144740000000004</c:v>
                </c:pt>
                <c:pt idx="15">
                  <c:v>5.5086560000000002</c:v>
                </c:pt>
                <c:pt idx="16">
                  <c:v>5.6918030000000002</c:v>
                </c:pt>
                <c:pt idx="17">
                  <c:v>5.810848</c:v>
                </c:pt>
                <c:pt idx="18">
                  <c:v>5.977716</c:v>
                </c:pt>
                <c:pt idx="19">
                  <c:v>6.1628980000000002</c:v>
                </c:pt>
                <c:pt idx="20">
                  <c:v>5.9563490000000003</c:v>
                </c:pt>
                <c:pt idx="21">
                  <c:v>5.6460159999999995</c:v>
                </c:pt>
                <c:pt idx="22">
                  <c:v>5.8311980000000005</c:v>
                </c:pt>
                <c:pt idx="23">
                  <c:v>6.2911009999999994</c:v>
                </c:pt>
                <c:pt idx="24">
                  <c:v>6.8731009999999992</c:v>
                </c:pt>
                <c:pt idx="25">
                  <c:v>7.2302379999999999</c:v>
                </c:pt>
                <c:pt idx="26">
                  <c:v>8.0035249999999998</c:v>
                </c:pt>
                <c:pt idx="27">
                  <c:v>8.6170679999999997</c:v>
                </c:pt>
                <c:pt idx="28">
                  <c:v>9.5338209999999997</c:v>
                </c:pt>
                <c:pt idx="29">
                  <c:v>10.294898</c:v>
                </c:pt>
                <c:pt idx="30">
                  <c:v>10.838234</c:v>
                </c:pt>
                <c:pt idx="31">
                  <c:v>10.880968999999999</c:v>
                </c:pt>
                <c:pt idx="32">
                  <c:v>11.326627</c:v>
                </c:pt>
                <c:pt idx="33">
                  <c:v>12.012409999999999</c:v>
                </c:pt>
                <c:pt idx="34">
                  <c:v>13.140799999999999</c:v>
                </c:pt>
                <c:pt idx="35">
                  <c:v>13.692276</c:v>
                </c:pt>
                <c:pt idx="36">
                  <c:v>14.616151</c:v>
                </c:pt>
                <c:pt idx="37">
                  <c:v>15.237833</c:v>
                </c:pt>
                <c:pt idx="38">
                  <c:v>15.407753000000001</c:v>
                </c:pt>
                <c:pt idx="39">
                  <c:v>15.779134000000001</c:v>
                </c:pt>
                <c:pt idx="40">
                  <c:v>16.158656000000001</c:v>
                </c:pt>
                <c:pt idx="41">
                  <c:v>16.705044000000001</c:v>
                </c:pt>
                <c:pt idx="42">
                  <c:v>17.221926</c:v>
                </c:pt>
                <c:pt idx="43">
                  <c:v>18.021668000000002</c:v>
                </c:pt>
                <c:pt idx="44">
                  <c:v>18.837689999999998</c:v>
                </c:pt>
                <c:pt idx="45">
                  <c:v>19.77581</c:v>
                </c:pt>
                <c:pt idx="46">
                  <c:v>20.498223000000003</c:v>
                </c:pt>
                <c:pt idx="47">
                  <c:v>21.407852999999999</c:v>
                </c:pt>
                <c:pt idx="48">
                  <c:v>20.932687999999999</c:v>
                </c:pt>
                <c:pt idx="49">
                  <c:v>20.407667</c:v>
                </c:pt>
                <c:pt idx="50">
                  <c:v>21.237934000000003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7-45F8-B5B0-DA1D8F07BDE5}"/>
            </c:ext>
          </c:extLst>
        </c:ser>
        <c:ser>
          <c:idx val="2"/>
          <c:order val="2"/>
          <c:tx>
            <c:strRef>
              <c:f>'1_UK stats motorcycles'!$C$115</c:f>
              <c:strCache>
                <c:ptCount val="1"/>
                <c:pt idx="0">
                  <c:v>Total - IEA data</c:v>
                </c:pt>
              </c:strCache>
            </c:strRef>
          </c:tx>
          <c:marker>
            <c:symbol val="none"/>
          </c:marker>
          <c:cat>
            <c:numRef>
              <c:f>'1_UK stats motorcycles'!$D$112:$BB$112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motorcycles'!$D$115:$BB$115</c:f>
              <c:numCache>
                <c:formatCode>#,##0.00</c:formatCode>
                <c:ptCount val="51"/>
                <c:pt idx="0">
                  <c:v>10.811368999999999</c:v>
                </c:pt>
                <c:pt idx="1">
                  <c:v>11.627682</c:v>
                </c:pt>
                <c:pt idx="2">
                  <c:v>12.289180999999999</c:v>
                </c:pt>
                <c:pt idx="3">
                  <c:v>13.073632</c:v>
                </c:pt>
                <c:pt idx="4">
                  <c:v>14.448561999999999</c:v>
                </c:pt>
                <c:pt idx="5">
                  <c:v>15.440899999999999</c:v>
                </c:pt>
                <c:pt idx="6">
                  <c:v>16.267593000000002</c:v>
                </c:pt>
                <c:pt idx="7">
                  <c:v>17.334360999999998</c:v>
                </c:pt>
                <c:pt idx="8">
                  <c:v>18.407963000000002</c:v>
                </c:pt>
                <c:pt idx="9">
                  <c:v>19.081704999999999</c:v>
                </c:pt>
                <c:pt idx="10">
                  <c:v>20.082903999999999</c:v>
                </c:pt>
                <c:pt idx="11">
                  <c:v>21.002665999999998</c:v>
                </c:pt>
                <c:pt idx="12">
                  <c:v>22.054466000000001</c:v>
                </c:pt>
                <c:pt idx="13">
                  <c:v>23.545877999999998</c:v>
                </c:pt>
                <c:pt idx="14">
                  <c:v>22.937871000000001</c:v>
                </c:pt>
                <c:pt idx="15">
                  <c:v>22.454772000000006</c:v>
                </c:pt>
                <c:pt idx="16">
                  <c:v>23.430315</c:v>
                </c:pt>
                <c:pt idx="17">
                  <c:v>24.029630999999998</c:v>
                </c:pt>
                <c:pt idx="18">
                  <c:v>25.260031999999999</c:v>
                </c:pt>
                <c:pt idx="19">
                  <c:v>25.799374999999998</c:v>
                </c:pt>
                <c:pt idx="20">
                  <c:v>26.076250000000002</c:v>
                </c:pt>
                <c:pt idx="21">
                  <c:v>25.317173</c:v>
                </c:pt>
                <c:pt idx="22">
                  <c:v>26.058293000000003</c:v>
                </c:pt>
                <c:pt idx="23">
                  <c:v>26.853439999999999</c:v>
                </c:pt>
                <c:pt idx="24">
                  <c:v>28.129047999999997</c:v>
                </c:pt>
                <c:pt idx="25">
                  <c:v>28.672197999999998</c:v>
                </c:pt>
                <c:pt idx="26">
                  <c:v>30.566819000000002</c:v>
                </c:pt>
                <c:pt idx="27">
                  <c:v>31.930719999999997</c:v>
                </c:pt>
                <c:pt idx="28">
                  <c:v>33.966704999999997</c:v>
                </c:pt>
                <c:pt idx="29">
                  <c:v>35.437155000000004</c:v>
                </c:pt>
                <c:pt idx="30">
                  <c:v>36.388248000000004</c:v>
                </c:pt>
                <c:pt idx="31">
                  <c:v>36.125164999999996</c:v>
                </c:pt>
                <c:pt idx="32">
                  <c:v>36.594994</c:v>
                </c:pt>
                <c:pt idx="33">
                  <c:v>36.988620999999995</c:v>
                </c:pt>
                <c:pt idx="34">
                  <c:v>37.147009999999995</c:v>
                </c:pt>
                <c:pt idx="35">
                  <c:v>36.763165000000001</c:v>
                </c:pt>
                <c:pt idx="36">
                  <c:v>38.166260999999999</c:v>
                </c:pt>
                <c:pt idx="37">
                  <c:v>38.622948000000001</c:v>
                </c:pt>
                <c:pt idx="38">
                  <c:v>38.368296000000001</c:v>
                </c:pt>
                <c:pt idx="39">
                  <c:v>39.526817000000001</c:v>
                </c:pt>
                <c:pt idx="40">
                  <c:v>38.861722999999998</c:v>
                </c:pt>
                <c:pt idx="41">
                  <c:v>38.703992999999997</c:v>
                </c:pt>
                <c:pt idx="42">
                  <c:v>39.089509999999997</c:v>
                </c:pt>
                <c:pt idx="43">
                  <c:v>38.953930999999997</c:v>
                </c:pt>
                <c:pt idx="44">
                  <c:v>39.313852999999995</c:v>
                </c:pt>
                <c:pt idx="45">
                  <c:v>39.460628999999997</c:v>
                </c:pt>
                <c:pt idx="46">
                  <c:v>39.566151000000005</c:v>
                </c:pt>
                <c:pt idx="47">
                  <c:v>39.894621000000001</c:v>
                </c:pt>
                <c:pt idx="48">
                  <c:v>38.444199999999995</c:v>
                </c:pt>
                <c:pt idx="49">
                  <c:v>36.972299000000007</c:v>
                </c:pt>
                <c:pt idx="50">
                  <c:v>36.989152000000004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7-45F8-B5B0-DA1D8F07BDE5}"/>
            </c:ext>
          </c:extLst>
        </c:ser>
        <c:ser>
          <c:idx val="3"/>
          <c:order val="3"/>
          <c:tx>
            <c:strRef>
              <c:f>'3a - road vehicle efficiencies'!#REF!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'1_UK stats motorcycles'!$D$112:$BB$112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'3a - road vehicle efficiencies'!#REF!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7-45F8-B5B0-DA1D8F07BDE5}"/>
            </c:ext>
          </c:extLst>
        </c:ser>
        <c:ser>
          <c:idx val="4"/>
          <c:order val="4"/>
          <c:tx>
            <c:strRef>
              <c:f>'3a - road vehicle efficiencies'!#REF!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'1_UK stats motorcycles'!$D$112:$BB$112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'3a - road vehicle efficiencies'!#REF!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7-45F8-B5B0-DA1D8F07BDE5}"/>
            </c:ext>
          </c:extLst>
        </c:ser>
        <c:ser>
          <c:idx val="5"/>
          <c:order val="5"/>
          <c:tx>
            <c:strRef>
              <c:f>'3a - road vehicle efficiencies'!#REF!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'1_UK stats motorcycles'!$D$112:$BB$112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'3a - road vehicle efficiencies'!#REF!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7-45F8-B5B0-DA1D8F07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861312"/>
        <c:axId val="362862848"/>
      </c:lineChart>
      <c:catAx>
        <c:axId val="3628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28628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62862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Mtes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36286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road mileage (kms)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'1_UK stats motorcycles'!$C$128</c:f>
              <c:strCache>
                <c:ptCount val="1"/>
                <c:pt idx="0">
                  <c:v>Cars and taxis</c:v>
                </c:pt>
              </c:strCache>
            </c:strRef>
          </c:tx>
          <c:marker>
            <c:symbol val="none"/>
          </c:marker>
          <c:cat>
            <c:numRef>
              <c:f>'1_UK stats motorcycles'!$D$127:$BB$127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motorcycles'!$D$128:$BB$128</c:f>
              <c:numCache>
                <c:formatCode>0.0</c:formatCode>
                <c:ptCount val="51"/>
                <c:pt idx="0">
                  <c:v>68.060699999999997</c:v>
                </c:pt>
                <c:pt idx="1">
                  <c:v>76.910199999999989</c:v>
                </c:pt>
                <c:pt idx="2">
                  <c:v>83.668000000000006</c:v>
                </c:pt>
                <c:pt idx="3">
                  <c:v>91.391199999999998</c:v>
                </c:pt>
                <c:pt idx="4">
                  <c:v>105.71130000000001</c:v>
                </c:pt>
                <c:pt idx="5">
                  <c:v>115.848</c:v>
                </c:pt>
                <c:pt idx="6">
                  <c:v>126.46739999999998</c:v>
                </c:pt>
                <c:pt idx="7">
                  <c:v>134.99510000000001</c:v>
                </c:pt>
                <c:pt idx="8">
                  <c:v>142.7183</c:v>
                </c:pt>
                <c:pt idx="9">
                  <c:v>147.86710000000002</c:v>
                </c:pt>
                <c:pt idx="10">
                  <c:v>154.94669999999999</c:v>
                </c:pt>
                <c:pt idx="11">
                  <c:v>165.08339999999998</c:v>
                </c:pt>
                <c:pt idx="12">
                  <c:v>174.73739999999998</c:v>
                </c:pt>
                <c:pt idx="13">
                  <c:v>183.90869999999998</c:v>
                </c:pt>
                <c:pt idx="14">
                  <c:v>179.8862</c:v>
                </c:pt>
                <c:pt idx="15">
                  <c:v>181.49519999999998</c:v>
                </c:pt>
                <c:pt idx="16">
                  <c:v>190.34469999999999</c:v>
                </c:pt>
                <c:pt idx="17">
                  <c:v>194.0454</c:v>
                </c:pt>
                <c:pt idx="18">
                  <c:v>202.41219999999998</c:v>
                </c:pt>
                <c:pt idx="19">
                  <c:v>201.4468</c:v>
                </c:pt>
                <c:pt idx="20">
                  <c:v>214.9624</c:v>
                </c:pt>
                <c:pt idx="21">
                  <c:v>219.4676</c:v>
                </c:pt>
                <c:pt idx="22">
                  <c:v>227.19079999999997</c:v>
                </c:pt>
                <c:pt idx="23">
                  <c:v>231.21329999999998</c:v>
                </c:pt>
                <c:pt idx="24">
                  <c:v>243.92439999999999</c:v>
                </c:pt>
                <c:pt idx="25">
                  <c:v>250.52129999999997</c:v>
                </c:pt>
                <c:pt idx="26">
                  <c:v>264.3587</c:v>
                </c:pt>
                <c:pt idx="27">
                  <c:v>284.47120000000001</c:v>
                </c:pt>
                <c:pt idx="28">
                  <c:v>305.38820000000004</c:v>
                </c:pt>
                <c:pt idx="29">
                  <c:v>331.29309999999998</c:v>
                </c:pt>
                <c:pt idx="30">
                  <c:v>335.79829999999998</c:v>
                </c:pt>
                <c:pt idx="31">
                  <c:v>335.15469999999999</c:v>
                </c:pt>
                <c:pt idx="32">
                  <c:v>337.89</c:v>
                </c:pt>
                <c:pt idx="33">
                  <c:v>338.05090000000001</c:v>
                </c:pt>
                <c:pt idx="34">
                  <c:v>344.96960000000001</c:v>
                </c:pt>
                <c:pt idx="35">
                  <c:v>351.0838</c:v>
                </c:pt>
                <c:pt idx="36">
                  <c:v>359.7724</c:v>
                </c:pt>
                <c:pt idx="37">
                  <c:v>365.72570000000002</c:v>
                </c:pt>
                <c:pt idx="38">
                  <c:v>370.55270000000002</c:v>
                </c:pt>
                <c:pt idx="39">
                  <c:v>377.31049999999999</c:v>
                </c:pt>
                <c:pt idx="40">
                  <c:v>376.02330000000001</c:v>
                </c:pt>
                <c:pt idx="41">
                  <c:v>381.1721</c:v>
                </c:pt>
                <c:pt idx="42">
                  <c:v>390.5043</c:v>
                </c:pt>
                <c:pt idx="43">
                  <c:v>389.86070000000001</c:v>
                </c:pt>
                <c:pt idx="44">
                  <c:v>394.20499999999998</c:v>
                </c:pt>
                <c:pt idx="45">
                  <c:v>392.596</c:v>
                </c:pt>
                <c:pt idx="46">
                  <c:v>397.26210000000003</c:v>
                </c:pt>
                <c:pt idx="47">
                  <c:v>397.90570000000002</c:v>
                </c:pt>
                <c:pt idx="48">
                  <c:v>394.84860000000003</c:v>
                </c:pt>
                <c:pt idx="49">
                  <c:v>393.88319999999999</c:v>
                </c:pt>
                <c:pt idx="50">
                  <c:v>389.21710000000002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C-4D16-B97D-F8D5399AFD84}"/>
            </c:ext>
          </c:extLst>
        </c:ser>
        <c:ser>
          <c:idx val="1"/>
          <c:order val="1"/>
          <c:tx>
            <c:strRef>
              <c:f>'1_UK stats motorcycles'!$C$129</c:f>
              <c:strCache>
                <c:ptCount val="1"/>
                <c:pt idx="0">
                  <c:v>Light vans</c:v>
                </c:pt>
              </c:strCache>
            </c:strRef>
          </c:tx>
          <c:marker>
            <c:symbol val="none"/>
          </c:marker>
          <c:cat>
            <c:numRef>
              <c:f>'1_UK stats motorcycles'!$D$127:$BB$127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motorcycles'!$D$129:$BB$129</c:f>
              <c:numCache>
                <c:formatCode>0.0</c:formatCode>
                <c:ptCount val="51"/>
                <c:pt idx="0">
                  <c:v>14.963700000000001</c:v>
                </c:pt>
                <c:pt idx="1">
                  <c:v>16.411799999999999</c:v>
                </c:pt>
                <c:pt idx="2">
                  <c:v>16.572700000000001</c:v>
                </c:pt>
                <c:pt idx="3">
                  <c:v>17.5381</c:v>
                </c:pt>
                <c:pt idx="4">
                  <c:v>17.698999999999998</c:v>
                </c:pt>
                <c:pt idx="5">
                  <c:v>18.9862</c:v>
                </c:pt>
                <c:pt idx="6">
                  <c:v>18.9862</c:v>
                </c:pt>
                <c:pt idx="7">
                  <c:v>18.664400000000001</c:v>
                </c:pt>
                <c:pt idx="8">
                  <c:v>18.825299999999999</c:v>
                </c:pt>
                <c:pt idx="9">
                  <c:v>19.308</c:v>
                </c:pt>
                <c:pt idx="10">
                  <c:v>20.273399999999999</c:v>
                </c:pt>
                <c:pt idx="11">
                  <c:v>21.238799999999998</c:v>
                </c:pt>
                <c:pt idx="12">
                  <c:v>22.2042</c:v>
                </c:pt>
                <c:pt idx="13">
                  <c:v>23.330500000000001</c:v>
                </c:pt>
                <c:pt idx="14">
                  <c:v>23.6523</c:v>
                </c:pt>
                <c:pt idx="15">
                  <c:v>23.491399999999999</c:v>
                </c:pt>
                <c:pt idx="16">
                  <c:v>24.134999999999998</c:v>
                </c:pt>
                <c:pt idx="17">
                  <c:v>24.456799999999998</c:v>
                </c:pt>
                <c:pt idx="18">
                  <c:v>25.261299999999999</c:v>
                </c:pt>
                <c:pt idx="19">
                  <c:v>25.1004</c:v>
                </c:pt>
                <c:pt idx="20">
                  <c:v>26.065799999999999</c:v>
                </c:pt>
                <c:pt idx="21">
                  <c:v>26.226700000000001</c:v>
                </c:pt>
                <c:pt idx="22">
                  <c:v>26.065799999999999</c:v>
                </c:pt>
                <c:pt idx="23">
                  <c:v>26.065799999999999</c:v>
                </c:pt>
                <c:pt idx="24">
                  <c:v>27.513900000000003</c:v>
                </c:pt>
                <c:pt idx="25">
                  <c:v>28.6402</c:v>
                </c:pt>
                <c:pt idx="26">
                  <c:v>29.927400000000002</c:v>
                </c:pt>
                <c:pt idx="27">
                  <c:v>32.662700000000001</c:v>
                </c:pt>
                <c:pt idx="28">
                  <c:v>36.202500000000001</c:v>
                </c:pt>
                <c:pt idx="29">
                  <c:v>39.7423</c:v>
                </c:pt>
                <c:pt idx="30">
                  <c:v>39.903199999999998</c:v>
                </c:pt>
                <c:pt idx="31">
                  <c:v>41.673099999999998</c:v>
                </c:pt>
                <c:pt idx="32">
                  <c:v>41.190400000000004</c:v>
                </c:pt>
                <c:pt idx="33">
                  <c:v>41.5122</c:v>
                </c:pt>
                <c:pt idx="34">
                  <c:v>43.2821</c:v>
                </c:pt>
                <c:pt idx="35">
                  <c:v>44.569299999999998</c:v>
                </c:pt>
                <c:pt idx="36">
                  <c:v>46.1783</c:v>
                </c:pt>
                <c:pt idx="37">
                  <c:v>48.591799999999999</c:v>
                </c:pt>
                <c:pt idx="38">
                  <c:v>50.8444</c:v>
                </c:pt>
                <c:pt idx="39">
                  <c:v>51.648900000000005</c:v>
                </c:pt>
                <c:pt idx="40">
                  <c:v>52.131599999999999</c:v>
                </c:pt>
                <c:pt idx="41">
                  <c:v>53.418800000000005</c:v>
                </c:pt>
                <c:pt idx="42">
                  <c:v>54.706000000000003</c:v>
                </c:pt>
                <c:pt idx="43">
                  <c:v>57.441300000000005</c:v>
                </c:pt>
                <c:pt idx="44">
                  <c:v>60.176600000000001</c:v>
                </c:pt>
                <c:pt idx="45">
                  <c:v>61.785599999999995</c:v>
                </c:pt>
                <c:pt idx="46">
                  <c:v>64.199100000000001</c:v>
                </c:pt>
                <c:pt idx="47">
                  <c:v>67.417099999999991</c:v>
                </c:pt>
                <c:pt idx="48">
                  <c:v>66.934399999999997</c:v>
                </c:pt>
                <c:pt idx="49">
                  <c:v>65.4863</c:v>
                </c:pt>
                <c:pt idx="50">
                  <c:v>66.6126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C-4D16-B97D-F8D5399AFD84}"/>
            </c:ext>
          </c:extLst>
        </c:ser>
        <c:ser>
          <c:idx val="2"/>
          <c:order val="2"/>
          <c:tx>
            <c:strRef>
              <c:f>'1_UK stats motorcycles'!$C$130</c:f>
              <c:strCache>
                <c:ptCount val="1"/>
                <c:pt idx="0">
                  <c:v>Goods vehicles</c:v>
                </c:pt>
              </c:strCache>
            </c:strRef>
          </c:tx>
          <c:marker>
            <c:symbol val="none"/>
          </c:marker>
          <c:cat>
            <c:numRef>
              <c:f>'1_UK stats motorcycles'!$D$127:$BB$127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motorcycles'!$D$130:$BB$130</c:f>
              <c:numCache>
                <c:formatCode>0.0</c:formatCode>
                <c:ptCount val="51"/>
                <c:pt idx="0">
                  <c:v>15.285499999999999</c:v>
                </c:pt>
                <c:pt idx="1">
                  <c:v>15.446399999999999</c:v>
                </c:pt>
                <c:pt idx="2">
                  <c:v>15.446399999999999</c:v>
                </c:pt>
                <c:pt idx="3">
                  <c:v>15.7682</c:v>
                </c:pt>
                <c:pt idx="4">
                  <c:v>17.377200000000002</c:v>
                </c:pt>
                <c:pt idx="5">
                  <c:v>17.2163</c:v>
                </c:pt>
                <c:pt idx="6">
                  <c:v>17.5381</c:v>
                </c:pt>
                <c:pt idx="7">
                  <c:v>17.2163</c:v>
                </c:pt>
                <c:pt idx="8">
                  <c:v>17.5381</c:v>
                </c:pt>
                <c:pt idx="9">
                  <c:v>17.377200000000002</c:v>
                </c:pt>
                <c:pt idx="10">
                  <c:v>17.5381</c:v>
                </c:pt>
                <c:pt idx="11">
                  <c:v>18.020799999999998</c:v>
                </c:pt>
                <c:pt idx="12">
                  <c:v>18.342600000000001</c:v>
                </c:pt>
                <c:pt idx="13">
                  <c:v>19.308</c:v>
                </c:pt>
                <c:pt idx="14">
                  <c:v>18.664400000000001</c:v>
                </c:pt>
                <c:pt idx="15">
                  <c:v>18.342600000000001</c:v>
                </c:pt>
                <c:pt idx="16">
                  <c:v>19.147100000000002</c:v>
                </c:pt>
                <c:pt idx="17">
                  <c:v>18.825299999999999</c:v>
                </c:pt>
                <c:pt idx="18">
                  <c:v>19.468899999999998</c:v>
                </c:pt>
                <c:pt idx="19">
                  <c:v>19.629799999999999</c:v>
                </c:pt>
                <c:pt idx="20">
                  <c:v>19.629799999999999</c:v>
                </c:pt>
                <c:pt idx="21">
                  <c:v>18.825299999999999</c:v>
                </c:pt>
                <c:pt idx="22">
                  <c:v>18.342600000000001</c:v>
                </c:pt>
                <c:pt idx="23">
                  <c:v>18.825299999999999</c:v>
                </c:pt>
                <c:pt idx="24">
                  <c:v>19.629799999999999</c:v>
                </c:pt>
                <c:pt idx="25">
                  <c:v>19.629799999999999</c:v>
                </c:pt>
                <c:pt idx="26">
                  <c:v>20.112500000000001</c:v>
                </c:pt>
                <c:pt idx="27">
                  <c:v>22.365100000000002</c:v>
                </c:pt>
                <c:pt idx="28">
                  <c:v>23.813200000000002</c:v>
                </c:pt>
                <c:pt idx="29">
                  <c:v>25.4222</c:v>
                </c:pt>
                <c:pt idx="30">
                  <c:v>24.939499999999999</c:v>
                </c:pt>
                <c:pt idx="31">
                  <c:v>24.456799999999998</c:v>
                </c:pt>
                <c:pt idx="32">
                  <c:v>23.813200000000002</c:v>
                </c:pt>
                <c:pt idx="33">
                  <c:v>24.2959</c:v>
                </c:pt>
                <c:pt idx="34">
                  <c:v>24.778600000000001</c:v>
                </c:pt>
                <c:pt idx="35">
                  <c:v>25.4222</c:v>
                </c:pt>
                <c:pt idx="36">
                  <c:v>26.226700000000001</c:v>
                </c:pt>
                <c:pt idx="37">
                  <c:v>26.8703</c:v>
                </c:pt>
                <c:pt idx="38">
                  <c:v>27.674799999999998</c:v>
                </c:pt>
                <c:pt idx="39">
                  <c:v>28.157499999999999</c:v>
                </c:pt>
                <c:pt idx="40">
                  <c:v>28.157499999999999</c:v>
                </c:pt>
                <c:pt idx="41">
                  <c:v>27.996599999999997</c:v>
                </c:pt>
                <c:pt idx="42">
                  <c:v>28.3184</c:v>
                </c:pt>
                <c:pt idx="43">
                  <c:v>28.479299999999999</c:v>
                </c:pt>
                <c:pt idx="44">
                  <c:v>29.283799999999999</c:v>
                </c:pt>
                <c:pt idx="45">
                  <c:v>28.962</c:v>
                </c:pt>
                <c:pt idx="46">
                  <c:v>28.962</c:v>
                </c:pt>
                <c:pt idx="47">
                  <c:v>29.283799999999999</c:v>
                </c:pt>
                <c:pt idx="48">
                  <c:v>28.6402</c:v>
                </c:pt>
                <c:pt idx="49">
                  <c:v>26.226700000000001</c:v>
                </c:pt>
                <c:pt idx="50">
                  <c:v>26.387599999999999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C-4D16-B97D-F8D5399AFD84}"/>
            </c:ext>
          </c:extLst>
        </c:ser>
        <c:ser>
          <c:idx val="3"/>
          <c:order val="3"/>
          <c:tx>
            <c:strRef>
              <c:f>'1_UK stats motorcycles'!$C$131</c:f>
              <c:strCache>
                <c:ptCount val="1"/>
                <c:pt idx="0">
                  <c:v>Motorcycles</c:v>
                </c:pt>
              </c:strCache>
            </c:strRef>
          </c:tx>
          <c:marker>
            <c:symbol val="none"/>
          </c:marker>
          <c:cat>
            <c:numRef>
              <c:f>'1_UK stats motorcycles'!$D$127:$BB$127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motorcycles'!$D$131:$BB$131</c:f>
              <c:numCache>
                <c:formatCode>0.0</c:formatCode>
                <c:ptCount val="51"/>
                <c:pt idx="0">
                  <c:v>9.9757999999999996</c:v>
                </c:pt>
                <c:pt idx="1">
                  <c:v>9.6539999999999999</c:v>
                </c:pt>
                <c:pt idx="2">
                  <c:v>8.688600000000001</c:v>
                </c:pt>
                <c:pt idx="3">
                  <c:v>7.5623000000000005</c:v>
                </c:pt>
                <c:pt idx="4">
                  <c:v>7.5623000000000005</c:v>
                </c:pt>
                <c:pt idx="5">
                  <c:v>6.7578000000000005</c:v>
                </c:pt>
                <c:pt idx="6">
                  <c:v>5.9533000000000005</c:v>
                </c:pt>
                <c:pt idx="7">
                  <c:v>5.1488000000000005</c:v>
                </c:pt>
                <c:pt idx="8">
                  <c:v>4.6661000000000001</c:v>
                </c:pt>
                <c:pt idx="9">
                  <c:v>4.1833999999999998</c:v>
                </c:pt>
                <c:pt idx="10">
                  <c:v>4.0225</c:v>
                </c:pt>
                <c:pt idx="11">
                  <c:v>3.8615999999999997</c:v>
                </c:pt>
                <c:pt idx="12">
                  <c:v>3.7006999999999999</c:v>
                </c:pt>
                <c:pt idx="13">
                  <c:v>3.8615999999999997</c:v>
                </c:pt>
                <c:pt idx="14">
                  <c:v>4.1833999999999998</c:v>
                </c:pt>
                <c:pt idx="15">
                  <c:v>5.1488000000000005</c:v>
                </c:pt>
                <c:pt idx="16">
                  <c:v>6.2751000000000001</c:v>
                </c:pt>
                <c:pt idx="17">
                  <c:v>6.2751000000000001</c:v>
                </c:pt>
                <c:pt idx="18">
                  <c:v>6.1141999999999994</c:v>
                </c:pt>
                <c:pt idx="19">
                  <c:v>6.4359999999999999</c:v>
                </c:pt>
                <c:pt idx="20">
                  <c:v>7.7231999999999994</c:v>
                </c:pt>
                <c:pt idx="21">
                  <c:v>8.849499999999999</c:v>
                </c:pt>
                <c:pt idx="22">
                  <c:v>9.1713000000000005</c:v>
                </c:pt>
                <c:pt idx="23">
                  <c:v>8.3667999999999996</c:v>
                </c:pt>
                <c:pt idx="24">
                  <c:v>8.0449999999999999</c:v>
                </c:pt>
                <c:pt idx="25">
                  <c:v>7.4013999999999998</c:v>
                </c:pt>
                <c:pt idx="26">
                  <c:v>7.0796000000000001</c:v>
                </c:pt>
                <c:pt idx="27">
                  <c:v>6.7578000000000005</c:v>
                </c:pt>
                <c:pt idx="28">
                  <c:v>5.9533000000000005</c:v>
                </c:pt>
                <c:pt idx="29">
                  <c:v>5.9533000000000005</c:v>
                </c:pt>
                <c:pt idx="30">
                  <c:v>5.6315</c:v>
                </c:pt>
                <c:pt idx="31">
                  <c:v>5.4706000000000001</c:v>
                </c:pt>
                <c:pt idx="32">
                  <c:v>4.5051999999999994</c:v>
                </c:pt>
                <c:pt idx="33">
                  <c:v>3.7006999999999999</c:v>
                </c:pt>
                <c:pt idx="34">
                  <c:v>3.7006999999999999</c:v>
                </c:pt>
                <c:pt idx="35">
                  <c:v>3.7006999999999999</c:v>
                </c:pt>
                <c:pt idx="36">
                  <c:v>3.7006999999999999</c:v>
                </c:pt>
                <c:pt idx="37">
                  <c:v>4.0225</c:v>
                </c:pt>
                <c:pt idx="38">
                  <c:v>4.1833999999999998</c:v>
                </c:pt>
                <c:pt idx="39">
                  <c:v>4.5051999999999994</c:v>
                </c:pt>
                <c:pt idx="40">
                  <c:v>4.5051999999999994</c:v>
                </c:pt>
                <c:pt idx="41">
                  <c:v>4.827</c:v>
                </c:pt>
                <c:pt idx="42">
                  <c:v>4.9878999999999998</c:v>
                </c:pt>
                <c:pt idx="43">
                  <c:v>5.4706000000000001</c:v>
                </c:pt>
                <c:pt idx="44">
                  <c:v>5.1488000000000005</c:v>
                </c:pt>
                <c:pt idx="45">
                  <c:v>5.3096999999999994</c:v>
                </c:pt>
                <c:pt idx="46">
                  <c:v>5.1488000000000005</c:v>
                </c:pt>
                <c:pt idx="47">
                  <c:v>5.4706000000000001</c:v>
                </c:pt>
                <c:pt idx="48">
                  <c:v>4.9878999999999998</c:v>
                </c:pt>
                <c:pt idx="49">
                  <c:v>5.1488000000000005</c:v>
                </c:pt>
                <c:pt idx="50">
                  <c:v>4.6661000000000001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C-4D16-B97D-F8D5399AFD84}"/>
            </c:ext>
          </c:extLst>
        </c:ser>
        <c:ser>
          <c:idx val="4"/>
          <c:order val="4"/>
          <c:tx>
            <c:strRef>
              <c:f>'1_UK stats motorcycles'!$C$132</c:f>
              <c:strCache>
                <c:ptCount val="1"/>
                <c:pt idx="0">
                  <c:v>Buses &amp; Coaches</c:v>
                </c:pt>
              </c:strCache>
            </c:strRef>
          </c:tx>
          <c:marker>
            <c:symbol val="none"/>
          </c:marker>
          <c:cat>
            <c:numRef>
              <c:f>'1_UK stats motorcycles'!$D$127:$BB$127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motorcycles'!$D$132:$BB$132</c:f>
              <c:numCache>
                <c:formatCode>0.0</c:formatCode>
                <c:ptCount val="51"/>
                <c:pt idx="0">
                  <c:v>3.8615999999999997</c:v>
                </c:pt>
                <c:pt idx="1">
                  <c:v>4.0225</c:v>
                </c:pt>
                <c:pt idx="2">
                  <c:v>4.0225</c:v>
                </c:pt>
                <c:pt idx="3">
                  <c:v>4.0225</c:v>
                </c:pt>
                <c:pt idx="4">
                  <c:v>4.0225</c:v>
                </c:pt>
                <c:pt idx="5">
                  <c:v>3.8615999999999997</c:v>
                </c:pt>
                <c:pt idx="6">
                  <c:v>3.8615999999999997</c:v>
                </c:pt>
                <c:pt idx="7">
                  <c:v>3.8615999999999997</c:v>
                </c:pt>
                <c:pt idx="8">
                  <c:v>3.8615999999999997</c:v>
                </c:pt>
                <c:pt idx="9">
                  <c:v>3.8615999999999997</c:v>
                </c:pt>
                <c:pt idx="10">
                  <c:v>3.5398000000000001</c:v>
                </c:pt>
                <c:pt idx="11">
                  <c:v>3.5398000000000001</c:v>
                </c:pt>
                <c:pt idx="12">
                  <c:v>3.5398000000000001</c:v>
                </c:pt>
                <c:pt idx="13">
                  <c:v>3.5398000000000001</c:v>
                </c:pt>
                <c:pt idx="14">
                  <c:v>3.3789000000000002</c:v>
                </c:pt>
                <c:pt idx="15">
                  <c:v>3.218</c:v>
                </c:pt>
                <c:pt idx="16">
                  <c:v>3.3789000000000002</c:v>
                </c:pt>
                <c:pt idx="17">
                  <c:v>3.218</c:v>
                </c:pt>
                <c:pt idx="18">
                  <c:v>3.3789000000000002</c:v>
                </c:pt>
                <c:pt idx="19">
                  <c:v>3.3789000000000002</c:v>
                </c:pt>
                <c:pt idx="20">
                  <c:v>3.5398000000000001</c:v>
                </c:pt>
                <c:pt idx="21">
                  <c:v>3.5398000000000001</c:v>
                </c:pt>
                <c:pt idx="22">
                  <c:v>3.5398000000000001</c:v>
                </c:pt>
                <c:pt idx="23">
                  <c:v>3.7006999999999999</c:v>
                </c:pt>
                <c:pt idx="24">
                  <c:v>3.8615999999999997</c:v>
                </c:pt>
                <c:pt idx="25">
                  <c:v>3.7006999999999999</c:v>
                </c:pt>
                <c:pt idx="26">
                  <c:v>3.7006999999999999</c:v>
                </c:pt>
                <c:pt idx="27">
                  <c:v>4.0225</c:v>
                </c:pt>
                <c:pt idx="28">
                  <c:v>4.3443000000000005</c:v>
                </c:pt>
                <c:pt idx="29">
                  <c:v>4.5051999999999994</c:v>
                </c:pt>
                <c:pt idx="30">
                  <c:v>4.6661000000000001</c:v>
                </c:pt>
                <c:pt idx="31">
                  <c:v>4.827</c:v>
                </c:pt>
                <c:pt idx="32">
                  <c:v>4.6661000000000001</c:v>
                </c:pt>
                <c:pt idx="33">
                  <c:v>4.6661000000000001</c:v>
                </c:pt>
                <c:pt idx="34">
                  <c:v>4.6661000000000001</c:v>
                </c:pt>
                <c:pt idx="35">
                  <c:v>4.827</c:v>
                </c:pt>
                <c:pt idx="36">
                  <c:v>4.9878999999999998</c:v>
                </c:pt>
                <c:pt idx="37">
                  <c:v>5.1488000000000005</c:v>
                </c:pt>
                <c:pt idx="38">
                  <c:v>5.3096999999999994</c:v>
                </c:pt>
                <c:pt idx="39">
                  <c:v>5.3096999999999994</c:v>
                </c:pt>
                <c:pt idx="40">
                  <c:v>5.1488000000000005</c:v>
                </c:pt>
                <c:pt idx="41">
                  <c:v>5.1488000000000005</c:v>
                </c:pt>
                <c:pt idx="42">
                  <c:v>5.1488000000000005</c:v>
                </c:pt>
                <c:pt idx="43">
                  <c:v>5.3096999999999994</c:v>
                </c:pt>
                <c:pt idx="44">
                  <c:v>5.1488000000000005</c:v>
                </c:pt>
                <c:pt idx="45">
                  <c:v>5.1488000000000005</c:v>
                </c:pt>
                <c:pt idx="46">
                  <c:v>5.3096999999999994</c:v>
                </c:pt>
                <c:pt idx="47">
                  <c:v>5.4706000000000001</c:v>
                </c:pt>
                <c:pt idx="48">
                  <c:v>4.9878999999999998</c:v>
                </c:pt>
                <c:pt idx="49">
                  <c:v>4.9878999999999998</c:v>
                </c:pt>
                <c:pt idx="50">
                  <c:v>5.1488000000000005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C-4D16-B97D-F8D5399AFD84}"/>
            </c:ext>
          </c:extLst>
        </c:ser>
        <c:ser>
          <c:idx val="5"/>
          <c:order val="5"/>
          <c:tx>
            <c:strRef>
              <c:f>'1_UK stats motorcycles'!$C$133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'1_UK stats motorcycles'!$D$127:$BB$127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motorcycles'!$D$133:$BB$133</c:f>
              <c:numCache>
                <c:formatCode>0.0</c:formatCode>
                <c:ptCount val="51"/>
                <c:pt idx="0">
                  <c:v>112.14729999999999</c:v>
                </c:pt>
                <c:pt idx="1">
                  <c:v>122.44489999999998</c:v>
                </c:pt>
                <c:pt idx="2">
                  <c:v>128.3982</c:v>
                </c:pt>
                <c:pt idx="3">
                  <c:v>136.28229999999999</c:v>
                </c:pt>
                <c:pt idx="4">
                  <c:v>152.37230000000002</c:v>
                </c:pt>
                <c:pt idx="5">
                  <c:v>162.66990000000001</c:v>
                </c:pt>
                <c:pt idx="6">
                  <c:v>172.8066</c:v>
                </c:pt>
                <c:pt idx="7">
                  <c:v>179.8862</c:v>
                </c:pt>
                <c:pt idx="8">
                  <c:v>187.60940000000002</c:v>
                </c:pt>
                <c:pt idx="9">
                  <c:v>192.59730000000002</c:v>
                </c:pt>
                <c:pt idx="10">
                  <c:v>200.32050000000001</c:v>
                </c:pt>
                <c:pt idx="11">
                  <c:v>211.74440000000001</c:v>
                </c:pt>
                <c:pt idx="12">
                  <c:v>222.52470000000002</c:v>
                </c:pt>
                <c:pt idx="13">
                  <c:v>233.9486</c:v>
                </c:pt>
                <c:pt idx="14">
                  <c:v>229.76519999999999</c:v>
                </c:pt>
                <c:pt idx="15">
                  <c:v>231.69599999999997</c:v>
                </c:pt>
                <c:pt idx="16">
                  <c:v>243.28079999999997</c:v>
                </c:pt>
                <c:pt idx="17">
                  <c:v>246.82059999999998</c:v>
                </c:pt>
                <c:pt idx="18">
                  <c:v>256.63549999999998</c:v>
                </c:pt>
                <c:pt idx="19">
                  <c:v>255.99189999999999</c:v>
                </c:pt>
                <c:pt idx="20">
                  <c:v>271.92100000000005</c:v>
                </c:pt>
                <c:pt idx="21">
                  <c:v>276.90889999999996</c:v>
                </c:pt>
                <c:pt idx="22">
                  <c:v>284.31029999999993</c:v>
                </c:pt>
                <c:pt idx="23">
                  <c:v>288.17189999999994</c:v>
                </c:pt>
                <c:pt idx="24">
                  <c:v>302.97469999999998</c:v>
                </c:pt>
                <c:pt idx="25">
                  <c:v>309.89339999999999</c:v>
                </c:pt>
                <c:pt idx="26">
                  <c:v>325.1789</c:v>
                </c:pt>
                <c:pt idx="27">
                  <c:v>350.27929999999998</c:v>
                </c:pt>
                <c:pt idx="28">
                  <c:v>375.70150000000001</c:v>
                </c:pt>
                <c:pt idx="29">
                  <c:v>406.91609999999997</c:v>
                </c:pt>
                <c:pt idx="30">
                  <c:v>410.93860000000006</c:v>
                </c:pt>
                <c:pt idx="31">
                  <c:v>411.58219999999994</c:v>
                </c:pt>
                <c:pt idx="32">
                  <c:v>412.06489999999997</c:v>
                </c:pt>
                <c:pt idx="33">
                  <c:v>412.22580000000005</c:v>
                </c:pt>
                <c:pt idx="34">
                  <c:v>421.39710000000002</c:v>
                </c:pt>
                <c:pt idx="35">
                  <c:v>429.60299999999995</c:v>
                </c:pt>
                <c:pt idx="36">
                  <c:v>440.86599999999999</c:v>
                </c:pt>
                <c:pt idx="37">
                  <c:v>450.35909999999996</c:v>
                </c:pt>
                <c:pt idx="38">
                  <c:v>458.56500000000005</c:v>
                </c:pt>
                <c:pt idx="39">
                  <c:v>466.93180000000001</c:v>
                </c:pt>
                <c:pt idx="40">
                  <c:v>465.96640000000002</c:v>
                </c:pt>
                <c:pt idx="41">
                  <c:v>472.56330000000003</c:v>
                </c:pt>
                <c:pt idx="42">
                  <c:v>483.66540000000003</c:v>
                </c:pt>
                <c:pt idx="43">
                  <c:v>486.56160000000006</c:v>
                </c:pt>
                <c:pt idx="44">
                  <c:v>493.96299999999997</c:v>
                </c:pt>
                <c:pt idx="45">
                  <c:v>493.8021</c:v>
                </c:pt>
                <c:pt idx="46">
                  <c:v>500.88170000000002</c:v>
                </c:pt>
                <c:pt idx="47">
                  <c:v>505.5478</c:v>
                </c:pt>
                <c:pt idx="48">
                  <c:v>500.39900000000006</c:v>
                </c:pt>
                <c:pt idx="49">
                  <c:v>495.73290000000003</c:v>
                </c:pt>
                <c:pt idx="50">
                  <c:v>492.03220000000005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C-4D16-B97D-F8D5399AF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99744"/>
        <c:axId val="394817920"/>
      </c:lineChart>
      <c:catAx>
        <c:axId val="39479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8179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9481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Billion kms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9479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road vehicle fuel economy </a:t>
            </a:r>
            <a:r>
              <a:rPr lang="en-GB" baseline="0"/>
              <a:t>by mode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'1_UK stats motorcycles'!$C$188</c:f>
              <c:strCache>
                <c:ptCount val="1"/>
                <c:pt idx="0">
                  <c:v>Cars &amp; Taxis - 1000kms/toe </c:v>
                </c:pt>
              </c:strCache>
            </c:strRef>
          </c:tx>
          <c:marker>
            <c:symbol val="none"/>
          </c:marker>
          <c:cat>
            <c:numRef>
              <c:f>'1_UK stats motorcycles'!$N$127:$BA$127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'1_UK stats motorcycles'!$N$188:$BA$188</c:f>
              <c:numCache>
                <c:formatCode>0.00</c:formatCode>
                <c:ptCount val="40"/>
                <c:pt idx="0">
                  <c:v>12.770413360504575</c:v>
                </c:pt>
                <c:pt idx="1">
                  <c:v>12.863475571154616</c:v>
                </c:pt>
                <c:pt idx="2">
                  <c:v>12.735749950073343</c:v>
                </c:pt>
                <c:pt idx="3">
                  <c:v>12.561890427852854</c:v>
                </c:pt>
                <c:pt idx="4">
                  <c:v>12.688918224304851</c:v>
                </c:pt>
                <c:pt idx="5">
                  <c:v>13.085171954368173</c:v>
                </c:pt>
                <c:pt idx="6">
                  <c:v>13.110514051282163</c:v>
                </c:pt>
                <c:pt idx="7">
                  <c:v>12.972036883890848</c:v>
                </c:pt>
                <c:pt idx="8">
                  <c:v>12.728653882461597</c:v>
                </c:pt>
                <c:pt idx="9">
                  <c:v>12.431972770092653</c:v>
                </c:pt>
                <c:pt idx="10">
                  <c:v>12.911782130297878</c:v>
                </c:pt>
                <c:pt idx="11">
                  <c:v>13.48778520867859</c:v>
                </c:pt>
                <c:pt idx="12">
                  <c:v>13.504481253994898</c:v>
                </c:pt>
                <c:pt idx="13">
                  <c:v>13.45293504346118</c:v>
                </c:pt>
                <c:pt idx="14">
                  <c:v>13.710913773674353</c:v>
                </c:pt>
                <c:pt idx="15">
                  <c:v>13.920905230807538</c:v>
                </c:pt>
                <c:pt idx="16">
                  <c:v>13.919287663262216</c:v>
                </c:pt>
                <c:pt idx="17">
                  <c:v>14.423534571149501</c:v>
                </c:pt>
                <c:pt idx="18">
                  <c:v>14.692307256892025</c:v>
                </c:pt>
                <c:pt idx="19">
                  <c:v>15.475574706656293</c:v>
                </c:pt>
                <c:pt idx="20">
                  <c:v>14.924070678916152</c:v>
                </c:pt>
                <c:pt idx="21">
                  <c:v>14.946436779767327</c:v>
                </c:pt>
                <c:pt idx="22">
                  <c:v>14.745053269976687</c:v>
                </c:pt>
                <c:pt idx="23">
                  <c:v>14.584212895945685</c:v>
                </c:pt>
                <c:pt idx="24">
                  <c:v>15.025058971915756</c:v>
                </c:pt>
                <c:pt idx="25">
                  <c:v>15.483070241465436</c:v>
                </c:pt>
                <c:pt idx="26">
                  <c:v>15.230952037287661</c:v>
                </c:pt>
                <c:pt idx="27">
                  <c:v>15.329990144489351</c:v>
                </c:pt>
                <c:pt idx="28">
                  <c:v>15.672148458417229</c:v>
                </c:pt>
                <c:pt idx="29">
                  <c:v>15.65514115313071</c:v>
                </c:pt>
                <c:pt idx="30">
                  <c:v>15.64445261082828</c:v>
                </c:pt>
                <c:pt idx="31">
                  <c:v>15.863755196216916</c:v>
                </c:pt>
                <c:pt idx="32">
                  <c:v>15.918146654657487</c:v>
                </c:pt>
                <c:pt idx="33">
                  <c:v>16.137299336197234</c:v>
                </c:pt>
                <c:pt idx="34">
                  <c:v>16.214523512519648</c:v>
                </c:pt>
                <c:pt idx="35">
                  <c:v>16.136761748749077</c:v>
                </c:pt>
                <c:pt idx="36">
                  <c:v>16.425597829510071</c:v>
                </c:pt>
                <c:pt idx="37">
                  <c:v>16.388827320333299</c:v>
                </c:pt>
                <c:pt idx="38">
                  <c:v>16.725477583037655</c:v>
                </c:pt>
                <c:pt idx="39">
                  <c:v>17.19543624094316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2-4BCF-8750-BE700CEE4034}"/>
            </c:ext>
          </c:extLst>
        </c:ser>
        <c:ser>
          <c:idx val="1"/>
          <c:order val="1"/>
          <c:tx>
            <c:strRef>
              <c:f>'1_UK stats motorcycles'!$C$200</c:f>
              <c:strCache>
                <c:ptCount val="1"/>
                <c:pt idx="0">
                  <c:v>Light vans - 1000kms/toe </c:v>
                </c:pt>
              </c:strCache>
            </c:strRef>
          </c:tx>
          <c:marker>
            <c:symbol val="none"/>
          </c:marker>
          <c:cat>
            <c:numRef>
              <c:f>'1_UK stats motorcycles'!$N$127:$BA$127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'1_UK stats motorcycles'!$N$200:$BA$200</c:f>
              <c:numCache>
                <c:formatCode>0.00</c:formatCode>
                <c:ptCount val="40"/>
                <c:pt idx="0">
                  <c:v>9.9588011426233987</c:v>
                </c:pt>
                <c:pt idx="1">
                  <c:v>10.116619000132593</c:v>
                </c:pt>
                <c:pt idx="2">
                  <c:v>10.160604085448682</c:v>
                </c:pt>
                <c:pt idx="3">
                  <c:v>10.089181137939953</c:v>
                </c:pt>
                <c:pt idx="4">
                  <c:v>10.16794982880371</c:v>
                </c:pt>
                <c:pt idx="5">
                  <c:v>10.498944375788678</c:v>
                </c:pt>
                <c:pt idx="6">
                  <c:v>10.573075824797826</c:v>
                </c:pt>
                <c:pt idx="7">
                  <c:v>10.476904711252567</c:v>
                </c:pt>
                <c:pt idx="8">
                  <c:v>10.450238672254052</c:v>
                </c:pt>
                <c:pt idx="9">
                  <c:v>10.268451501964396</c:v>
                </c:pt>
                <c:pt idx="10">
                  <c:v>10.734158513862551</c:v>
                </c:pt>
                <c:pt idx="11">
                  <c:v>11.181481666865068</c:v>
                </c:pt>
                <c:pt idx="12">
                  <c:v>11.137770665451541</c:v>
                </c:pt>
                <c:pt idx="13">
                  <c:v>11.040277678494256</c:v>
                </c:pt>
                <c:pt idx="14">
                  <c:v>11.082838741376978</c:v>
                </c:pt>
                <c:pt idx="15">
                  <c:v>11.280506630897554</c:v>
                </c:pt>
                <c:pt idx="16">
                  <c:v>11.02824288735524</c:v>
                </c:pt>
                <c:pt idx="17">
                  <c:v>11.404804294005704</c:v>
                </c:pt>
                <c:pt idx="18">
                  <c:v>11.567964208419065</c:v>
                </c:pt>
                <c:pt idx="19">
                  <c:v>10.460097294445267</c:v>
                </c:pt>
                <c:pt idx="20">
                  <c:v>10.931028462995789</c:v>
                </c:pt>
                <c:pt idx="21">
                  <c:v>11.0392703338541</c:v>
                </c:pt>
                <c:pt idx="22">
                  <c:v>10.785913397330875</c:v>
                </c:pt>
                <c:pt idx="23">
                  <c:v>10.684561580309968</c:v>
                </c:pt>
                <c:pt idx="24">
                  <c:v>10.681685171652722</c:v>
                </c:pt>
                <c:pt idx="25">
                  <c:v>10.99654394241947</c:v>
                </c:pt>
                <c:pt idx="26">
                  <c:v>10.854994611875822</c:v>
                </c:pt>
                <c:pt idx="27">
                  <c:v>10.957433103944659</c:v>
                </c:pt>
                <c:pt idx="28">
                  <c:v>11.266712745703174</c:v>
                </c:pt>
                <c:pt idx="29">
                  <c:v>11.484026193072612</c:v>
                </c:pt>
                <c:pt idx="30">
                  <c:v>11.602739135581544</c:v>
                </c:pt>
                <c:pt idx="31">
                  <c:v>11.877212437248474</c:v>
                </c:pt>
                <c:pt idx="32">
                  <c:v>11.99262455903491</c:v>
                </c:pt>
                <c:pt idx="33">
                  <c:v>12.234982949357875</c:v>
                </c:pt>
                <c:pt idx="34">
                  <c:v>12.446602770232714</c:v>
                </c:pt>
                <c:pt idx="35">
                  <c:v>12.434804765572165</c:v>
                </c:pt>
                <c:pt idx="36">
                  <c:v>12.588170516751022</c:v>
                </c:pt>
                <c:pt idx="37">
                  <c:v>12.755634795253401</c:v>
                </c:pt>
                <c:pt idx="38">
                  <c:v>13.344150047401628</c:v>
                </c:pt>
                <c:pt idx="39">
                  <c:v>13.242462322090308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2-4BCF-8750-BE700CEE4034}"/>
            </c:ext>
          </c:extLst>
        </c:ser>
        <c:ser>
          <c:idx val="2"/>
          <c:order val="2"/>
          <c:tx>
            <c:strRef>
              <c:f>'1_UK stats motorcycles'!$C$224</c:f>
              <c:strCache>
                <c:ptCount val="1"/>
                <c:pt idx="0">
                  <c:v>Goods vehicles - 1000kms/toe (total)</c:v>
                </c:pt>
              </c:strCache>
            </c:strRef>
          </c:tx>
          <c:marker>
            <c:symbol val="none"/>
          </c:marker>
          <c:cat>
            <c:numRef>
              <c:f>'1_UK stats motorcycles'!$N$127:$BA$127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'1_UK stats motorcycles'!$N$224:$BA$224</c:f>
              <c:numCache>
                <c:formatCode>0.00</c:formatCode>
                <c:ptCount val="40"/>
                <c:pt idx="0">
                  <c:v>5.0608663641973033</c:v>
                </c:pt>
                <c:pt idx="1">
                  <c:v>5.0229619388991171</c:v>
                </c:pt>
                <c:pt idx="2">
                  <c:v>5.0515389524613594</c:v>
                </c:pt>
                <c:pt idx="3">
                  <c:v>4.9007777280078901</c:v>
                </c:pt>
                <c:pt idx="4">
                  <c:v>4.817357768931001</c:v>
                </c:pt>
                <c:pt idx="5">
                  <c:v>4.800820280496076</c:v>
                </c:pt>
                <c:pt idx="6">
                  <c:v>4.8132580611378071</c:v>
                </c:pt>
                <c:pt idx="7">
                  <c:v>4.6415048767339515</c:v>
                </c:pt>
                <c:pt idx="8">
                  <c:v>4.6488933328077042</c:v>
                </c:pt>
                <c:pt idx="9">
                  <c:v>4.5264023655965984</c:v>
                </c:pt>
                <c:pt idx="10">
                  <c:v>4.7677792573658211</c:v>
                </c:pt>
                <c:pt idx="11">
                  <c:v>4.8871781804855079</c:v>
                </c:pt>
                <c:pt idx="12">
                  <c:v>4.6450369598416925</c:v>
                </c:pt>
                <c:pt idx="13">
                  <c:v>4.4182982489080498</c:v>
                </c:pt>
                <c:pt idx="14">
                  <c:v>4.2024918583068125</c:v>
                </c:pt>
                <c:pt idx="15">
                  <c:v>3.9448228035279</c:v>
                </c:pt>
                <c:pt idx="16">
                  <c:v>3.6325615199591779</c:v>
                </c:pt>
                <c:pt idx="17">
                  <c:v>3.7948912304613325</c:v>
                </c:pt>
                <c:pt idx="18">
                  <c:v>3.7027678877860968</c:v>
                </c:pt>
                <c:pt idx="19">
                  <c:v>3.9596631524608328</c:v>
                </c:pt>
                <c:pt idx="20">
                  <c:v>3.9142435806022595</c:v>
                </c:pt>
                <c:pt idx="21">
                  <c:v>4.0375539161885401</c:v>
                </c:pt>
                <c:pt idx="22">
                  <c:v>3.9480390990322562</c:v>
                </c:pt>
                <c:pt idx="23">
                  <c:v>3.9707561112346323</c:v>
                </c:pt>
                <c:pt idx="24">
                  <c:v>3.9244504416065586</c:v>
                </c:pt>
                <c:pt idx="25">
                  <c:v>4.0892441410872635</c:v>
                </c:pt>
                <c:pt idx="26">
                  <c:v>4.0977398081536807</c:v>
                </c:pt>
                <c:pt idx="27">
                  <c:v>4.186361050837446</c:v>
                </c:pt>
                <c:pt idx="28">
                  <c:v>4.357346382148422</c:v>
                </c:pt>
                <c:pt idx="29">
                  <c:v>4.5122897867759963</c:v>
                </c:pt>
                <c:pt idx="30">
                  <c:v>4.5826356499769272</c:v>
                </c:pt>
                <c:pt idx="31">
                  <c:v>4.5613567407578213</c:v>
                </c:pt>
                <c:pt idx="32">
                  <c:v>4.5008273703274568</c:v>
                </c:pt>
                <c:pt idx="33">
                  <c:v>4.4776881035907881</c:v>
                </c:pt>
                <c:pt idx="34">
                  <c:v>4.5214305116045175</c:v>
                </c:pt>
                <c:pt idx="35">
                  <c:v>4.420202257970403</c:v>
                </c:pt>
                <c:pt idx="36">
                  <c:v>4.4132371988401484</c:v>
                </c:pt>
                <c:pt idx="37">
                  <c:v>4.4224305906284327</c:v>
                </c:pt>
                <c:pt idx="38">
                  <c:v>4.6515029361652545</c:v>
                </c:pt>
                <c:pt idx="39">
                  <c:v>4.6307133129602516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2-4BCF-8750-BE700CEE4034}"/>
            </c:ext>
          </c:extLst>
        </c:ser>
        <c:ser>
          <c:idx val="3"/>
          <c:order val="3"/>
          <c:tx>
            <c:strRef>
              <c:f>'1_UK stats motorcycles'!$C$229</c:f>
              <c:strCache>
                <c:ptCount val="1"/>
                <c:pt idx="0">
                  <c:v>Motorcycles - 1000kms/toe</c:v>
                </c:pt>
              </c:strCache>
            </c:strRef>
          </c:tx>
          <c:marker>
            <c:symbol val="none"/>
          </c:marker>
          <c:cat>
            <c:numRef>
              <c:f>'1_UK stats motorcycles'!$N$127:$BA$127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'1_UK stats motorcycles'!$N$229:$BA$229</c:f>
              <c:numCache>
                <c:formatCode>0.00</c:formatCode>
                <c:ptCount val="40"/>
                <c:pt idx="0">
                  <c:v>19.745690767990428</c:v>
                </c:pt>
                <c:pt idx="1">
                  <c:v>19.601411899471714</c:v>
                </c:pt>
                <c:pt idx="2">
                  <c:v>20.162668847614061</c:v>
                </c:pt>
                <c:pt idx="3">
                  <c:v>19.775803588255776</c:v>
                </c:pt>
                <c:pt idx="4">
                  <c:v>19.916942978102949</c:v>
                </c:pt>
                <c:pt idx="5">
                  <c:v>21.150233958491096</c:v>
                </c:pt>
                <c:pt idx="6">
                  <c:v>20.591454341550484</c:v>
                </c:pt>
                <c:pt idx="7">
                  <c:v>20.874505107727085</c:v>
                </c:pt>
                <c:pt idx="8">
                  <c:v>20.183342861668759</c:v>
                </c:pt>
                <c:pt idx="9">
                  <c:v>19.944898187488167</c:v>
                </c:pt>
                <c:pt idx="10">
                  <c:v>20.728824572595858</c:v>
                </c:pt>
                <c:pt idx="11">
                  <c:v>21.447215961504764</c:v>
                </c:pt>
                <c:pt idx="12">
                  <c:v>21.400247457331027</c:v>
                </c:pt>
                <c:pt idx="13">
                  <c:v>21.577542354091477</c:v>
                </c:pt>
                <c:pt idx="14">
                  <c:v>21.500118794645509</c:v>
                </c:pt>
                <c:pt idx="15">
                  <c:v>22.137527546196534</c:v>
                </c:pt>
                <c:pt idx="16">
                  <c:v>22.090846283663051</c:v>
                </c:pt>
                <c:pt idx="17">
                  <c:v>22.968081012566422</c:v>
                </c:pt>
                <c:pt idx="18">
                  <c:v>22.914333827205379</c:v>
                </c:pt>
                <c:pt idx="19">
                  <c:v>24.704883241701957</c:v>
                </c:pt>
                <c:pt idx="20">
                  <c:v>23.810487192544318</c:v>
                </c:pt>
                <c:pt idx="21">
                  <c:v>23.910380168947608</c:v>
                </c:pt>
                <c:pt idx="22">
                  <c:v>23.089331369753783</c:v>
                </c:pt>
                <c:pt idx="23">
                  <c:v>22.397329401182031</c:v>
                </c:pt>
                <c:pt idx="24">
                  <c:v>22.954465196796981</c:v>
                </c:pt>
                <c:pt idx="25">
                  <c:v>23.473668131567063</c:v>
                </c:pt>
                <c:pt idx="26">
                  <c:v>22.591532659875</c:v>
                </c:pt>
                <c:pt idx="27">
                  <c:v>22.905575066410353</c:v>
                </c:pt>
                <c:pt idx="28">
                  <c:v>23.169342123435392</c:v>
                </c:pt>
                <c:pt idx="29">
                  <c:v>22.525100815321078</c:v>
                </c:pt>
                <c:pt idx="30">
                  <c:v>22.556862256180793</c:v>
                </c:pt>
                <c:pt idx="31">
                  <c:v>23.614162541885335</c:v>
                </c:pt>
                <c:pt idx="32">
                  <c:v>23.382014151536541</c:v>
                </c:pt>
                <c:pt idx="33">
                  <c:v>23.547614012652826</c:v>
                </c:pt>
                <c:pt idx="34">
                  <c:v>24.231255228129456</c:v>
                </c:pt>
                <c:pt idx="35">
                  <c:v>23.88548704140317</c:v>
                </c:pt>
                <c:pt idx="36">
                  <c:v>24.873857347615765</c:v>
                </c:pt>
                <c:pt idx="37">
                  <c:v>24.782838604916076</c:v>
                </c:pt>
                <c:pt idx="38">
                  <c:v>24.680318732439392</c:v>
                </c:pt>
                <c:pt idx="39">
                  <c:v>26.196222317500148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2-4BCF-8750-BE700CEE4034}"/>
            </c:ext>
          </c:extLst>
        </c:ser>
        <c:ser>
          <c:idx val="4"/>
          <c:order val="4"/>
          <c:tx>
            <c:strRef>
              <c:f>'1_UK stats motorcycles'!$C$235</c:f>
              <c:strCache>
                <c:ptCount val="1"/>
                <c:pt idx="0">
                  <c:v>Buses &amp; Coaches - 1000kms/toe</c:v>
                </c:pt>
              </c:strCache>
            </c:strRef>
          </c:tx>
          <c:marker>
            <c:symbol val="none"/>
          </c:marker>
          <c:cat>
            <c:numRef>
              <c:f>'1_UK stats motorcycles'!$N$127:$BA$127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'1_UK stats motorcycles'!$N$235:$BA$235</c:f>
              <c:numCache>
                <c:formatCode>0.00</c:formatCode>
                <c:ptCount val="40"/>
                <c:pt idx="0">
                  <c:v>3.6216929385254524</c:v>
                </c:pt>
                <c:pt idx="1">
                  <c:v>3.6136125003404644</c:v>
                </c:pt>
                <c:pt idx="2">
                  <c:v>3.6463801991509159</c:v>
                </c:pt>
                <c:pt idx="3">
                  <c:v>3.5357129171942057</c:v>
                </c:pt>
                <c:pt idx="4">
                  <c:v>3.6661325755117691</c:v>
                </c:pt>
                <c:pt idx="5">
                  <c:v>3.5830951911484972</c:v>
                </c:pt>
                <c:pt idx="6">
                  <c:v>3.7039485811291488</c:v>
                </c:pt>
                <c:pt idx="7">
                  <c:v>3.5292888061775138</c:v>
                </c:pt>
                <c:pt idx="8">
                  <c:v>3.6605414026129788</c:v>
                </c:pt>
                <c:pt idx="9">
                  <c:v>3.580407783152324</c:v>
                </c:pt>
                <c:pt idx="10">
                  <c:v>3.6435235151702026</c:v>
                </c:pt>
                <c:pt idx="11">
                  <c:v>3.754731905179113</c:v>
                </c:pt>
                <c:pt idx="12">
                  <c:v>3.5691851418865941</c:v>
                </c:pt>
                <c:pt idx="13">
                  <c:v>3.3718460967998065</c:v>
                </c:pt>
                <c:pt idx="14">
                  <c:v>3.2388004105545281</c:v>
                </c:pt>
                <c:pt idx="15">
                  <c:v>3.1350950461651119</c:v>
                </c:pt>
                <c:pt idx="16">
                  <c:v>2.8876445511990947</c:v>
                </c:pt>
                <c:pt idx="17">
                  <c:v>2.9414889086904963</c:v>
                </c:pt>
                <c:pt idx="18">
                  <c:v>2.951793887761581</c:v>
                </c:pt>
                <c:pt idx="19">
                  <c:v>2.7917755803370592</c:v>
                </c:pt>
                <c:pt idx="20">
                  <c:v>2.8417880687306716</c:v>
                </c:pt>
                <c:pt idx="21">
                  <c:v>2.8667249049805155</c:v>
                </c:pt>
                <c:pt idx="22">
                  <c:v>2.806383049846104</c:v>
                </c:pt>
                <c:pt idx="23">
                  <c:v>2.811591108937213</c:v>
                </c:pt>
                <c:pt idx="24">
                  <c:v>2.7748017173172275</c:v>
                </c:pt>
                <c:pt idx="25">
                  <c:v>2.8298358246340167</c:v>
                </c:pt>
                <c:pt idx="26">
                  <c:v>2.8878046635727705</c:v>
                </c:pt>
                <c:pt idx="27">
                  <c:v>2.9793744187359854</c:v>
                </c:pt>
                <c:pt idx="28">
                  <c:v>3.1544041118065369</c:v>
                </c:pt>
                <c:pt idx="29">
                  <c:v>3.2557772118535793</c:v>
                </c:pt>
                <c:pt idx="30">
                  <c:v>3.3637625941070342</c:v>
                </c:pt>
                <c:pt idx="31">
                  <c:v>3.4465515901640567</c:v>
                </c:pt>
                <c:pt idx="32">
                  <c:v>3.457484232575037</c:v>
                </c:pt>
                <c:pt idx="33">
                  <c:v>3.4737764609009965</c:v>
                </c:pt>
                <c:pt idx="34">
                  <c:v>3.5236269543008101</c:v>
                </c:pt>
                <c:pt idx="35">
                  <c:v>3.5345441270544002</c:v>
                </c:pt>
                <c:pt idx="36">
                  <c:v>3.5955490001662866</c:v>
                </c:pt>
                <c:pt idx="37">
                  <c:v>3.6413236568254099</c:v>
                </c:pt>
                <c:pt idx="38">
                  <c:v>3.7474213690588338</c:v>
                </c:pt>
                <c:pt idx="39">
                  <c:v>3.7597059491270133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2-4BCF-8750-BE700CEE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84128"/>
        <c:axId val="503985664"/>
      </c:lineChart>
      <c:catAx>
        <c:axId val="5039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9856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03985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vehicle fuel economy 1000km/toe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3984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road vehicle</a:t>
            </a:r>
            <a:r>
              <a:rPr lang="en-GB" baseline="0"/>
              <a:t> fuel economy 1970-2009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'1_UK stats motorcycles'!$C$188</c:f>
              <c:strCache>
                <c:ptCount val="1"/>
                <c:pt idx="0">
                  <c:v>Cars &amp; Taxis - 1000kms/toe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'1_UK stats motorcycles'!$N$127:$BB$127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'1_UK stats motorcycles'!$N$188:$BA$188</c:f>
              <c:numCache>
                <c:formatCode>0.00</c:formatCode>
                <c:ptCount val="40"/>
                <c:pt idx="0">
                  <c:v>12.770413360504575</c:v>
                </c:pt>
                <c:pt idx="1">
                  <c:v>12.863475571154616</c:v>
                </c:pt>
                <c:pt idx="2">
                  <c:v>12.735749950073343</c:v>
                </c:pt>
                <c:pt idx="3">
                  <c:v>12.561890427852854</c:v>
                </c:pt>
                <c:pt idx="4">
                  <c:v>12.688918224304851</c:v>
                </c:pt>
                <c:pt idx="5">
                  <c:v>13.085171954368173</c:v>
                </c:pt>
                <c:pt idx="6">
                  <c:v>13.110514051282163</c:v>
                </c:pt>
                <c:pt idx="7">
                  <c:v>12.972036883890848</c:v>
                </c:pt>
                <c:pt idx="8">
                  <c:v>12.728653882461597</c:v>
                </c:pt>
                <c:pt idx="9">
                  <c:v>12.431972770092653</c:v>
                </c:pt>
                <c:pt idx="10">
                  <c:v>12.911782130297878</c:v>
                </c:pt>
                <c:pt idx="11">
                  <c:v>13.48778520867859</c:v>
                </c:pt>
                <c:pt idx="12">
                  <c:v>13.504481253994898</c:v>
                </c:pt>
                <c:pt idx="13">
                  <c:v>13.45293504346118</c:v>
                </c:pt>
                <c:pt idx="14">
                  <c:v>13.710913773674353</c:v>
                </c:pt>
                <c:pt idx="15">
                  <c:v>13.920905230807538</c:v>
                </c:pt>
                <c:pt idx="16">
                  <c:v>13.919287663262216</c:v>
                </c:pt>
                <c:pt idx="17">
                  <c:v>14.423534571149501</c:v>
                </c:pt>
                <c:pt idx="18">
                  <c:v>14.692307256892025</c:v>
                </c:pt>
                <c:pt idx="19">
                  <c:v>15.475574706656293</c:v>
                </c:pt>
                <c:pt idx="20">
                  <c:v>14.924070678916152</c:v>
                </c:pt>
                <c:pt idx="21">
                  <c:v>14.946436779767327</c:v>
                </c:pt>
                <c:pt idx="22">
                  <c:v>14.745053269976687</c:v>
                </c:pt>
                <c:pt idx="23">
                  <c:v>14.584212895945685</c:v>
                </c:pt>
                <c:pt idx="24">
                  <c:v>15.025058971915756</c:v>
                </c:pt>
                <c:pt idx="25">
                  <c:v>15.483070241465436</c:v>
                </c:pt>
                <c:pt idx="26">
                  <c:v>15.230952037287661</c:v>
                </c:pt>
                <c:pt idx="27">
                  <c:v>15.329990144489351</c:v>
                </c:pt>
                <c:pt idx="28">
                  <c:v>15.672148458417229</c:v>
                </c:pt>
                <c:pt idx="29">
                  <c:v>15.65514115313071</c:v>
                </c:pt>
                <c:pt idx="30">
                  <c:v>15.64445261082828</c:v>
                </c:pt>
                <c:pt idx="31">
                  <c:v>15.863755196216916</c:v>
                </c:pt>
                <c:pt idx="32">
                  <c:v>15.918146654657487</c:v>
                </c:pt>
                <c:pt idx="33">
                  <c:v>16.137299336197234</c:v>
                </c:pt>
                <c:pt idx="34">
                  <c:v>16.214523512519648</c:v>
                </c:pt>
                <c:pt idx="35">
                  <c:v>16.136761748749077</c:v>
                </c:pt>
                <c:pt idx="36">
                  <c:v>16.425597829510071</c:v>
                </c:pt>
                <c:pt idx="37">
                  <c:v>16.388827320333299</c:v>
                </c:pt>
                <c:pt idx="38">
                  <c:v>16.725477583037655</c:v>
                </c:pt>
                <c:pt idx="39">
                  <c:v>17.19543624094316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F-486C-85B6-1AE193EEEEAF}"/>
            </c:ext>
          </c:extLst>
        </c:ser>
        <c:ser>
          <c:idx val="1"/>
          <c:order val="1"/>
          <c:tx>
            <c:strRef>
              <c:f>'1_UK stats motorcycles'!$C$190</c:f>
              <c:strCache>
                <c:ptCount val="1"/>
                <c:pt idx="0">
                  <c:v>Cars &amp; Taxis - 1000kms/toe (DERV)</c:v>
                </c:pt>
              </c:strCache>
            </c:strRef>
          </c:tx>
          <c:marker>
            <c:symbol val="none"/>
          </c:marker>
          <c:cat>
            <c:numRef>
              <c:f>'1_UK stats motorcycles'!$N$127:$BB$127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'1_UK stats motorcycles'!$N$190:$BA$190</c:f>
              <c:numCache>
                <c:formatCode>0.00</c:formatCode>
                <c:ptCount val="40"/>
                <c:pt idx="0">
                  <c:v>15.927662757418929</c:v>
                </c:pt>
                <c:pt idx="1">
                  <c:v>16.043162673485078</c:v>
                </c:pt>
                <c:pt idx="2">
                  <c:v>15.884241740877915</c:v>
                </c:pt>
                <c:pt idx="3">
                  <c:v>15.666440732441734</c:v>
                </c:pt>
                <c:pt idx="4">
                  <c:v>15.824966771530418</c:v>
                </c:pt>
                <c:pt idx="5">
                  <c:v>16.318239185699362</c:v>
                </c:pt>
                <c:pt idx="6">
                  <c:v>16.350379503457312</c:v>
                </c:pt>
                <c:pt idx="7">
                  <c:v>16.176790066032272</c:v>
                </c:pt>
                <c:pt idx="8">
                  <c:v>15.874397881865567</c:v>
                </c:pt>
                <c:pt idx="9">
                  <c:v>15.504666409103992</c:v>
                </c:pt>
                <c:pt idx="10">
                  <c:v>16.102949848446475</c:v>
                </c:pt>
                <c:pt idx="11">
                  <c:v>16.820664591756934</c:v>
                </c:pt>
                <c:pt idx="12">
                  <c:v>16.839533752531857</c:v>
                </c:pt>
                <c:pt idx="13">
                  <c:v>16.773429153191099</c:v>
                </c:pt>
                <c:pt idx="14">
                  <c:v>17.092266272496612</c:v>
                </c:pt>
                <c:pt idx="15">
                  <c:v>17.350994783206417</c:v>
                </c:pt>
                <c:pt idx="16">
                  <c:v>17.344768969638348</c:v>
                </c:pt>
                <c:pt idx="17">
                  <c:v>17.949127866313518</c:v>
                </c:pt>
                <c:pt idx="18">
                  <c:v>18.272407638107271</c:v>
                </c:pt>
                <c:pt idx="19">
                  <c:v>19.210138041006907</c:v>
                </c:pt>
                <c:pt idx="20">
                  <c:v>18.453045983779461</c:v>
                </c:pt>
                <c:pt idx="21">
                  <c:v>18.453621876896726</c:v>
                </c:pt>
                <c:pt idx="22">
                  <c:v>18.151803052583983</c:v>
                </c:pt>
                <c:pt idx="23">
                  <c:v>17.881842987656562</c:v>
                </c:pt>
                <c:pt idx="24">
                  <c:v>18.309475157403973</c:v>
                </c:pt>
                <c:pt idx="25">
                  <c:v>18.780221523189184</c:v>
                </c:pt>
                <c:pt idx="26">
                  <c:v>18.41753364611111</c:v>
                </c:pt>
                <c:pt idx="27">
                  <c:v>18.486562380381205</c:v>
                </c:pt>
                <c:pt idx="28">
                  <c:v>18.872106532131259</c:v>
                </c:pt>
                <c:pt idx="29">
                  <c:v>18.800768734135598</c:v>
                </c:pt>
                <c:pt idx="30">
                  <c:v>18.753606154390017</c:v>
                </c:pt>
                <c:pt idx="31">
                  <c:v>18.955565395282566</c:v>
                </c:pt>
                <c:pt idx="32">
                  <c:v>18.939447762008001</c:v>
                </c:pt>
                <c:pt idx="33">
                  <c:v>19.102965866448741</c:v>
                </c:pt>
                <c:pt idx="34">
                  <c:v>19.10414173176742</c:v>
                </c:pt>
                <c:pt idx="35">
                  <c:v>18.905584972433335</c:v>
                </c:pt>
                <c:pt idx="36">
                  <c:v>19.124003017354543</c:v>
                </c:pt>
                <c:pt idx="37">
                  <c:v>18.984283008159952</c:v>
                </c:pt>
                <c:pt idx="38">
                  <c:v>19.270682992761408</c:v>
                </c:pt>
                <c:pt idx="39">
                  <c:v>19.733472710376542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F-486C-85B6-1AE193EEEEAF}"/>
            </c:ext>
          </c:extLst>
        </c:ser>
        <c:ser>
          <c:idx val="2"/>
          <c:order val="2"/>
          <c:tx>
            <c:strRef>
              <c:f>'1_UK stats motorcycles'!$C$189</c:f>
              <c:strCache>
                <c:ptCount val="1"/>
                <c:pt idx="0">
                  <c:v>Cars &amp; Taxis - 1000kms/toe (Petrol)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'1_UK stats motorcycles'!$N$127:$BB$127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'1_UK stats motorcycles'!$N$189:$BA$189</c:f>
              <c:numCache>
                <c:formatCode>0.00</c:formatCode>
                <c:ptCount val="40"/>
                <c:pt idx="0">
                  <c:v>12.74213020593514</c:v>
                </c:pt>
                <c:pt idx="1">
                  <c:v>12.834530138788063</c:v>
                </c:pt>
                <c:pt idx="2">
                  <c:v>12.707393392702333</c:v>
                </c:pt>
                <c:pt idx="3">
                  <c:v>12.533152585953388</c:v>
                </c:pt>
                <c:pt idx="4">
                  <c:v>12.659973417224334</c:v>
                </c:pt>
                <c:pt idx="5">
                  <c:v>13.054591348559491</c:v>
                </c:pt>
                <c:pt idx="6">
                  <c:v>13.08030360276585</c:v>
                </c:pt>
                <c:pt idx="7">
                  <c:v>12.941432052825817</c:v>
                </c:pt>
                <c:pt idx="8">
                  <c:v>12.699518305492454</c:v>
                </c:pt>
                <c:pt idx="9">
                  <c:v>12.403733127283193</c:v>
                </c:pt>
                <c:pt idx="10">
                  <c:v>12.88235987875718</c:v>
                </c:pt>
                <c:pt idx="11">
                  <c:v>13.45653167340555</c:v>
                </c:pt>
                <c:pt idx="12">
                  <c:v>13.471627002025482</c:v>
                </c:pt>
                <c:pt idx="13">
                  <c:v>13.41874332255288</c:v>
                </c:pt>
                <c:pt idx="14">
                  <c:v>13.67381301799729</c:v>
                </c:pt>
                <c:pt idx="15">
                  <c:v>13.88079582656513</c:v>
                </c:pt>
                <c:pt idx="16">
                  <c:v>13.875815175710677</c:v>
                </c:pt>
                <c:pt idx="17">
                  <c:v>14.359302293050815</c:v>
                </c:pt>
                <c:pt idx="18">
                  <c:v>14.617926110485817</c:v>
                </c:pt>
                <c:pt idx="19">
                  <c:v>15.368110432805528</c:v>
                </c:pt>
                <c:pt idx="20">
                  <c:v>14.762436787023567</c:v>
                </c:pt>
                <c:pt idx="21">
                  <c:v>14.762897501517381</c:v>
                </c:pt>
                <c:pt idx="22">
                  <c:v>14.521442442067187</c:v>
                </c:pt>
                <c:pt idx="23">
                  <c:v>14.30547439012525</c:v>
                </c:pt>
                <c:pt idx="24">
                  <c:v>14.647580125923175</c:v>
                </c:pt>
                <c:pt idx="25">
                  <c:v>15.024177218551349</c:v>
                </c:pt>
                <c:pt idx="26">
                  <c:v>14.734026916888887</c:v>
                </c:pt>
                <c:pt idx="27">
                  <c:v>14.789249904304961</c:v>
                </c:pt>
                <c:pt idx="28">
                  <c:v>15.097685225705007</c:v>
                </c:pt>
                <c:pt idx="29">
                  <c:v>15.040614987308478</c:v>
                </c:pt>
                <c:pt idx="30">
                  <c:v>15.002884923512017</c:v>
                </c:pt>
                <c:pt idx="31">
                  <c:v>15.16445231622605</c:v>
                </c:pt>
                <c:pt idx="32">
                  <c:v>15.151558209606399</c:v>
                </c:pt>
                <c:pt idx="33">
                  <c:v>15.282372693158992</c:v>
                </c:pt>
                <c:pt idx="34">
                  <c:v>15.283313385413933</c:v>
                </c:pt>
                <c:pt idx="35">
                  <c:v>15.124467977946669</c:v>
                </c:pt>
                <c:pt idx="36">
                  <c:v>15.299202413883636</c:v>
                </c:pt>
                <c:pt idx="37">
                  <c:v>15.187426406527958</c:v>
                </c:pt>
                <c:pt idx="38">
                  <c:v>15.416546394209128</c:v>
                </c:pt>
                <c:pt idx="39">
                  <c:v>15.786778168301231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F-486C-85B6-1AE193EEEEAF}"/>
            </c:ext>
          </c:extLst>
        </c:ser>
        <c:ser>
          <c:idx val="3"/>
          <c:order val="3"/>
          <c:tx>
            <c:strRef>
              <c:f>'1_UK stats motorcycles'!$C$200</c:f>
              <c:strCache>
                <c:ptCount val="1"/>
                <c:pt idx="0">
                  <c:v>Light vans - 1000kms/toe 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'1_UK stats motorcycles'!$N$127:$BB$127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'1_UK stats motorcycles'!$N$200:$BA$200</c:f>
              <c:numCache>
                <c:formatCode>0.00</c:formatCode>
                <c:ptCount val="40"/>
                <c:pt idx="0">
                  <c:v>9.9588011426233987</c:v>
                </c:pt>
                <c:pt idx="1">
                  <c:v>10.116619000132593</c:v>
                </c:pt>
                <c:pt idx="2">
                  <c:v>10.160604085448682</c:v>
                </c:pt>
                <c:pt idx="3">
                  <c:v>10.089181137939953</c:v>
                </c:pt>
                <c:pt idx="4">
                  <c:v>10.16794982880371</c:v>
                </c:pt>
                <c:pt idx="5">
                  <c:v>10.498944375788678</c:v>
                </c:pt>
                <c:pt idx="6">
                  <c:v>10.573075824797826</c:v>
                </c:pt>
                <c:pt idx="7">
                  <c:v>10.476904711252567</c:v>
                </c:pt>
                <c:pt idx="8">
                  <c:v>10.450238672254052</c:v>
                </c:pt>
                <c:pt idx="9">
                  <c:v>10.268451501964396</c:v>
                </c:pt>
                <c:pt idx="10">
                  <c:v>10.734158513862551</c:v>
                </c:pt>
                <c:pt idx="11">
                  <c:v>11.181481666865068</c:v>
                </c:pt>
                <c:pt idx="12">
                  <c:v>11.137770665451541</c:v>
                </c:pt>
                <c:pt idx="13">
                  <c:v>11.040277678494256</c:v>
                </c:pt>
                <c:pt idx="14">
                  <c:v>11.082838741376978</c:v>
                </c:pt>
                <c:pt idx="15">
                  <c:v>11.280506630897554</c:v>
                </c:pt>
                <c:pt idx="16">
                  <c:v>11.02824288735524</c:v>
                </c:pt>
                <c:pt idx="17">
                  <c:v>11.404804294005704</c:v>
                </c:pt>
                <c:pt idx="18">
                  <c:v>11.567964208419065</c:v>
                </c:pt>
                <c:pt idx="19">
                  <c:v>10.460097294445267</c:v>
                </c:pt>
                <c:pt idx="20">
                  <c:v>10.931028462995789</c:v>
                </c:pt>
                <c:pt idx="21">
                  <c:v>11.0392703338541</c:v>
                </c:pt>
                <c:pt idx="22">
                  <c:v>10.785913397330875</c:v>
                </c:pt>
                <c:pt idx="23">
                  <c:v>10.684561580309968</c:v>
                </c:pt>
                <c:pt idx="24">
                  <c:v>10.681685171652722</c:v>
                </c:pt>
                <c:pt idx="25">
                  <c:v>10.99654394241947</c:v>
                </c:pt>
                <c:pt idx="26">
                  <c:v>10.854994611875822</c:v>
                </c:pt>
                <c:pt idx="27">
                  <c:v>10.957433103944659</c:v>
                </c:pt>
                <c:pt idx="28">
                  <c:v>11.266712745703174</c:v>
                </c:pt>
                <c:pt idx="29">
                  <c:v>11.484026193072612</c:v>
                </c:pt>
                <c:pt idx="30">
                  <c:v>11.602739135581544</c:v>
                </c:pt>
                <c:pt idx="31">
                  <c:v>11.877212437248474</c:v>
                </c:pt>
                <c:pt idx="32">
                  <c:v>11.99262455903491</c:v>
                </c:pt>
                <c:pt idx="33">
                  <c:v>12.234982949357875</c:v>
                </c:pt>
                <c:pt idx="34">
                  <c:v>12.446602770232714</c:v>
                </c:pt>
                <c:pt idx="35">
                  <c:v>12.434804765572165</c:v>
                </c:pt>
                <c:pt idx="36">
                  <c:v>12.588170516751022</c:v>
                </c:pt>
                <c:pt idx="37">
                  <c:v>12.755634795253401</c:v>
                </c:pt>
                <c:pt idx="38">
                  <c:v>13.344150047401628</c:v>
                </c:pt>
                <c:pt idx="39">
                  <c:v>13.242462322090308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F-486C-85B6-1AE193EEEEAF}"/>
            </c:ext>
          </c:extLst>
        </c:ser>
        <c:ser>
          <c:idx val="4"/>
          <c:order val="4"/>
          <c:tx>
            <c:strRef>
              <c:f>'1_UK stats motorcycles'!$C$202</c:f>
              <c:strCache>
                <c:ptCount val="1"/>
                <c:pt idx="0">
                  <c:v>Light vans - 1000kms/toe (DERV)</c:v>
                </c:pt>
              </c:strCache>
            </c:strRef>
          </c:tx>
          <c:marker>
            <c:symbol val="none"/>
          </c:marker>
          <c:cat>
            <c:numRef>
              <c:f>'1_UK stats motorcycles'!$N$127:$BB$127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'1_UK stats motorcycles'!$N$202:$BA$202</c:f>
              <c:numCache>
                <c:formatCode>0.00</c:formatCode>
                <c:ptCount val="40"/>
                <c:pt idx="0">
                  <c:v>12.070843784529567</c:v>
                </c:pt>
                <c:pt idx="1">
                  <c:v>12.244510898796259</c:v>
                </c:pt>
                <c:pt idx="2">
                  <c:v>12.283658858399525</c:v>
                </c:pt>
                <c:pt idx="3">
                  <c:v>12.177823110781377</c:v>
                </c:pt>
                <c:pt idx="4">
                  <c:v>12.260505138718086</c:v>
                </c:pt>
                <c:pt idx="5">
                  <c:v>12.657926717494142</c:v>
                </c:pt>
                <c:pt idx="6">
                  <c:v>12.756393372616884</c:v>
                </c:pt>
                <c:pt idx="7">
                  <c:v>12.61466925551532</c:v>
                </c:pt>
                <c:pt idx="8">
                  <c:v>12.580472480510288</c:v>
                </c:pt>
                <c:pt idx="9">
                  <c:v>12.353677740928498</c:v>
                </c:pt>
                <c:pt idx="10">
                  <c:v>12.907036675629879</c:v>
                </c:pt>
                <c:pt idx="11">
                  <c:v>13.424347307326993</c:v>
                </c:pt>
                <c:pt idx="12">
                  <c:v>13.340456920141433</c:v>
                </c:pt>
                <c:pt idx="13">
                  <c:v>13.204669556139867</c:v>
                </c:pt>
                <c:pt idx="14">
                  <c:v>13.231923931835361</c:v>
                </c:pt>
                <c:pt idx="15">
                  <c:v>13.436053887529447</c:v>
                </c:pt>
                <c:pt idx="16">
                  <c:v>13.101755056885127</c:v>
                </c:pt>
                <c:pt idx="17">
                  <c:v>13.546160967993327</c:v>
                </c:pt>
                <c:pt idx="18">
                  <c:v>13.620469363699952</c:v>
                </c:pt>
                <c:pt idx="19">
                  <c:v>12.11693238285897</c:v>
                </c:pt>
                <c:pt idx="20">
                  <c:v>12.49280292182118</c:v>
                </c:pt>
                <c:pt idx="21">
                  <c:v>12.503750406447189</c:v>
                </c:pt>
                <c:pt idx="22">
                  <c:v>12.096491009187154</c:v>
                </c:pt>
                <c:pt idx="23">
                  <c:v>11.874321427793049</c:v>
                </c:pt>
                <c:pt idx="24">
                  <c:v>11.721054068678752</c:v>
                </c:pt>
                <c:pt idx="25">
                  <c:v>11.93410968804557</c:v>
                </c:pt>
                <c:pt idx="26">
                  <c:v>11.684018447250951</c:v>
                </c:pt>
                <c:pt idx="27">
                  <c:v>11.697770007084898</c:v>
                </c:pt>
                <c:pt idx="28">
                  <c:v>11.963824498861683</c:v>
                </c:pt>
                <c:pt idx="29">
                  <c:v>12.082641214130293</c:v>
                </c:pt>
                <c:pt idx="30">
                  <c:v>12.123701287643808</c:v>
                </c:pt>
                <c:pt idx="31">
                  <c:v>12.328332904306659</c:v>
                </c:pt>
                <c:pt idx="32">
                  <c:v>12.375705967638931</c:v>
                </c:pt>
                <c:pt idx="33">
                  <c:v>12.559512027482327</c:v>
                </c:pt>
                <c:pt idx="34">
                  <c:v>12.73017964358209</c:v>
                </c:pt>
                <c:pt idx="35">
                  <c:v>12.673099674275292</c:v>
                </c:pt>
                <c:pt idx="36">
                  <c:v>12.821944635668347</c:v>
                </c:pt>
                <c:pt idx="37">
                  <c:v>12.966707320841723</c:v>
                </c:pt>
                <c:pt idx="38">
                  <c:v>13.553611602317591</c:v>
                </c:pt>
                <c:pt idx="39">
                  <c:v>13.426962595491229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5F-486C-85B6-1AE193EEEEAF}"/>
            </c:ext>
          </c:extLst>
        </c:ser>
        <c:ser>
          <c:idx val="5"/>
          <c:order val="5"/>
          <c:tx>
            <c:strRef>
              <c:f>'1_UK stats motorcycles'!$C$201</c:f>
              <c:strCache>
                <c:ptCount val="1"/>
                <c:pt idx="0">
                  <c:v>Light vans - 1000kms/toe (Petrol)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'1_UK stats motorcycles'!$N$127:$BB$127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'1_UK stats motorcycles'!$N$201:$BA$201</c:f>
              <c:numCache>
                <c:formatCode>0.00</c:formatCode>
                <c:ptCount val="40"/>
                <c:pt idx="0">
                  <c:v>9.6566750276236544</c:v>
                </c:pt>
                <c:pt idx="1">
                  <c:v>9.7956087190370074</c:v>
                </c:pt>
                <c:pt idx="2">
                  <c:v>9.8269270867196212</c:v>
                </c:pt>
                <c:pt idx="3">
                  <c:v>9.7422584886251027</c:v>
                </c:pt>
                <c:pt idx="4">
                  <c:v>9.8084041109744682</c:v>
                </c:pt>
                <c:pt idx="5">
                  <c:v>10.126341373995313</c:v>
                </c:pt>
                <c:pt idx="6">
                  <c:v>10.205114698093507</c:v>
                </c:pt>
                <c:pt idx="7">
                  <c:v>10.091735404412258</c:v>
                </c:pt>
                <c:pt idx="8">
                  <c:v>10.06437798440823</c:v>
                </c:pt>
                <c:pt idx="9">
                  <c:v>9.8829421927427994</c:v>
                </c:pt>
                <c:pt idx="10">
                  <c:v>10.325629340503903</c:v>
                </c:pt>
                <c:pt idx="11">
                  <c:v>10.739477845861595</c:v>
                </c:pt>
                <c:pt idx="12">
                  <c:v>10.672365536113146</c:v>
                </c:pt>
                <c:pt idx="13">
                  <c:v>10.563735644911894</c:v>
                </c:pt>
                <c:pt idx="14">
                  <c:v>10.585539145468289</c:v>
                </c:pt>
                <c:pt idx="15">
                  <c:v>10.748843110023556</c:v>
                </c:pt>
                <c:pt idx="16">
                  <c:v>10.481404045508103</c:v>
                </c:pt>
                <c:pt idx="17">
                  <c:v>10.836928774394663</c:v>
                </c:pt>
                <c:pt idx="18">
                  <c:v>10.896375490959961</c:v>
                </c:pt>
                <c:pt idx="19">
                  <c:v>9.6935459062871772</c:v>
                </c:pt>
                <c:pt idx="20">
                  <c:v>9.9942423374569458</c:v>
                </c:pt>
                <c:pt idx="21">
                  <c:v>10.003000325157752</c:v>
                </c:pt>
                <c:pt idx="22">
                  <c:v>9.6771928073497246</c:v>
                </c:pt>
                <c:pt idx="23">
                  <c:v>9.4994571422344407</c:v>
                </c:pt>
                <c:pt idx="24">
                  <c:v>9.376843254943001</c:v>
                </c:pt>
                <c:pt idx="25">
                  <c:v>9.5472877504364551</c:v>
                </c:pt>
                <c:pt idx="26">
                  <c:v>9.3472147578007601</c:v>
                </c:pt>
                <c:pt idx="27">
                  <c:v>9.3582160056679164</c:v>
                </c:pt>
                <c:pt idx="28">
                  <c:v>9.571059599089347</c:v>
                </c:pt>
                <c:pt idx="29">
                  <c:v>9.6661129713042353</c:v>
                </c:pt>
                <c:pt idx="30">
                  <c:v>9.6989610301150453</c:v>
                </c:pt>
                <c:pt idx="31">
                  <c:v>9.8626663234453265</c:v>
                </c:pt>
                <c:pt idx="32">
                  <c:v>9.9005647741111424</c:v>
                </c:pt>
                <c:pt idx="33">
                  <c:v>10.047609621985861</c:v>
                </c:pt>
                <c:pt idx="34">
                  <c:v>10.184143714865673</c:v>
                </c:pt>
                <c:pt idx="35">
                  <c:v>10.138479739420236</c:v>
                </c:pt>
                <c:pt idx="36">
                  <c:v>10.25755570853468</c:v>
                </c:pt>
                <c:pt idx="37">
                  <c:v>10.373365856673379</c:v>
                </c:pt>
                <c:pt idx="38">
                  <c:v>10.842889281854072</c:v>
                </c:pt>
                <c:pt idx="39">
                  <c:v>10.741570076392984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5F-486C-85B6-1AE193EEE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17984"/>
        <c:axId val="517019520"/>
      </c:lineChart>
      <c:catAx>
        <c:axId val="5170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0195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701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vehcile exergy economy 1000km/toe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1701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road transport economy by fuel type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'1_UK stats motorcycles'!$C$246</c:f>
              <c:strCache>
                <c:ptCount val="1"/>
                <c:pt idx="0">
                  <c:v>Total petrol 1000kms/toe (av. of 1971-1975)</c:v>
                </c:pt>
              </c:strCache>
            </c:strRef>
          </c:tx>
          <c:marker>
            <c:symbol val="none"/>
          </c:marker>
          <c:cat>
            <c:numRef>
              <c:f>'1_UK stats motorcycles'!$N$119:$BB$119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'1_UK stats motorcycles'!$N$246:$BB$246</c:f>
              <c:numCache>
                <c:formatCode>0.00</c:formatCode>
                <c:ptCount val="41"/>
                <c:pt idx="0">
                  <c:v>12.451745849679581</c:v>
                </c:pt>
                <c:pt idx="1">
                  <c:v>12.548859141922406</c:v>
                </c:pt>
                <c:pt idx="2">
                  <c:v>12.447567119449788</c:v>
                </c:pt>
                <c:pt idx="3">
                  <c:v>12.286200896559246</c:v>
                </c:pt>
                <c:pt idx="4">
                  <c:v>12.405306428290437</c:v>
                </c:pt>
                <c:pt idx="5">
                  <c:v>12.827002209863549</c:v>
                </c:pt>
                <c:pt idx="6">
                  <c:v>12.880358197781833</c:v>
                </c:pt>
                <c:pt idx="7">
                  <c:v>12.751218404147513</c:v>
                </c:pt>
                <c:pt idx="8">
                  <c:v>12.526868482704359</c:v>
                </c:pt>
                <c:pt idx="9">
                  <c:v>12.253696759222196</c:v>
                </c:pt>
                <c:pt idx="10">
                  <c:v>12.760617787537303</c:v>
                </c:pt>
                <c:pt idx="11">
                  <c:v>13.346934801355475</c:v>
                </c:pt>
                <c:pt idx="12">
                  <c:v>13.365921908769064</c:v>
                </c:pt>
                <c:pt idx="13">
                  <c:v>13.296645785169561</c:v>
                </c:pt>
                <c:pt idx="14">
                  <c:v>13.508829247921494</c:v>
                </c:pt>
                <c:pt idx="15">
                  <c:v>13.701324104342008</c:v>
                </c:pt>
                <c:pt idx="16">
                  <c:v>13.656403450055915</c:v>
                </c:pt>
                <c:pt idx="17">
                  <c:v>14.111193247791055</c:v>
                </c:pt>
                <c:pt idx="18">
                  <c:v>14.32985574202052</c:v>
                </c:pt>
                <c:pt idx="19">
                  <c:v>14.839916257853405</c:v>
                </c:pt>
                <c:pt idx="20">
                  <c:v>14.398774206159599</c:v>
                </c:pt>
                <c:pt idx="21">
                  <c:v>14.407931208428026</c:v>
                </c:pt>
                <c:pt idx="22">
                  <c:v>14.170133639906862</c:v>
                </c:pt>
                <c:pt idx="23">
                  <c:v>13.964073185428953</c:v>
                </c:pt>
                <c:pt idx="24">
                  <c:v>14.287060021241329</c:v>
                </c:pt>
                <c:pt idx="25">
                  <c:v>14.683028061955682</c:v>
                </c:pt>
                <c:pt idx="26">
                  <c:v>14.424505306964088</c:v>
                </c:pt>
                <c:pt idx="27">
                  <c:v>14.506927190711922</c:v>
                </c:pt>
                <c:pt idx="28">
                  <c:v>14.82801879835546</c:v>
                </c:pt>
                <c:pt idx="29">
                  <c:v>14.831514791213076</c:v>
                </c:pt>
                <c:pt idx="30">
                  <c:v>14.831642930053723</c:v>
                </c:pt>
                <c:pt idx="31">
                  <c:v>15.036656685522113</c:v>
                </c:pt>
                <c:pt idx="32">
                  <c:v>15.056299616069605</c:v>
                </c:pt>
                <c:pt idx="33">
                  <c:v>15.21831566064621</c:v>
                </c:pt>
                <c:pt idx="34">
                  <c:v>15.239181586306442</c:v>
                </c:pt>
                <c:pt idx="35">
                  <c:v>15.103846057492145</c:v>
                </c:pt>
                <c:pt idx="36">
                  <c:v>15.278788045487588</c:v>
                </c:pt>
                <c:pt idx="37">
                  <c:v>15.190165422663203</c:v>
                </c:pt>
                <c:pt idx="38">
                  <c:v>15.422695208197366</c:v>
                </c:pt>
                <c:pt idx="39">
                  <c:v>15.808511190360234</c:v>
                </c:pt>
                <c:pt idx="40">
                  <c:v>16.025130477234399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F-4B3E-9D9B-4C7815D598F5}"/>
            </c:ext>
          </c:extLst>
        </c:ser>
        <c:ser>
          <c:idx val="1"/>
          <c:order val="1"/>
          <c:tx>
            <c:strRef>
              <c:f>'1_UK stats motorcycles'!$C$247</c:f>
              <c:strCache>
                <c:ptCount val="1"/>
                <c:pt idx="0">
                  <c:v>Total DERV 1000kms/toe (av. Of 1971-1975)</c:v>
                </c:pt>
              </c:strCache>
            </c:strRef>
          </c:tx>
          <c:marker>
            <c:symbol val="none"/>
          </c:marker>
          <c:cat>
            <c:numRef>
              <c:f>'1_UK stats motorcycles'!$N$119:$BB$119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'1_UK stats motorcycles'!$N$247:$BB$247</c:f>
              <c:numCache>
                <c:formatCode>0.00</c:formatCode>
                <c:ptCount val="41"/>
                <c:pt idx="0">
                  <c:v>5.3834073905909117</c:v>
                </c:pt>
                <c:pt idx="1">
                  <c:v>5.4026571843031146</c:v>
                </c:pt>
                <c:pt idx="2">
                  <c:v>5.4715931698512001</c:v>
                </c:pt>
                <c:pt idx="3">
                  <c:v>5.3588822619579028</c:v>
                </c:pt>
                <c:pt idx="4">
                  <c:v>5.368890940158507</c:v>
                </c:pt>
                <c:pt idx="5">
                  <c:v>5.378389369391587</c:v>
                </c:pt>
                <c:pt idx="6">
                  <c:v>5.4017527885158394</c:v>
                </c:pt>
                <c:pt idx="7">
                  <c:v>5.2744926236103256</c:v>
                </c:pt>
                <c:pt idx="8">
                  <c:v>5.3003587705600195</c:v>
                </c:pt>
                <c:pt idx="9">
                  <c:v>5.1654703581971164</c:v>
                </c:pt>
                <c:pt idx="10">
                  <c:v>5.4361560909673505</c:v>
                </c:pt>
                <c:pt idx="11">
                  <c:v>5.6435266895152862</c:v>
                </c:pt>
                <c:pt idx="12">
                  <c:v>5.4583927607214742</c:v>
                </c:pt>
                <c:pt idx="13">
                  <c:v>5.2168527429611693</c:v>
                </c:pt>
                <c:pt idx="14">
                  <c:v>5.0536729100420876</c:v>
                </c:pt>
                <c:pt idx="15">
                  <c:v>4.9060187873271026</c:v>
                </c:pt>
                <c:pt idx="16">
                  <c:v>4.6389827304455142</c:v>
                </c:pt>
                <c:pt idx="17">
                  <c:v>4.973543852389211</c:v>
                </c:pt>
                <c:pt idx="18">
                  <c:v>5.0999067974988987</c:v>
                </c:pt>
                <c:pt idx="19">
                  <c:v>5.6933886144676125</c:v>
                </c:pt>
                <c:pt idx="20">
                  <c:v>6.2587961344275902</c:v>
                </c:pt>
                <c:pt idx="21">
                  <c:v>6.6619762557892486</c:v>
                </c:pt>
                <c:pt idx="22">
                  <c:v>6.9335862739772187</c:v>
                </c:pt>
                <c:pt idx="23">
                  <c:v>7.3144015472989858</c:v>
                </c:pt>
                <c:pt idx="24">
                  <c:v>7.8631421823110399</c:v>
                </c:pt>
                <c:pt idx="25">
                  <c:v>8.4876936459002934</c:v>
                </c:pt>
                <c:pt idx="26">
                  <c:v>8.675966024556935</c:v>
                </c:pt>
                <c:pt idx="27">
                  <c:v>8.9983962805616127</c:v>
                </c:pt>
                <c:pt idx="28">
                  <c:v>9.3828138954197158</c:v>
                </c:pt>
                <c:pt idx="29">
                  <c:v>9.7675728856649808</c:v>
                </c:pt>
                <c:pt idx="30">
                  <c:v>10.002380534247052</c:v>
                </c:pt>
                <c:pt idx="31">
                  <c:v>10.322577527074797</c:v>
                </c:pt>
                <c:pt idx="32">
                  <c:v>10.554127658877452</c:v>
                </c:pt>
                <c:pt idx="33">
                  <c:v>10.838513175136125</c:v>
                </c:pt>
                <c:pt idx="34">
                  <c:v>11.141435567552984</c:v>
                </c:pt>
                <c:pt idx="35">
                  <c:v>11.264812127449924</c:v>
                </c:pt>
                <c:pt idx="36">
                  <c:v>11.613653471376685</c:v>
                </c:pt>
                <c:pt idx="37">
                  <c:v>11.787798475395308</c:v>
                </c:pt>
                <c:pt idx="38">
                  <c:v>12.459584812683705</c:v>
                </c:pt>
                <c:pt idx="39">
                  <c:v>12.866367062084912</c:v>
                </c:pt>
                <c:pt idx="40">
                  <c:v>12.951958517477568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F-4B3E-9D9B-4C7815D598F5}"/>
            </c:ext>
          </c:extLst>
        </c:ser>
        <c:ser>
          <c:idx val="2"/>
          <c:order val="2"/>
          <c:tx>
            <c:strRef>
              <c:f>'1_UK stats motorcycles'!$C$248</c:f>
              <c:strCache>
                <c:ptCount val="1"/>
                <c:pt idx="0">
                  <c:v>Total fuel 1000kms/toe</c:v>
                </c:pt>
              </c:strCache>
            </c:strRef>
          </c:tx>
          <c:marker>
            <c:symbol val="none"/>
          </c:marker>
          <c:cat>
            <c:numRef>
              <c:f>'1_UK stats motorcycles'!$N$119:$BB$119</c:f>
              <c:numCache>
                <c:formatCode>General</c:formatCode>
                <c:ptCount val="4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</c:numCache>
            </c:numRef>
          </c:cat>
          <c:val>
            <c:numRef>
              <c:f>'1_UK stats motorcycles'!$N$248:$BB$248</c:f>
              <c:numCache>
                <c:formatCode>0.00</c:formatCode>
                <c:ptCount val="41"/>
                <c:pt idx="0">
                  <c:v>10.646555957211657</c:v>
                </c:pt>
                <c:pt idx="1">
                  <c:v>10.749996490742229</c:v>
                </c:pt>
                <c:pt idx="2">
                  <c:v>10.754684335053883</c:v>
                </c:pt>
                <c:pt idx="3">
                  <c:v>10.591255873051345</c:v>
                </c:pt>
                <c:pt idx="4">
                  <c:v>10.682331071780657</c:v>
                </c:pt>
                <c:pt idx="5">
                  <c:v>10.996454408768036</c:v>
                </c:pt>
                <c:pt idx="6">
                  <c:v>11.060159098288768</c:v>
                </c:pt>
                <c:pt idx="7">
                  <c:v>10.939965249083162</c:v>
                </c:pt>
                <c:pt idx="8">
                  <c:v>10.813338730612573</c:v>
                </c:pt>
                <c:pt idx="9">
                  <c:v>10.555718624942001</c:v>
                </c:pt>
                <c:pt idx="10">
                  <c:v>11.081563609230679</c:v>
                </c:pt>
                <c:pt idx="11">
                  <c:v>11.622871929943503</c:v>
                </c:pt>
                <c:pt idx="12">
                  <c:v>11.58895968649793</c:v>
                </c:pt>
                <c:pt idx="13">
                  <c:v>11.392965325029968</c:v>
                </c:pt>
                <c:pt idx="14">
                  <c:v>11.428451631305332</c:v>
                </c:pt>
                <c:pt idx="15">
                  <c:v>11.466576363713227</c:v>
                </c:pt>
                <c:pt idx="16">
                  <c:v>11.273425068544974</c:v>
                </c:pt>
                <c:pt idx="17">
                  <c:v>11.621025006936414</c:v>
                </c:pt>
                <c:pt idx="18">
                  <c:v>11.712168170390619</c:v>
                </c:pt>
                <c:pt idx="19">
                  <c:v>12.153311009201103</c:v>
                </c:pt>
                <c:pt idx="20">
                  <c:v>11.945594932031982</c:v>
                </c:pt>
                <c:pt idx="21">
                  <c:v>12.04561405479712</c:v>
                </c:pt>
                <c:pt idx="22">
                  <c:v>11.901191528274053</c:v>
                </c:pt>
                <c:pt idx="23">
                  <c:v>11.775182431088998</c:v>
                </c:pt>
                <c:pt idx="24">
                  <c:v>11.982289611158986</c:v>
                </c:pt>
                <c:pt idx="25">
                  <c:v>12.341858719191578</c:v>
                </c:pt>
                <c:pt idx="26">
                  <c:v>12.189877438078195</c:v>
                </c:pt>
                <c:pt idx="27">
                  <c:v>12.300266118768601</c:v>
                </c:pt>
                <c:pt idx="28">
                  <c:v>12.607656813133389</c:v>
                </c:pt>
                <c:pt idx="29">
                  <c:v>12.733388382913374</c:v>
                </c:pt>
                <c:pt idx="30">
                  <c:v>12.80008146856874</c:v>
                </c:pt>
                <c:pt idx="31">
                  <c:v>12.996240935826643</c:v>
                </c:pt>
                <c:pt idx="32">
                  <c:v>13.041029858003254</c:v>
                </c:pt>
                <c:pt idx="33">
                  <c:v>13.159233150074414</c:v>
                </c:pt>
                <c:pt idx="34">
                  <c:v>13.244040437950193</c:v>
                </c:pt>
                <c:pt idx="35">
                  <c:v>13.157792472455217</c:v>
                </c:pt>
                <c:pt idx="36">
                  <c:v>13.345538184682393</c:v>
                </c:pt>
                <c:pt idx="37">
                  <c:v>13.335781994067251</c:v>
                </c:pt>
                <c:pt idx="38">
                  <c:v>13.779805212531663</c:v>
                </c:pt>
                <c:pt idx="39">
                  <c:v>14.148314374448239</c:v>
                </c:pt>
                <c:pt idx="40">
                  <c:v>14.215981277848892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F-4B3E-9D9B-4C7815D5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64960"/>
        <c:axId val="517074944"/>
      </c:lineChart>
      <c:catAx>
        <c:axId val="5170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0749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707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fuel economy</a:t>
                </a:r>
                <a:r>
                  <a:rPr lang="en-GB" baseline="0"/>
                  <a:t> </a:t>
                </a:r>
                <a:r>
                  <a:rPr lang="en-GB"/>
                  <a:t>1000kms/toe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1706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road vehicle exergy efficiency 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'1_UK stats motorcycles'!$C$255</c:f>
              <c:strCache>
                <c:ptCount val="1"/>
                <c:pt idx="0">
                  <c:v>petrol exergy efficiency, y = 35(1-e^-0.025x)</c:v>
                </c:pt>
              </c:strCache>
            </c:strRef>
          </c:tx>
          <c:marker>
            <c:symbol val="none"/>
          </c:marker>
          <c:cat>
            <c:numRef>
              <c:f>'1_UK stats motorcycles'!$D$250:$BB$250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motorcycles'!$D$255:$BB$255</c:f>
              <c:numCache>
                <c:formatCode>0.00%</c:formatCode>
                <c:ptCount val="51"/>
                <c:pt idx="0">
                  <c:v>0.15957566228914821</c:v>
                </c:pt>
                <c:pt idx="1">
                  <c:v>0.15957566228914821</c:v>
                </c:pt>
                <c:pt idx="2">
                  <c:v>0.15957566228914821</c:v>
                </c:pt>
                <c:pt idx="3">
                  <c:v>0.15957566228914824</c:v>
                </c:pt>
                <c:pt idx="4">
                  <c:v>0.15957566228914821</c:v>
                </c:pt>
                <c:pt idx="5">
                  <c:v>0.15957566228914824</c:v>
                </c:pt>
                <c:pt idx="6">
                  <c:v>0.15957566228914821</c:v>
                </c:pt>
                <c:pt idx="7">
                  <c:v>0.15957566228914824</c:v>
                </c:pt>
                <c:pt idx="8">
                  <c:v>0.15957566228914824</c:v>
                </c:pt>
                <c:pt idx="9">
                  <c:v>0.15957566228914821</c:v>
                </c:pt>
                <c:pt idx="10">
                  <c:v>0.15977832985657828</c:v>
                </c:pt>
                <c:pt idx="11">
                  <c:v>0.16068077968357733</c:v>
                </c:pt>
                <c:pt idx="12">
                  <c:v>0.15973940156086686</c:v>
                </c:pt>
                <c:pt idx="13">
                  <c:v>0.15823003362711793</c:v>
                </c:pt>
                <c:pt idx="14">
                  <c:v>0.15934526063216348</c:v>
                </c:pt>
                <c:pt idx="15">
                  <c:v>0.16324187261236239</c:v>
                </c:pt>
                <c:pt idx="16">
                  <c:v>0.16372919018945534</c:v>
                </c:pt>
                <c:pt idx="17">
                  <c:v>0.16254752229460565</c:v>
                </c:pt>
                <c:pt idx="18">
                  <c:v>0.16047680163058048</c:v>
                </c:pt>
                <c:pt idx="19">
                  <c:v>0.1579245544997479</c:v>
                </c:pt>
                <c:pt idx="20">
                  <c:v>0.16263378185425792</c:v>
                </c:pt>
                <c:pt idx="21">
                  <c:v>0.16793677186192457</c:v>
                </c:pt>
                <c:pt idx="22">
                  <c:v>0.16810597008408468</c:v>
                </c:pt>
                <c:pt idx="23">
                  <c:v>0.16748787469921694</c:v>
                </c:pt>
                <c:pt idx="24">
                  <c:v>0.16937441294359271</c:v>
                </c:pt>
                <c:pt idx="25">
                  <c:v>0.17106902296461737</c:v>
                </c:pt>
                <c:pt idx="26">
                  <c:v>0.17067499596405628</c:v>
                </c:pt>
                <c:pt idx="27">
                  <c:v>0.17462448779488315</c:v>
                </c:pt>
                <c:pt idx="28">
                  <c:v>0.1764923155995331</c:v>
                </c:pt>
                <c:pt idx="29">
                  <c:v>0.18077232454272851</c:v>
                </c:pt>
                <c:pt idx="30">
                  <c:v>0.17707688799781174</c:v>
                </c:pt>
                <c:pt idx="31">
                  <c:v>0.17715441011566577</c:v>
                </c:pt>
                <c:pt idx="32">
                  <c:v>0.17512993060076679</c:v>
                </c:pt>
                <c:pt idx="33">
                  <c:v>0.17335647742683125</c:v>
                </c:pt>
                <c:pt idx="34">
                  <c:v>0.17612832444328919</c:v>
                </c:pt>
                <c:pt idx="35">
                  <c:v>0.17946721307183686</c:v>
                </c:pt>
                <c:pt idx="36">
                  <c:v>0.17729463614075647</c:v>
                </c:pt>
                <c:pt idx="37">
                  <c:v>0.17799028305817796</c:v>
                </c:pt>
                <c:pt idx="38">
                  <c:v>0.18067370368605196</c:v>
                </c:pt>
                <c:pt idx="39">
                  <c:v>0.18070268875933287</c:v>
                </c:pt>
                <c:pt idx="40">
                  <c:v>0.1807037510567342</c:v>
                </c:pt>
                <c:pt idx="41">
                  <c:v>0.18239484916581919</c:v>
                </c:pt>
                <c:pt idx="42">
                  <c:v>0.1825559884459059</c:v>
                </c:pt>
                <c:pt idx="43">
                  <c:v>0.18387917975043055</c:v>
                </c:pt>
                <c:pt idx="44">
                  <c:v>0.18404883077895423</c:v>
                </c:pt>
                <c:pt idx="45">
                  <c:v>0.18294539099294047</c:v>
                </c:pt>
                <c:pt idx="46">
                  <c:v>0.18437037586967936</c:v>
                </c:pt>
                <c:pt idx="47">
                  <c:v>0.18365002855118884</c:v>
                </c:pt>
                <c:pt idx="48">
                  <c:v>0.18553345091565329</c:v>
                </c:pt>
                <c:pt idx="49">
                  <c:v>0.18861151997382652</c:v>
                </c:pt>
                <c:pt idx="50">
                  <c:v>0.19031440343162881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1-4F64-893D-9201E46C8BA4}"/>
            </c:ext>
          </c:extLst>
        </c:ser>
        <c:ser>
          <c:idx val="1"/>
          <c:order val="1"/>
          <c:tx>
            <c:strRef>
              <c:f>'1_UK stats motorcycles'!$C$256</c:f>
              <c:strCache>
                <c:ptCount val="1"/>
                <c:pt idx="0">
                  <c:v>diesel exergy efficiency, y = 43.75(1-e^-0.025x)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'1_UK stats motorcycles'!$D$250:$BB$250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motorcycles'!$D$256:$BB$256</c:f>
              <c:numCache>
                <c:formatCode>0.00%</c:formatCode>
                <c:ptCount val="51"/>
                <c:pt idx="0">
                  <c:v>0.11121274215320702</c:v>
                </c:pt>
                <c:pt idx="1">
                  <c:v>0.11121274215320696</c:v>
                </c:pt>
                <c:pt idx="2">
                  <c:v>0.11121274215320702</c:v>
                </c:pt>
                <c:pt idx="3">
                  <c:v>0.11121274215320696</c:v>
                </c:pt>
                <c:pt idx="4">
                  <c:v>0.11121274215320696</c:v>
                </c:pt>
                <c:pt idx="5">
                  <c:v>0.11121274215320696</c:v>
                </c:pt>
                <c:pt idx="6">
                  <c:v>0.11121274215320696</c:v>
                </c:pt>
                <c:pt idx="7">
                  <c:v>0.11121274215320696</c:v>
                </c:pt>
                <c:pt idx="8">
                  <c:v>0.11121274215320696</c:v>
                </c:pt>
                <c:pt idx="9">
                  <c:v>0.11121274215320696</c:v>
                </c:pt>
                <c:pt idx="10">
                  <c:v>0.11091855298567591</c:v>
                </c:pt>
                <c:pt idx="11">
                  <c:v>0.1112598297595818</c:v>
                </c:pt>
                <c:pt idx="12">
                  <c:v>0.11247906298805355</c:v>
                </c:pt>
                <c:pt idx="13">
                  <c:v>0.11048323335533489</c:v>
                </c:pt>
                <c:pt idx="14">
                  <c:v>0.11066095685956194</c:v>
                </c:pt>
                <c:pt idx="15">
                  <c:v>0.11082953057573279</c:v>
                </c:pt>
                <c:pt idx="16">
                  <c:v>0.11124380384610733</c:v>
                </c:pt>
                <c:pt idx="17">
                  <c:v>0.1089808837749896</c:v>
                </c:pt>
                <c:pt idx="18">
                  <c:v>0.10944209886842129</c:v>
                </c:pt>
                <c:pt idx="19">
                  <c:v>0.10702978848780774</c:v>
                </c:pt>
                <c:pt idx="20">
                  <c:v>0.11185287687011244</c:v>
                </c:pt>
                <c:pt idx="21">
                  <c:v>0.11550014004931991</c:v>
                </c:pt>
                <c:pt idx="22">
                  <c:v>0.11224594778959419</c:v>
                </c:pt>
                <c:pt idx="23">
                  <c:v>0.10795078261415936</c:v>
                </c:pt>
                <c:pt idx="24">
                  <c:v>0.10501699320997183</c:v>
                </c:pt>
                <c:pt idx="25">
                  <c:v>0.10233983630011806</c:v>
                </c:pt>
                <c:pt idx="26">
                  <c:v>9.7443268647691705E-2</c:v>
                </c:pt>
                <c:pt idx="27">
                  <c:v>0.10356681606912473</c:v>
                </c:pt>
                <c:pt idx="28">
                  <c:v>0.10585086800312826</c:v>
                </c:pt>
                <c:pt idx="29">
                  <c:v>0.11637100925335452</c:v>
                </c:pt>
                <c:pt idx="30">
                  <c:v>0.12608294413231028</c:v>
                </c:pt>
                <c:pt idx="31">
                  <c:v>0.13282839736846638</c:v>
                </c:pt>
                <c:pt idx="32">
                  <c:v>0.13729003632412218</c:v>
                </c:pt>
                <c:pt idx="33">
                  <c:v>0.143435744452453</c:v>
                </c:pt>
                <c:pt idx="34">
                  <c:v>0.15207088893372989</c:v>
                </c:pt>
                <c:pt idx="35">
                  <c:v>0.16159089797073409</c:v>
                </c:pt>
                <c:pt idx="36">
                  <c:v>0.16439794803510263</c:v>
                </c:pt>
                <c:pt idx="37">
                  <c:v>0.16913905373674695</c:v>
                </c:pt>
                <c:pt idx="38">
                  <c:v>0.17468419641627367</c:v>
                </c:pt>
                <c:pt idx="39">
                  <c:v>0.18011953210604217</c:v>
                </c:pt>
                <c:pt idx="40">
                  <c:v>0.18338118355356364</c:v>
                </c:pt>
                <c:pt idx="41">
                  <c:v>0.18776244552961463</c:v>
                </c:pt>
                <c:pt idx="42">
                  <c:v>0.19088361211917754</c:v>
                </c:pt>
                <c:pt idx="43">
                  <c:v>0.19466364667455832</c:v>
                </c:pt>
                <c:pt idx="44">
                  <c:v>0.1986263667640005</c:v>
                </c:pt>
                <c:pt idx="45">
                  <c:v>0.20022174150248401</c:v>
                </c:pt>
                <c:pt idx="46">
                  <c:v>0.20467516740789446</c:v>
                </c:pt>
                <c:pt idx="47">
                  <c:v>0.20686698389112135</c:v>
                </c:pt>
                <c:pt idx="48">
                  <c:v>0.21513059135750168</c:v>
                </c:pt>
                <c:pt idx="49">
                  <c:v>0.2199897864503994</c:v>
                </c:pt>
                <c:pt idx="50">
                  <c:v>0.2209986144578612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1-4F64-893D-9201E46C8BA4}"/>
            </c:ext>
          </c:extLst>
        </c:ser>
        <c:ser>
          <c:idx val="2"/>
          <c:order val="2"/>
          <c:tx>
            <c:strRef>
              <c:f>'1_UK stats motorcycles'!$C$37</c:f>
              <c:strCache>
                <c:ptCount val="1"/>
                <c:pt idx="0">
                  <c:v>UK aggregate road vehicle exergy efficiency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'1_UK stats motorcycles'!$D$37:$BB$37</c:f>
              <c:numCache>
                <c:formatCode>0.0%</c:formatCode>
                <c:ptCount val="51"/>
                <c:pt idx="0">
                  <c:v>0.1476323969983431</c:v>
                </c:pt>
                <c:pt idx="1">
                  <c:v>0.14737477549663264</c:v>
                </c:pt>
                <c:pt idx="2">
                  <c:v>0.14720665278984113</c:v>
                </c:pt>
                <c:pt idx="3">
                  <c:v>0.14693632282650526</c:v>
                </c:pt>
                <c:pt idx="4">
                  <c:v>0.14699474954390571</c:v>
                </c:pt>
                <c:pt idx="5">
                  <c:v>0.14712766261102131</c:v>
                </c:pt>
                <c:pt idx="6">
                  <c:v>0.14715526432209963</c:v>
                </c:pt>
                <c:pt idx="7">
                  <c:v>0.14721276536470468</c:v>
                </c:pt>
                <c:pt idx="8">
                  <c:v>0.14714253099884542</c:v>
                </c:pt>
                <c:pt idx="9">
                  <c:v>0.1470219170470678</c:v>
                </c:pt>
                <c:pt idx="10">
                  <c:v>0.14731448983110493</c:v>
                </c:pt>
                <c:pt idx="11">
                  <c:v>0.14826435389099227</c:v>
                </c:pt>
                <c:pt idx="12">
                  <c:v>0.1482838052638546</c:v>
                </c:pt>
                <c:pt idx="13">
                  <c:v>0.14655603255932026</c:v>
                </c:pt>
                <c:pt idx="14">
                  <c:v>0.14742886447929587</c:v>
                </c:pt>
                <c:pt idx="15">
                  <c:v>0.15038395704616864</c:v>
                </c:pt>
                <c:pt idx="16">
                  <c:v>0.15097919176027386</c:v>
                </c:pt>
                <c:pt idx="17">
                  <c:v>0.14959403190149748</c:v>
                </c:pt>
                <c:pt idx="18">
                  <c:v>0.14839958180534024</c:v>
                </c:pt>
                <c:pt idx="19">
                  <c:v>0.14576692464765056</c:v>
                </c:pt>
                <c:pt idx="20">
                  <c:v>0.15103438421765719</c:v>
                </c:pt>
                <c:pt idx="21">
                  <c:v>0.15624280973589752</c:v>
                </c:pt>
                <c:pt idx="22">
                  <c:v>0.15560588612679752</c:v>
                </c:pt>
                <c:pt idx="23">
                  <c:v>0.15353979730006817</c:v>
                </c:pt>
                <c:pt idx="24">
                  <c:v>0.1536492079551918</c:v>
                </c:pt>
                <c:pt idx="25">
                  <c:v>0.15373765628213434</c:v>
                </c:pt>
                <c:pt idx="26">
                  <c:v>0.15150021822975207</c:v>
                </c:pt>
                <c:pt idx="27">
                  <c:v>0.15544832173340575</c:v>
                </c:pt>
                <c:pt idx="28">
                  <c:v>0.15666457792038513</c:v>
                </c:pt>
                <c:pt idx="29">
                  <c:v>0.1620630073876142</c:v>
                </c:pt>
                <c:pt idx="30">
                  <c:v>0.16188834975884048</c:v>
                </c:pt>
                <c:pt idx="31">
                  <c:v>0.16380333004182024</c:v>
                </c:pt>
                <c:pt idx="32">
                  <c:v>0.16341799076027963</c:v>
                </c:pt>
                <c:pt idx="33">
                  <c:v>0.16363943196063907</c:v>
                </c:pt>
                <c:pt idx="34">
                  <c:v>0.16761797735091172</c:v>
                </c:pt>
                <c:pt idx="35">
                  <c:v>0.17280925964951135</c:v>
                </c:pt>
                <c:pt idx="36">
                  <c:v>0.17235572056943183</c:v>
                </c:pt>
                <c:pt idx="37">
                  <c:v>0.17449822558383216</c:v>
                </c:pt>
                <c:pt idx="38">
                  <c:v>0.17826846659643902</c:v>
                </c:pt>
                <c:pt idx="39">
                  <c:v>0.18046989220059995</c:v>
                </c:pt>
                <c:pt idx="40">
                  <c:v>0.18181702415271833</c:v>
                </c:pt>
                <c:pt idx="41">
                  <c:v>0.18471155931589189</c:v>
                </c:pt>
                <c:pt idx="42">
                  <c:v>0.18622494512141635</c:v>
                </c:pt>
                <c:pt idx="43">
                  <c:v>0.18886851144236205</c:v>
                </c:pt>
                <c:pt idx="44">
                  <c:v>0.19103382672555214</c:v>
                </c:pt>
                <c:pt idx="45">
                  <c:v>0.19160348473924482</c:v>
                </c:pt>
                <c:pt idx="46">
                  <c:v>0.19488977526536094</c:v>
                </c:pt>
                <c:pt idx="47">
                  <c:v>0.19610847920359231</c:v>
                </c:pt>
                <c:pt idx="48">
                  <c:v>0.20164895615601192</c:v>
                </c:pt>
                <c:pt idx="49">
                  <c:v>0.2059314386862432</c:v>
                </c:pt>
                <c:pt idx="50">
                  <c:v>0.20793225118918743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1-4F64-893D-9201E46C8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09632"/>
        <c:axId val="517111168"/>
      </c:lineChart>
      <c:catAx>
        <c:axId val="5171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1111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711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exergy efficiency %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crossAx val="51710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UK road</a:t>
            </a:r>
            <a:r>
              <a:rPr lang="en-GB" sz="1200" baseline="0"/>
              <a:t> vehicle fuel economy</a:t>
            </a:r>
            <a:endParaRPr lang="en-GB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874836409190921"/>
          <c:y val="0.29553441236512101"/>
          <c:w val="0.73968348930235783"/>
          <c:h val="0.61163385826771655"/>
        </c:manualLayout>
      </c:layout>
      <c:lineChart>
        <c:grouping val="standard"/>
        <c:varyColors val="0"/>
        <c:ser>
          <c:idx val="0"/>
          <c:order val="0"/>
          <c:tx>
            <c:strRef>
              <c:f>'1_UK stats motorcycles'!$C$258</c:f>
              <c:strCache>
                <c:ptCount val="1"/>
                <c:pt idx="0">
                  <c:v>total petrol mpg (UK Gallon)</c:v>
                </c:pt>
              </c:strCache>
            </c:strRef>
          </c:tx>
          <c:marker>
            <c:symbol val="none"/>
          </c:marker>
          <c:cat>
            <c:numRef>
              <c:f>'1_UK stats motorcycles'!$D$250:$BB$250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motorcycles'!$D$258:$BB$258</c:f>
              <c:numCache>
                <c:formatCode>0.00</c:formatCode>
                <c:ptCount val="51"/>
                <c:pt idx="0">
                  <c:v>29.22824567507244</c:v>
                </c:pt>
                <c:pt idx="1">
                  <c:v>29.22824567507244</c:v>
                </c:pt>
                <c:pt idx="2">
                  <c:v>29.22824567507244</c:v>
                </c:pt>
                <c:pt idx="3">
                  <c:v>29.228245675072444</c:v>
                </c:pt>
                <c:pt idx="4">
                  <c:v>29.22824567507244</c:v>
                </c:pt>
                <c:pt idx="5">
                  <c:v>29.228245675072444</c:v>
                </c:pt>
                <c:pt idx="6">
                  <c:v>29.228245675072436</c:v>
                </c:pt>
                <c:pt idx="7">
                  <c:v>29.228245675072444</c:v>
                </c:pt>
                <c:pt idx="8">
                  <c:v>29.228245675072444</c:v>
                </c:pt>
                <c:pt idx="9">
                  <c:v>29.22824567507244</c:v>
                </c:pt>
                <c:pt idx="10">
                  <c:v>29.279379467256515</c:v>
                </c:pt>
                <c:pt idx="11">
                  <c:v>29.507734347706105</c:v>
                </c:pt>
                <c:pt idx="12">
                  <c:v>29.269553485457141</c:v>
                </c:pt>
                <c:pt idx="13">
                  <c:v>28.890112487363552</c:v>
                </c:pt>
                <c:pt idx="14">
                  <c:v>29.170180527805982</c:v>
                </c:pt>
                <c:pt idx="15">
                  <c:v>30.161767647995891</c:v>
                </c:pt>
                <c:pt idx="16">
                  <c:v>30.287230393218085</c:v>
                </c:pt>
                <c:pt idx="17">
                  <c:v>29.983567511900944</c:v>
                </c:pt>
                <c:pt idx="18">
                  <c:v>29.456024903604582</c:v>
                </c:pt>
                <c:pt idx="19">
                  <c:v>28.813681360127546</c:v>
                </c:pt>
                <c:pt idx="20">
                  <c:v>30.005669481885736</c:v>
                </c:pt>
                <c:pt idx="21">
                  <c:v>31.384351519162674</c:v>
                </c:pt>
                <c:pt idx="22">
                  <c:v>31.42899832850647</c:v>
                </c:pt>
                <c:pt idx="23">
                  <c:v>31.266100536070194</c:v>
                </c:pt>
                <c:pt idx="24">
                  <c:v>31.765034597011542</c:v>
                </c:pt>
                <c:pt idx="25">
                  <c:v>32.217672324658096</c:v>
                </c:pt>
                <c:pt idx="26">
                  <c:v>32.112044656165828</c:v>
                </c:pt>
                <c:pt idx="27">
                  <c:v>33.181449960970262</c:v>
                </c:pt>
                <c:pt idx="28">
                  <c:v>33.695618995665583</c:v>
                </c:pt>
                <c:pt idx="29">
                  <c:v>34.894989395176268</c:v>
                </c:pt>
                <c:pt idx="30">
                  <c:v>33.857675777757755</c:v>
                </c:pt>
                <c:pt idx="31">
                  <c:v>33.879207806072223</c:v>
                </c:pt>
                <c:pt idx="32">
                  <c:v>33.3200440286248</c:v>
                </c:pt>
                <c:pt idx="33">
                  <c:v>32.835507778633051</c:v>
                </c:pt>
                <c:pt idx="34">
                  <c:v>33.594987954573391</c:v>
                </c:pt>
                <c:pt idx="35">
                  <c:v>34.526078153565848</c:v>
                </c:pt>
                <c:pt idx="36">
                  <c:v>33.918180599624513</c:v>
                </c:pt>
                <c:pt idx="37">
                  <c:v>34.111989695938583</c:v>
                </c:pt>
                <c:pt idx="38">
                  <c:v>34.867013379961861</c:v>
                </c:pt>
                <c:pt idx="39">
                  <c:v>34.875233954227397</c:v>
                </c:pt>
                <c:pt idx="40">
                  <c:v>34.875535263440192</c:v>
                </c:pt>
                <c:pt idx="41">
                  <c:v>35.35761027644093</c:v>
                </c:pt>
                <c:pt idx="42">
                  <c:v>35.403799206434527</c:v>
                </c:pt>
                <c:pt idx="43">
                  <c:v>35.784768213207542</c:v>
                </c:pt>
                <c:pt idx="44">
                  <c:v>35.833832927723648</c:v>
                </c:pt>
                <c:pt idx="45">
                  <c:v>35.515601223399422</c:v>
                </c:pt>
                <c:pt idx="46">
                  <c:v>35.926964650914805</c:v>
                </c:pt>
                <c:pt idx="47">
                  <c:v>35.718574965292902</c:v>
                </c:pt>
                <c:pt idx="48">
                  <c:v>36.2653519321766</c:v>
                </c:pt>
                <c:pt idx="49">
                  <c:v>37.172570299998455</c:v>
                </c:pt>
                <c:pt idx="50">
                  <c:v>37.681934880426219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CA5-8D8D-91270F039685}"/>
            </c:ext>
          </c:extLst>
        </c:ser>
        <c:ser>
          <c:idx val="1"/>
          <c:order val="1"/>
          <c:tx>
            <c:strRef>
              <c:f>'1_UK stats motorcycles'!$C$259</c:f>
              <c:strCache>
                <c:ptCount val="1"/>
                <c:pt idx="0">
                  <c:v>total diesel mpg (UK Gallon)</c:v>
                </c:pt>
              </c:strCache>
            </c:strRef>
          </c:tx>
          <c:marker>
            <c:symbol val="none"/>
          </c:marker>
          <c:cat>
            <c:numRef>
              <c:f>'1_UK stats motorcycles'!$D$250:$BB$250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cat>
          <c:val>
            <c:numRef>
              <c:f>'1_UK stats motorcycles'!$D$259:$BB$259</c:f>
              <c:numCache>
                <c:formatCode>0.00</c:formatCode>
                <c:ptCount val="51"/>
                <c:pt idx="0">
                  <c:v>14.08396414811236</c:v>
                </c:pt>
                <c:pt idx="1">
                  <c:v>14.083964148112358</c:v>
                </c:pt>
                <c:pt idx="2">
                  <c:v>14.08396414811236</c:v>
                </c:pt>
                <c:pt idx="3">
                  <c:v>14.083964148112358</c:v>
                </c:pt>
                <c:pt idx="4">
                  <c:v>14.083964148112358</c:v>
                </c:pt>
                <c:pt idx="5">
                  <c:v>14.083964148112358</c:v>
                </c:pt>
                <c:pt idx="6">
                  <c:v>14.083964148112358</c:v>
                </c:pt>
                <c:pt idx="7">
                  <c:v>14.083964148112358</c:v>
                </c:pt>
                <c:pt idx="8">
                  <c:v>14.083964148112358</c:v>
                </c:pt>
                <c:pt idx="9">
                  <c:v>14.083964148112356</c:v>
                </c:pt>
                <c:pt idx="10">
                  <c:v>14.040688274771389</c:v>
                </c:pt>
                <c:pt idx="11">
                  <c:v>14.090894460790137</c:v>
                </c:pt>
                <c:pt idx="12">
                  <c:v>14.270689266155694</c:v>
                </c:pt>
                <c:pt idx="13">
                  <c:v>13.97672326877229</c:v>
                </c:pt>
                <c:pt idx="14">
                  <c:v>14.002827317836603</c:v>
                </c:pt>
                <c:pt idx="15">
                  <c:v>14.027600565388843</c:v>
                </c:pt>
                <c:pt idx="16">
                  <c:v>14.088535668596862</c:v>
                </c:pt>
                <c:pt idx="17">
                  <c:v>13.756623150076093</c:v>
                </c:pt>
                <c:pt idx="18">
                  <c:v>13.824085721611151</c:v>
                </c:pt>
                <c:pt idx="19">
                  <c:v>13.472277654256533</c:v>
                </c:pt>
                <c:pt idx="20">
                  <c:v>14.178264349764222</c:v>
                </c:pt>
                <c:pt idx="21">
                  <c:v>14.719116215564542</c:v>
                </c:pt>
                <c:pt idx="22">
                  <c:v>14.236260731169866</c:v>
                </c:pt>
                <c:pt idx="23">
                  <c:v>13.606290184786431</c:v>
                </c:pt>
                <c:pt idx="24">
                  <c:v>13.180694089133224</c:v>
                </c:pt>
                <c:pt idx="25">
                  <c:v>12.795591242718627</c:v>
                </c:pt>
                <c:pt idx="26">
                  <c:v>12.099123418390183</c:v>
                </c:pt>
                <c:pt idx="27">
                  <c:v>12.971706167798938</c:v>
                </c:pt>
                <c:pt idx="28">
                  <c:v>13.301278610127593</c:v>
                </c:pt>
                <c:pt idx="29">
                  <c:v>14.849163171746842</c:v>
                </c:pt>
                <c:pt idx="30">
                  <c:v>16.323825994004149</c:v>
                </c:pt>
                <c:pt idx="31">
                  <c:v>17.375376804094735</c:v>
                </c:pt>
                <c:pt idx="32">
                  <c:v>18.083774166766503</c:v>
                </c:pt>
                <c:pt idx="33">
                  <c:v>19.076994288343791</c:v>
                </c:pt>
                <c:pt idx="34">
                  <c:v>20.508187516144194</c:v>
                </c:pt>
                <c:pt idx="35">
                  <c:v>22.13710611278163</c:v>
                </c:pt>
                <c:pt idx="36">
                  <c:v>22.628147118537179</c:v>
                </c:pt>
                <c:pt idx="37">
                  <c:v>23.469090852951364</c:v>
                </c:pt>
                <c:pt idx="38">
                  <c:v>24.471706391018841</c:v>
                </c:pt>
                <c:pt idx="39">
                  <c:v>25.4752122844037</c:v>
                </c:pt>
                <c:pt idx="40">
                  <c:v>26.087623859280075</c:v>
                </c:pt>
                <c:pt idx="41">
                  <c:v>26.922742927302185</c:v>
                </c:pt>
                <c:pt idx="42">
                  <c:v>27.526658437450191</c:v>
                </c:pt>
                <c:pt idx="43">
                  <c:v>28.268376106937151</c:v>
                </c:pt>
                <c:pt idx="44">
                  <c:v>29.058440572577794</c:v>
                </c:pt>
                <c:pt idx="45">
                  <c:v>29.380224099671487</c:v>
                </c:pt>
                <c:pt idx="46">
                  <c:v>30.290051688790715</c:v>
                </c:pt>
                <c:pt idx="47">
                  <c:v>30.744246502340925</c:v>
                </c:pt>
                <c:pt idx="48">
                  <c:v>32.496360333741215</c:v>
                </c:pt>
                <c:pt idx="49">
                  <c:v>33.557306003492151</c:v>
                </c:pt>
                <c:pt idx="50">
                  <c:v>33.78054063110973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9-4CA5-8D8D-91270F039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9440"/>
        <c:axId val="517150976"/>
      </c:lineChart>
      <c:catAx>
        <c:axId val="5171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15097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1715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mpg fuel economy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171494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tmp"/><Relationship Id="rId4" Type="http://schemas.openxmlformats.org/officeDocument/2006/relationships/image" Target="../media/image2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image" Target="../media/image5.tmp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image" Target="../media/image4.tmp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image" Target="../media/image3.tmp"/><Relationship Id="rId5" Type="http://schemas.openxmlformats.org/officeDocument/2006/relationships/chart" Target="../charts/chart7.xml"/><Relationship Id="rId15" Type="http://schemas.openxmlformats.org/officeDocument/2006/relationships/image" Target="../media/image7.tmp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image" Target="../media/image6.t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tmp"/><Relationship Id="rId1" Type="http://schemas.openxmlformats.org/officeDocument/2006/relationships/image" Target="../media/image8.tmp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tmp"/><Relationship Id="rId3" Type="http://schemas.openxmlformats.org/officeDocument/2006/relationships/image" Target="../media/image12.tmp"/><Relationship Id="rId7" Type="http://schemas.openxmlformats.org/officeDocument/2006/relationships/image" Target="../media/image16.tmp"/><Relationship Id="rId2" Type="http://schemas.openxmlformats.org/officeDocument/2006/relationships/image" Target="../media/image11.tmp"/><Relationship Id="rId1" Type="http://schemas.openxmlformats.org/officeDocument/2006/relationships/image" Target="../media/image10.tmp"/><Relationship Id="rId6" Type="http://schemas.openxmlformats.org/officeDocument/2006/relationships/image" Target="../media/image15.tmp"/><Relationship Id="rId5" Type="http://schemas.openxmlformats.org/officeDocument/2006/relationships/image" Target="../media/image14.tmp"/><Relationship Id="rId4" Type="http://schemas.openxmlformats.org/officeDocument/2006/relationships/image" Target="../media/image1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75</xdr:row>
      <xdr:rowOff>142875</xdr:rowOff>
    </xdr:from>
    <xdr:to>
      <xdr:col>2</xdr:col>
      <xdr:colOff>672146</xdr:colOff>
      <xdr:row>100</xdr:row>
      <xdr:rowOff>57151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6532225"/>
          <a:ext cx="3135946" cy="4518026"/>
        </a:xfrm>
        <a:prstGeom prst="rect">
          <a:avLst/>
        </a:prstGeom>
      </xdr:spPr>
    </xdr:pic>
    <xdr:clientData/>
  </xdr:twoCellAnchor>
  <xdr:twoCellAnchor>
    <xdr:from>
      <xdr:col>5</xdr:col>
      <xdr:colOff>88900</xdr:colOff>
      <xdr:row>61</xdr:row>
      <xdr:rowOff>158750</xdr:rowOff>
    </xdr:from>
    <xdr:to>
      <xdr:col>17</xdr:col>
      <xdr:colOff>571500</xdr:colOff>
      <xdr:row>82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239889</xdr:colOff>
      <xdr:row>0</xdr:row>
      <xdr:rowOff>127000</xdr:rowOff>
    </xdr:from>
    <xdr:to>
      <xdr:col>10</xdr:col>
      <xdr:colOff>162279</xdr:colOff>
      <xdr:row>23</xdr:row>
      <xdr:rowOff>28221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204611</xdr:colOff>
      <xdr:row>8</xdr:row>
      <xdr:rowOff>84667</xdr:rowOff>
    </xdr:from>
    <xdr:to>
      <xdr:col>22</xdr:col>
      <xdr:colOff>226796</xdr:colOff>
      <xdr:row>13</xdr:row>
      <xdr:rowOff>81892</xdr:rowOff>
    </xdr:to>
    <xdr:pic>
      <xdr:nvPicPr>
        <xdr:cNvPr id="6" name="Picture 5" descr="Screen Clippi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500" y="1552223"/>
          <a:ext cx="6089963" cy="914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540544</xdr:colOff>
      <xdr:row>52</xdr:row>
      <xdr:rowOff>169069</xdr:rowOff>
    </xdr:from>
    <xdr:to>
      <xdr:col>39</xdr:col>
      <xdr:colOff>378619</xdr:colOff>
      <xdr:row>67</xdr:row>
      <xdr:rowOff>16669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52</xdr:row>
      <xdr:rowOff>142875</xdr:rowOff>
    </xdr:from>
    <xdr:to>
      <xdr:col>19</xdr:col>
      <xdr:colOff>352425</xdr:colOff>
      <xdr:row>67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19048</xdr:colOff>
      <xdr:row>66</xdr:row>
      <xdr:rowOff>180975</xdr:rowOff>
    </xdr:from>
    <xdr:to>
      <xdr:col>29</xdr:col>
      <xdr:colOff>600075</xdr:colOff>
      <xdr:row>92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488156</xdr:colOff>
      <xdr:row>53</xdr:row>
      <xdr:rowOff>121444</xdr:rowOff>
    </xdr:from>
    <xdr:to>
      <xdr:col>29</xdr:col>
      <xdr:colOff>116681</xdr:colOff>
      <xdr:row>69</xdr:row>
      <xdr:rowOff>45244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90487</xdr:colOff>
      <xdr:row>75</xdr:row>
      <xdr:rowOff>166688</xdr:rowOff>
    </xdr:from>
    <xdr:to>
      <xdr:col>19</xdr:col>
      <xdr:colOff>204787</xdr:colOff>
      <xdr:row>89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2609850</xdr:colOff>
      <xdr:row>75</xdr:row>
      <xdr:rowOff>164306</xdr:rowOff>
    </xdr:from>
    <xdr:to>
      <xdr:col>10</xdr:col>
      <xdr:colOff>238125</xdr:colOff>
      <xdr:row>90</xdr:row>
      <xdr:rowOff>50006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178594</xdr:rowOff>
    </xdr:from>
    <xdr:to>
      <xdr:col>2</xdr:col>
      <xdr:colOff>2305050</xdr:colOff>
      <xdr:row>90</xdr:row>
      <xdr:rowOff>64294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176213</xdr:colOff>
      <xdr:row>52</xdr:row>
      <xdr:rowOff>121445</xdr:rowOff>
    </xdr:from>
    <xdr:to>
      <xdr:col>9</xdr:col>
      <xdr:colOff>369095</xdr:colOff>
      <xdr:row>74</xdr:row>
      <xdr:rowOff>71439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52</xdr:row>
      <xdr:rowOff>95250</xdr:rowOff>
    </xdr:from>
    <xdr:to>
      <xdr:col>55</xdr:col>
      <xdr:colOff>590550</xdr:colOff>
      <xdr:row>71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129647</xdr:colOff>
      <xdr:row>0</xdr:row>
      <xdr:rowOff>91281</xdr:rowOff>
    </xdr:from>
    <xdr:to>
      <xdr:col>52</xdr:col>
      <xdr:colOff>70115</xdr:colOff>
      <xdr:row>20</xdr:row>
      <xdr:rowOff>103187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24</xdr:col>
      <xdr:colOff>486077</xdr:colOff>
      <xdr:row>4</xdr:row>
      <xdr:rowOff>10583</xdr:rowOff>
    </xdr:from>
    <xdr:to>
      <xdr:col>32</xdr:col>
      <xdr:colOff>438149</xdr:colOff>
      <xdr:row>22</xdr:row>
      <xdr:rowOff>36144</xdr:rowOff>
    </xdr:to>
    <xdr:pic>
      <xdr:nvPicPr>
        <xdr:cNvPr id="12" name="Picture 11" descr="Screen Clippin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64777" y="747183"/>
          <a:ext cx="5082872" cy="3378361"/>
        </a:xfrm>
        <a:prstGeom prst="rect">
          <a:avLst/>
        </a:prstGeom>
      </xdr:spPr>
    </xdr:pic>
    <xdr:clientData/>
  </xdr:twoCellAnchor>
  <xdr:twoCellAnchor editAs="oneCell">
    <xdr:from>
      <xdr:col>32</xdr:col>
      <xdr:colOff>455083</xdr:colOff>
      <xdr:row>4</xdr:row>
      <xdr:rowOff>16932</xdr:rowOff>
    </xdr:from>
    <xdr:to>
      <xdr:col>39</xdr:col>
      <xdr:colOff>409104</xdr:colOff>
      <xdr:row>19</xdr:row>
      <xdr:rowOff>181399</xdr:rowOff>
    </xdr:to>
    <xdr:pic>
      <xdr:nvPicPr>
        <xdr:cNvPr id="13" name="Picture 12" descr="Screen Clipping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4583" y="753532"/>
          <a:ext cx="4443471" cy="2952117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190499</xdr:colOff>
      <xdr:row>153</xdr:row>
      <xdr:rowOff>96448</xdr:rowOff>
    </xdr:from>
    <xdr:to>
      <xdr:col>8</xdr:col>
      <xdr:colOff>585106</xdr:colOff>
      <xdr:row>165</xdr:row>
      <xdr:rowOff>76915</xdr:rowOff>
    </xdr:to>
    <xdr:pic>
      <xdr:nvPicPr>
        <xdr:cNvPr id="14" name="Picture 13" descr="Screen Clipping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49" y="28309498"/>
          <a:ext cx="3588657" cy="2190267"/>
        </a:xfrm>
        <a:prstGeom prst="rect">
          <a:avLst/>
        </a:prstGeom>
      </xdr:spPr>
    </xdr:pic>
    <xdr:clientData/>
  </xdr:twoCellAnchor>
  <xdr:twoCellAnchor editAs="oneCell">
    <xdr:from>
      <xdr:col>9</xdr:col>
      <xdr:colOff>163286</xdr:colOff>
      <xdr:row>153</xdr:row>
      <xdr:rowOff>176893</xdr:rowOff>
    </xdr:from>
    <xdr:to>
      <xdr:col>17</xdr:col>
      <xdr:colOff>596836</xdr:colOff>
      <xdr:row>165</xdr:row>
      <xdr:rowOff>110528</xdr:rowOff>
    </xdr:to>
    <xdr:pic>
      <xdr:nvPicPr>
        <xdr:cNvPr id="15" name="Picture 14" descr="Screen Clipping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5136" y="28389943"/>
          <a:ext cx="6300950" cy="21434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</xdr:col>
      <xdr:colOff>3170465</xdr:colOff>
      <xdr:row>164</xdr:row>
      <xdr:rowOff>39769</xdr:rowOff>
    </xdr:to>
    <xdr:pic>
      <xdr:nvPicPr>
        <xdr:cNvPr id="16" name="Picture 15" descr="Screen Clippin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81350"/>
          <a:ext cx="4897665" cy="16971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22</xdr:row>
      <xdr:rowOff>165100</xdr:rowOff>
    </xdr:from>
    <xdr:to>
      <xdr:col>14</xdr:col>
      <xdr:colOff>298856</xdr:colOff>
      <xdr:row>41</xdr:row>
      <xdr:rowOff>171630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" y="4216400"/>
          <a:ext cx="7906156" cy="35053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15</xdr:col>
      <xdr:colOff>38509</xdr:colOff>
      <xdr:row>20</xdr:row>
      <xdr:rowOff>152588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84150"/>
          <a:ext cx="7963309" cy="3651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273051</xdr:colOff>
      <xdr:row>5</xdr:row>
      <xdr:rowOff>70806</xdr:rowOff>
    </xdr:from>
    <xdr:to>
      <xdr:col>11</xdr:col>
      <xdr:colOff>603251</xdr:colOff>
      <xdr:row>27</xdr:row>
      <xdr:rowOff>57397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1" y="991556"/>
          <a:ext cx="7035800" cy="4037891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</xdr:colOff>
      <xdr:row>29</xdr:row>
      <xdr:rowOff>57150</xdr:rowOff>
    </xdr:from>
    <xdr:to>
      <xdr:col>13</xdr:col>
      <xdr:colOff>521100</xdr:colOff>
      <xdr:row>42</xdr:row>
      <xdr:rowOff>158878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" y="5397500"/>
          <a:ext cx="7791850" cy="2495678"/>
        </a:xfrm>
        <a:prstGeom prst="rect">
          <a:avLst/>
        </a:prstGeom>
      </xdr:spPr>
    </xdr:pic>
    <xdr:clientData/>
  </xdr:twoCellAnchor>
  <xdr:twoCellAnchor editAs="oneCell">
    <xdr:from>
      <xdr:col>0</xdr:col>
      <xdr:colOff>527050</xdr:colOff>
      <xdr:row>51</xdr:row>
      <xdr:rowOff>19050</xdr:rowOff>
    </xdr:from>
    <xdr:to>
      <xdr:col>9</xdr:col>
      <xdr:colOff>260618</xdr:colOff>
      <xdr:row>76</xdr:row>
      <xdr:rowOff>133592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" y="9410700"/>
          <a:ext cx="5219968" cy="47182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10</xdr:col>
      <xdr:colOff>495639</xdr:colOff>
      <xdr:row>99</xdr:row>
      <xdr:rowOff>82706</xdr:rowOff>
    </xdr:to>
    <xdr:pic>
      <xdr:nvPicPr>
        <xdr:cNvPr id="6" name="Picture 5" descr="Screen Clippi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84450"/>
          <a:ext cx="6591639" cy="3029106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102</xdr:row>
      <xdr:rowOff>31750</xdr:rowOff>
    </xdr:from>
    <xdr:to>
      <xdr:col>7</xdr:col>
      <xdr:colOff>400276</xdr:colOff>
      <xdr:row>108</xdr:row>
      <xdr:rowOff>171514</xdr:rowOff>
    </xdr:to>
    <xdr:pic>
      <xdr:nvPicPr>
        <xdr:cNvPr id="7" name="Picture 6" descr="Screen Clippi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8815050"/>
          <a:ext cx="4400776" cy="1244664"/>
        </a:xfrm>
        <a:prstGeom prst="rect">
          <a:avLst/>
        </a:prstGeom>
      </xdr:spPr>
    </xdr:pic>
    <xdr:clientData/>
  </xdr:twoCellAnchor>
  <xdr:twoCellAnchor editAs="oneCell">
    <xdr:from>
      <xdr:col>0</xdr:col>
      <xdr:colOff>565150</xdr:colOff>
      <xdr:row>136</xdr:row>
      <xdr:rowOff>177800</xdr:rowOff>
    </xdr:from>
    <xdr:to>
      <xdr:col>11</xdr:col>
      <xdr:colOff>444838</xdr:colOff>
      <xdr:row>146</xdr:row>
      <xdr:rowOff>152493</xdr:rowOff>
    </xdr:to>
    <xdr:pic>
      <xdr:nvPicPr>
        <xdr:cNvPr id="8" name="Picture 7" descr="Screen Clipping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150" y="25222200"/>
          <a:ext cx="6585288" cy="18161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12</xdr:col>
      <xdr:colOff>44797</xdr:colOff>
      <xdr:row>134</xdr:row>
      <xdr:rowOff>89047</xdr:rowOff>
    </xdr:to>
    <xdr:pic>
      <xdr:nvPicPr>
        <xdr:cNvPr id="9" name="Picture 8" descr="Screen Clipping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1913850"/>
          <a:ext cx="6750397" cy="28512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6</xdr:col>
      <xdr:colOff>89357</xdr:colOff>
      <xdr:row>178</xdr:row>
      <xdr:rowOff>80787</xdr:rowOff>
    </xdr:to>
    <xdr:pic>
      <xdr:nvPicPr>
        <xdr:cNvPr id="10" name="Picture 9" descr="Screen Clipping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8359100"/>
          <a:ext cx="3137357" cy="45003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HA/GHA%20FU%20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Data/Machines%20-%20Data/Charcoal%20stoves/Charcoal%20stov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2"/>
      <sheetName val="FiguresSA_-do_not_print22"/>
      <sheetName val="TABLE2cont__8"/>
      <sheetName val="FiguresSA_-do_not_print8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1"/>
      <sheetName val="FiguresSA_-do_not_print11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  <sheetName val="TABLE2cont__16"/>
      <sheetName val="FiguresSA_-do_not_print16"/>
      <sheetName val="TABLE2cont__17"/>
      <sheetName val="FiguresSA_-do_not_print17"/>
      <sheetName val="TABLE2cont__18"/>
      <sheetName val="FiguresSA_-do_not_print18"/>
      <sheetName val="TABLE2cont__19"/>
      <sheetName val="FiguresSA_-do_not_print19"/>
      <sheetName val="TABLE2cont__21"/>
      <sheetName val="FiguresSA_-do_not_print21"/>
      <sheetName val="TABLE2cont__20"/>
      <sheetName val="FiguresSA_-do_not_print20"/>
      <sheetName val="TABLE2cont__23"/>
      <sheetName val="FiguresSA_-do_not_print23"/>
    </sheetNames>
    <sheetDataSet>
      <sheetData sheetId="0" refreshError="1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 refreshError="1"/>
      <sheetData sheetId="10" refreshError="1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 Allocations"/>
      <sheetName val="FU etas"/>
      <sheetName val="FU Allocations (2017)"/>
      <sheetName val="Allocations+"/>
      <sheetName val="etas+"/>
      <sheetName val="EL - Light"/>
      <sheetName val="ISDE - MD"/>
      <sheetName val="ESP - 2.a-LTH-MTH1"/>
      <sheetName val="ESP - 2.b-MTH2-HTH"/>
      <sheetName val="ESP - 3. Mecanical drive"/>
      <sheetName val="GHUsefulWorkEfficienciesMatrix"/>
      <sheetName val="PB Efficiencies"/>
      <sheetName val="phi_heat"/>
      <sheetName val="Stove efficiencies"/>
      <sheetName val="Fan efficiencies"/>
      <sheetName val="Electric lighting efficiencies"/>
      <sheetName val="TV lighting efficiencies"/>
      <sheetName val="Domestic refrigeration"/>
      <sheetName val="Domestic electricity allocation"/>
      <sheetName val="Non-spec. ind. elec. alloc."/>
      <sheetName val="FixedGHIndustryElectricity"/>
      <sheetName val="GHPri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0.70333299999999999</v>
          </cell>
        </row>
      </sheetData>
      <sheetData sheetId="12">
        <row r="6">
          <cell r="C6">
            <v>0.13300399011970354</v>
          </cell>
        </row>
        <row r="8">
          <cell r="C8">
            <v>0.20099155835454907</v>
          </cell>
        </row>
        <row r="9">
          <cell r="C9">
            <v>0.36986156609954557</v>
          </cell>
        </row>
        <row r="10">
          <cell r="C10">
            <v>0.65853518868464755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13">
        <row r="5">
          <cell r="B5">
            <v>0.14000000000000001</v>
          </cell>
        </row>
      </sheetData>
      <sheetData sheetId="14"/>
      <sheetData sheetId="15"/>
      <sheetData sheetId="16"/>
      <sheetData sheetId="17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_ETA"/>
      <sheetName val="Calcs"/>
      <sheetName val="Boafo-Mensah_2013"/>
      <sheetName val="Hyman_1986"/>
      <sheetName val="Zhang_2013"/>
      <sheetName val="Coffey_2017"/>
      <sheetName val="Adeyemi_2017"/>
      <sheetName val="Afrane_2012"/>
      <sheetName val="Edwards_2004"/>
      <sheetName val="FAO_2017"/>
      <sheetName val="CleanCookingCatalog_2021"/>
      <sheetName val="Barnes_199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B6">
            <v>0.18</v>
          </cell>
        </row>
      </sheetData>
      <sheetData sheetId="9" refreshError="1"/>
      <sheetData sheetId="10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 (probs)"/>
      <sheetName val="t13_09"/>
      <sheetName val="t13_08"/>
      <sheetName val="t13_07"/>
      <sheetName val="t13_06"/>
      <sheetName val="t14_time series"/>
      <sheetName val="c14Pies"/>
      <sheetName val="t42 final"/>
      <sheetName val="revised Urban_Rural data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20"/>
      <sheetName val="t14_time_series20"/>
      <sheetName val="t42_final20"/>
      <sheetName val="revised_Urban_Rural_data20"/>
      <sheetName val="t13_09_(probs)2"/>
      <sheetName val="t14_time_series2"/>
      <sheetName val="t42_final2"/>
      <sheetName val="revised_Urban_Rural_data2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  <sheetName val="t13_09_(probs)15"/>
      <sheetName val="t14_time_series15"/>
      <sheetName val="t42_final15"/>
      <sheetName val="revised_Urban_Rural_data15"/>
      <sheetName val="t13_09_(probs)16"/>
      <sheetName val="t14_time_series16"/>
      <sheetName val="t42_final16"/>
      <sheetName val="revised_Urban_Rural_data16"/>
      <sheetName val="t13_09_(probs)17"/>
      <sheetName val="t14_time_series17"/>
      <sheetName val="t42_final17"/>
      <sheetName val="revised_Urban_Rural_data17"/>
      <sheetName val="t13_09_(probs)19"/>
      <sheetName val="t14_time_series19"/>
      <sheetName val="t42_final19"/>
      <sheetName val="revised_Urban_Rural_data19"/>
      <sheetName val="t13_09_(probs)18"/>
      <sheetName val="t14_time_series18"/>
      <sheetName val="t42_final18"/>
      <sheetName val="revised_Urban_Rural_data18"/>
      <sheetName val="t13_09_(probs)21"/>
      <sheetName val="t14_time_series21"/>
      <sheetName val="t42_final21"/>
      <sheetName val="revised_Urban_Rural_data21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 refreshError="1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www.gov.uk/government/organisations/department-for-transport/series/road-traffic-statistic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tna.europarchive.org/20110503185748/http:/www.dft.gov.uk/excel/173025/221412/221522/222944/rfs2009section1.xls" TargetMode="External"/><Relationship Id="rId1" Type="http://schemas.openxmlformats.org/officeDocument/2006/relationships/hyperlink" Target="https://www.gov.uk/government/publications/energy-consumption-in-the-uk" TargetMode="External"/><Relationship Id="rId6" Type="http://schemas.openxmlformats.org/officeDocument/2006/relationships/hyperlink" Target="https://www.gov.uk/government/statistics/energy-consumption-in-the-uk" TargetMode="External"/><Relationship Id="rId5" Type="http://schemas.openxmlformats.org/officeDocument/2006/relationships/hyperlink" Target="https://www.gov.uk/government/publications/road-traffic-statistics-guidance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gov.uk/government/publications/road-traffic-statistics-minor-road-benchmarking" TargetMode="External"/><Relationship Id="rId9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2"/>
  <sheetViews>
    <sheetView topLeftCell="A61" workbookViewId="0">
      <selection activeCell="E70" sqref="E70"/>
    </sheetView>
  </sheetViews>
  <sheetFormatPr defaultRowHeight="14.4"/>
  <cols>
    <col min="1" max="16384" width="8.88671875" style="209"/>
  </cols>
  <sheetData>
    <row r="1" spans="1:1">
      <c r="A1" s="210" t="s">
        <v>300</v>
      </c>
    </row>
    <row r="2" spans="1:1">
      <c r="A2" s="210" t="s">
        <v>301</v>
      </c>
    </row>
    <row r="3" spans="1:1">
      <c r="A3" s="210" t="s">
        <v>302</v>
      </c>
    </row>
    <row r="4" spans="1:1">
      <c r="A4" s="210" t="s">
        <v>303</v>
      </c>
    </row>
    <row r="5" spans="1:1">
      <c r="A5" s="210" t="s">
        <v>304</v>
      </c>
    </row>
    <row r="6" spans="1:1">
      <c r="A6" s="210" t="s">
        <v>305</v>
      </c>
    </row>
    <row r="7" spans="1:1">
      <c r="A7" s="210" t="s">
        <v>306</v>
      </c>
    </row>
    <row r="8" spans="1:1">
      <c r="A8" s="210" t="s">
        <v>309</v>
      </c>
    </row>
    <row r="9" spans="1:1">
      <c r="A9" s="210" t="s">
        <v>307</v>
      </c>
    </row>
    <row r="10" spans="1:1">
      <c r="A10" s="210" t="s">
        <v>308</v>
      </c>
    </row>
    <row r="11" spans="1:1">
      <c r="A11" s="211"/>
    </row>
    <row r="12" spans="1:1">
      <c r="A12" s="212" t="s">
        <v>312</v>
      </c>
    </row>
    <row r="13" spans="1:1">
      <c r="A13" s="210" t="s">
        <v>313</v>
      </c>
    </row>
    <row r="14" spans="1:1">
      <c r="A14" s="210" t="s">
        <v>314</v>
      </c>
    </row>
    <row r="15" spans="1:1">
      <c r="A15" s="210" t="s">
        <v>315</v>
      </c>
    </row>
    <row r="16" spans="1:1">
      <c r="A16" s="210" t="s">
        <v>316</v>
      </c>
    </row>
    <row r="17" spans="1:1">
      <c r="A17" s="210" t="s">
        <v>317</v>
      </c>
    </row>
    <row r="18" spans="1:1">
      <c r="A18" s="210" t="s">
        <v>318</v>
      </c>
    </row>
    <row r="19" spans="1:1">
      <c r="A19" s="210" t="s">
        <v>319</v>
      </c>
    </row>
    <row r="20" spans="1:1">
      <c r="A20" s="210" t="s">
        <v>307</v>
      </c>
    </row>
    <row r="21" spans="1:1">
      <c r="A21" s="210" t="s">
        <v>308</v>
      </c>
    </row>
    <row r="22" spans="1:1">
      <c r="A22" s="211"/>
    </row>
    <row r="23" spans="1:1">
      <c r="A23" s="210" t="s">
        <v>323</v>
      </c>
    </row>
    <row r="24" spans="1:1">
      <c r="A24" s="210" t="s">
        <v>324</v>
      </c>
    </row>
    <row r="25" spans="1:1">
      <c r="A25" s="210" t="s">
        <v>325</v>
      </c>
    </row>
    <row r="26" spans="1:1">
      <c r="A26" s="210" t="s">
        <v>326</v>
      </c>
    </row>
    <row r="27" spans="1:1">
      <c r="A27" s="210" t="s">
        <v>327</v>
      </c>
    </row>
    <row r="28" spans="1:1">
      <c r="A28" s="210" t="s">
        <v>328</v>
      </c>
    </row>
    <row r="29" spans="1:1">
      <c r="A29" s="210" t="s">
        <v>329</v>
      </c>
    </row>
    <row r="30" spans="1:1">
      <c r="A30" s="210" t="s">
        <v>330</v>
      </c>
    </row>
    <row r="31" spans="1:1">
      <c r="A31" s="210" t="s">
        <v>332</v>
      </c>
    </row>
    <row r="32" spans="1:1">
      <c r="A32" s="210" t="s">
        <v>331</v>
      </c>
    </row>
    <row r="33" spans="1:1">
      <c r="A33" s="210" t="s">
        <v>308</v>
      </c>
    </row>
    <row r="34" spans="1:1">
      <c r="A34" s="211"/>
    </row>
    <row r="35" spans="1:1">
      <c r="A35" s="210" t="s">
        <v>365</v>
      </c>
    </row>
    <row r="36" spans="1:1">
      <c r="A36" s="210" t="s">
        <v>366</v>
      </c>
    </row>
    <row r="37" spans="1:1">
      <c r="A37" s="210" t="s">
        <v>367</v>
      </c>
    </row>
    <row r="38" spans="1:1">
      <c r="A38" s="210" t="s">
        <v>368</v>
      </c>
    </row>
    <row r="39" spans="1:1">
      <c r="A39" s="210" t="s">
        <v>369</v>
      </c>
    </row>
    <row r="40" spans="1:1">
      <c r="A40" s="210" t="s">
        <v>328</v>
      </c>
    </row>
    <row r="41" spans="1:1">
      <c r="A41" s="210" t="s">
        <v>370</v>
      </c>
    </row>
    <row r="42" spans="1:1">
      <c r="A42" s="210" t="s">
        <v>371</v>
      </c>
    </row>
    <row r="43" spans="1:1">
      <c r="A43" s="210" t="s">
        <v>373</v>
      </c>
    </row>
    <row r="44" spans="1:1">
      <c r="A44" s="210" t="s">
        <v>372</v>
      </c>
    </row>
    <row r="45" spans="1:1">
      <c r="A45" s="210" t="s">
        <v>308</v>
      </c>
    </row>
    <row r="46" spans="1:1">
      <c r="A46" s="211"/>
    </row>
    <row r="47" spans="1:1">
      <c r="A47" s="210" t="s">
        <v>374</v>
      </c>
    </row>
    <row r="48" spans="1:1">
      <c r="A48" s="210" t="s">
        <v>375</v>
      </c>
    </row>
    <row r="49" spans="1:1">
      <c r="A49" s="210" t="s">
        <v>376</v>
      </c>
    </row>
    <row r="50" spans="1:1">
      <c r="A50" s="210" t="s">
        <v>377</v>
      </c>
    </row>
    <row r="51" spans="1:1">
      <c r="A51" s="210" t="s">
        <v>378</v>
      </c>
    </row>
    <row r="52" spans="1:1">
      <c r="A52" s="210" t="s">
        <v>379</v>
      </c>
    </row>
    <row r="53" spans="1:1">
      <c r="A53" s="210" t="s">
        <v>380</v>
      </c>
    </row>
    <row r="54" spans="1:1">
      <c r="A54" s="210" t="s">
        <v>381</v>
      </c>
    </row>
    <row r="55" spans="1:1">
      <c r="A55" s="210" t="s">
        <v>382</v>
      </c>
    </row>
    <row r="56" spans="1:1">
      <c r="A56" s="210" t="s">
        <v>372</v>
      </c>
    </row>
    <row r="57" spans="1:1">
      <c r="A57" s="210" t="s">
        <v>308</v>
      </c>
    </row>
    <row r="58" spans="1:1">
      <c r="A58" s="211"/>
    </row>
    <row r="59" spans="1:1">
      <c r="A59" s="213" t="s">
        <v>407</v>
      </c>
    </row>
    <row r="60" spans="1:1">
      <c r="A60" s="211" t="s">
        <v>385</v>
      </c>
    </row>
    <row r="61" spans="1:1">
      <c r="A61" s="211" t="s">
        <v>384</v>
      </c>
    </row>
    <row r="62" spans="1:1">
      <c r="A62" s="211" t="s">
        <v>386</v>
      </c>
    </row>
    <row r="63" spans="1:1">
      <c r="A63" s="211" t="s">
        <v>383</v>
      </c>
    </row>
    <row r="64" spans="1:1">
      <c r="A64" s="211" t="s">
        <v>387</v>
      </c>
    </row>
    <row r="65" spans="1:1">
      <c r="A65" s="211" t="s">
        <v>308</v>
      </c>
    </row>
    <row r="66" spans="1:1">
      <c r="A66" s="211"/>
    </row>
    <row r="67" spans="1:1">
      <c r="A67" s="213" t="s">
        <v>405</v>
      </c>
    </row>
    <row r="68" spans="1:1">
      <c r="A68" s="211" t="s">
        <v>390</v>
      </c>
    </row>
    <row r="69" spans="1:1">
      <c r="A69" s="211" t="s">
        <v>389</v>
      </c>
    </row>
    <row r="70" spans="1:1">
      <c r="A70" s="211" t="s">
        <v>391</v>
      </c>
    </row>
    <row r="71" spans="1:1">
      <c r="A71" s="211" t="s">
        <v>388</v>
      </c>
    </row>
    <row r="72" spans="1:1">
      <c r="A72" s="211" t="s">
        <v>387</v>
      </c>
    </row>
    <row r="73" spans="1:1">
      <c r="A73" s="211" t="s">
        <v>308</v>
      </c>
    </row>
    <row r="74" spans="1:1">
      <c r="A74" s="211"/>
    </row>
    <row r="75" spans="1:1">
      <c r="A75" s="213" t="s">
        <v>406</v>
      </c>
    </row>
    <row r="76" spans="1:1">
      <c r="A76" s="211" t="s">
        <v>392</v>
      </c>
    </row>
    <row r="77" spans="1:1">
      <c r="A77" s="211" t="s">
        <v>393</v>
      </c>
    </row>
    <row r="78" spans="1:1">
      <c r="A78" s="211" t="s">
        <v>394</v>
      </c>
    </row>
    <row r="79" spans="1:1">
      <c r="A79" s="211" t="s">
        <v>395</v>
      </c>
    </row>
    <row r="80" spans="1:1">
      <c r="A80" s="211" t="s">
        <v>396</v>
      </c>
    </row>
    <row r="81" spans="1:1">
      <c r="A81" s="211" t="s">
        <v>397</v>
      </c>
    </row>
    <row r="82" spans="1:1">
      <c r="A82" s="211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0"/>
  <sheetViews>
    <sheetView tabSelected="1" zoomScale="80" zoomScaleNormal="80" workbookViewId="0">
      <selection activeCell="F5" sqref="F5"/>
    </sheetView>
  </sheetViews>
  <sheetFormatPr defaultRowHeight="14.4"/>
  <cols>
    <col min="2" max="2" width="11.6640625" bestFit="1" customWidth="1"/>
    <col min="3" max="3" width="10.109375" bestFit="1" customWidth="1"/>
    <col min="4" max="4" width="8.109375" bestFit="1" customWidth="1"/>
    <col min="5" max="5" width="34.109375" bestFit="1" customWidth="1"/>
    <col min="6" max="6" width="12.5546875" customWidth="1"/>
    <col min="7" max="7" width="11.44140625" customWidth="1"/>
  </cols>
  <sheetData>
    <row r="1" spans="1:68" s="203" customFormat="1">
      <c r="A1" s="203" t="s">
        <v>356</v>
      </c>
      <c r="B1" s="203" t="s">
        <v>357</v>
      </c>
      <c r="C1" s="203" t="s">
        <v>358</v>
      </c>
      <c r="D1" s="203" t="s">
        <v>359</v>
      </c>
      <c r="E1" s="203" t="s">
        <v>360</v>
      </c>
      <c r="F1" s="203" t="s">
        <v>361</v>
      </c>
      <c r="G1" s="203" t="s">
        <v>362</v>
      </c>
      <c r="H1" s="203">
        <v>1960</v>
      </c>
      <c r="I1" s="203">
        <v>1961</v>
      </c>
      <c r="J1" s="203">
        <v>1962</v>
      </c>
      <c r="K1" s="203">
        <v>1963</v>
      </c>
      <c r="L1" s="203">
        <v>1964</v>
      </c>
      <c r="M1" s="203">
        <v>1965</v>
      </c>
      <c r="N1" s="203">
        <v>1966</v>
      </c>
      <c r="O1" s="203">
        <v>1967</v>
      </c>
      <c r="P1" s="203">
        <v>1968</v>
      </c>
      <c r="Q1" s="203">
        <v>1969</v>
      </c>
      <c r="R1" s="203">
        <v>1970</v>
      </c>
      <c r="S1" s="203">
        <v>1971</v>
      </c>
      <c r="T1" s="203">
        <v>1972</v>
      </c>
      <c r="U1" s="203">
        <v>1973</v>
      </c>
      <c r="V1" s="203">
        <v>1974</v>
      </c>
      <c r="W1" s="203">
        <v>1975</v>
      </c>
      <c r="X1" s="203">
        <v>1976</v>
      </c>
      <c r="Y1" s="203">
        <v>1977</v>
      </c>
      <c r="Z1" s="203">
        <v>1978</v>
      </c>
      <c r="AA1" s="203">
        <v>1979</v>
      </c>
      <c r="AB1" s="203">
        <v>1980</v>
      </c>
      <c r="AC1" s="203">
        <v>1981</v>
      </c>
      <c r="AD1" s="203">
        <v>1982</v>
      </c>
      <c r="AE1" s="203">
        <v>1983</v>
      </c>
      <c r="AF1" s="203">
        <v>1984</v>
      </c>
      <c r="AG1" s="203">
        <v>1985</v>
      </c>
      <c r="AH1" s="203">
        <v>1986</v>
      </c>
      <c r="AI1" s="203">
        <v>1987</v>
      </c>
      <c r="AJ1" s="203">
        <v>1988</v>
      </c>
      <c r="AK1" s="203">
        <v>1989</v>
      </c>
      <c r="AL1" s="203">
        <v>1990</v>
      </c>
      <c r="AM1" s="203">
        <v>1991</v>
      </c>
      <c r="AN1" s="203">
        <v>1992</v>
      </c>
      <c r="AO1" s="203">
        <v>1993</v>
      </c>
      <c r="AP1" s="203">
        <v>1994</v>
      </c>
      <c r="AQ1" s="203">
        <v>1995</v>
      </c>
      <c r="AR1" s="203">
        <v>1996</v>
      </c>
      <c r="AS1" s="203">
        <v>1997</v>
      </c>
      <c r="AT1" s="203">
        <v>1998</v>
      </c>
      <c r="AU1" s="203">
        <v>1999</v>
      </c>
      <c r="AV1" s="203">
        <v>2000</v>
      </c>
      <c r="AW1" s="203">
        <v>2001</v>
      </c>
      <c r="AX1" s="203">
        <v>2002</v>
      </c>
      <c r="AY1" s="203">
        <v>2003</v>
      </c>
      <c r="AZ1" s="203">
        <v>2004</v>
      </c>
      <c r="BA1" s="203">
        <v>2005</v>
      </c>
      <c r="BB1" s="203">
        <v>2006</v>
      </c>
      <c r="BC1" s="203">
        <v>2007</v>
      </c>
      <c r="BD1" s="203">
        <v>2008</v>
      </c>
      <c r="BE1" s="203">
        <v>2009</v>
      </c>
      <c r="BF1" s="203">
        <v>2010</v>
      </c>
      <c r="BG1" s="203">
        <v>2011</v>
      </c>
      <c r="BH1" s="203">
        <v>2012</v>
      </c>
      <c r="BI1" s="203">
        <v>2013</v>
      </c>
      <c r="BJ1" s="203">
        <v>2014</v>
      </c>
      <c r="BK1" s="203">
        <v>2015</v>
      </c>
      <c r="BL1" s="203">
        <v>2016</v>
      </c>
      <c r="BM1" s="203">
        <v>2017</v>
      </c>
      <c r="BN1" s="203">
        <v>2018</v>
      </c>
      <c r="BO1" s="203">
        <v>2019</v>
      </c>
      <c r="BP1" s="203">
        <v>2020</v>
      </c>
    </row>
    <row r="2" spans="1:68" s="193" customFormat="1">
      <c r="A2" s="193" t="s">
        <v>404</v>
      </c>
      <c r="B2" s="193" t="s">
        <v>402</v>
      </c>
      <c r="C2" s="193" t="s">
        <v>401</v>
      </c>
      <c r="D2" s="193" t="s">
        <v>400</v>
      </c>
      <c r="E2" s="193" t="s">
        <v>398</v>
      </c>
      <c r="F2" s="193" t="s">
        <v>403</v>
      </c>
      <c r="G2" s="193" t="s">
        <v>399</v>
      </c>
      <c r="H2" s="204">
        <f>'1_Motorcycles calcs'!D44</f>
        <v>0.18665492412592896</v>
      </c>
      <c r="I2" s="204">
        <f>'1_Motorcycles calcs'!E44</f>
        <v>0.18611889755359676</v>
      </c>
      <c r="J2" s="204">
        <f>'1_Motorcycles calcs'!F44</f>
        <v>0.18558295268108566</v>
      </c>
      <c r="K2" s="204">
        <f>'1_Motorcycles calcs'!G44</f>
        <v>0.18504710172080452</v>
      </c>
      <c r="L2" s="204">
        <f>'1_Motorcycles calcs'!H44</f>
        <v>0.18451135681949415</v>
      </c>
      <c r="M2" s="204">
        <f>'1_Motorcycles calcs'!I44</f>
        <v>0.18397573005773235</v>
      </c>
      <c r="N2" s="204">
        <f>'1_Motorcycles calcs'!J44</f>
        <v>0.18344023344945171</v>
      </c>
      <c r="O2" s="204">
        <f>'1_Motorcycles calcs'!K44</f>
        <v>0.18290487894146953</v>
      </c>
      <c r="P2" s="204">
        <f>'1_Motorcycles calcs'!L44</f>
        <v>0.18236967841303067</v>
      </c>
      <c r="Q2" s="204">
        <f>'1_Motorcycles calcs'!M44</f>
        <v>0.18183464367536201</v>
      </c>
      <c r="R2" s="204">
        <f>'1_Motorcycles calcs'!N44</f>
        <v>0.18129978647123937</v>
      </c>
      <c r="S2" s="204">
        <f>'1_Motorcycles calcs'!O44</f>
        <v>0.18049288863615712</v>
      </c>
      <c r="T2" s="204">
        <f>'1_Motorcycles calcs'!P44</f>
        <v>0.18360129376744369</v>
      </c>
      <c r="U2" s="204">
        <f>'1_Motorcycles calcs'!Q44</f>
        <v>0.18146750779961088</v>
      </c>
      <c r="V2" s="204">
        <f>'1_Motorcycles calcs'!R44</f>
        <v>0.18225046802505696</v>
      </c>
      <c r="W2" s="204">
        <f>'1_Motorcycles calcs'!S44</f>
        <v>0.18887572417107926</v>
      </c>
      <c r="X2" s="204">
        <f>'1_Motorcycles calcs'!T44</f>
        <v>0.18592144275566425</v>
      </c>
      <c r="Y2" s="204">
        <f>'1_Motorcycles calcs'!U44</f>
        <v>0.18742762603150726</v>
      </c>
      <c r="Z2" s="204">
        <f>'1_Motorcycles calcs'!V44</f>
        <v>0.18371423552564489</v>
      </c>
      <c r="AA2" s="204">
        <f>'1_Motorcycles calcs'!W44</f>
        <v>0.18240493274279992</v>
      </c>
      <c r="AB2" s="204">
        <f>'1_Motorcycles calcs'!X44</f>
        <v>0.18665492412592896</v>
      </c>
      <c r="AC2" s="204">
        <f>'1_Motorcycles calcs'!Y44</f>
        <v>0.19041461147290961</v>
      </c>
      <c r="AD2" s="204">
        <f>'1_Motorcycles calcs'!Z44</f>
        <v>0.19017265862089022</v>
      </c>
      <c r="AE2" s="204">
        <f>'1_Motorcycles calcs'!AA44</f>
        <v>0.19108318505420194</v>
      </c>
      <c r="AF2" s="204">
        <f>'1_Motorcycles calcs'!AB44</f>
        <v>0.190686496094229</v>
      </c>
      <c r="AG2" s="204">
        <f>'1_Motorcycles calcs'!AC44</f>
        <v>0.19390979917264023</v>
      </c>
      <c r="AH2" s="204">
        <f>'1_Motorcycles calcs'!AD44</f>
        <v>0.19367699739094657</v>
      </c>
      <c r="AI2" s="204">
        <f>'1_Motorcycles calcs'!AE44</f>
        <v>0.19796763156429281</v>
      </c>
      <c r="AJ2" s="204">
        <f>'1_Motorcycles calcs'!AF44</f>
        <v>0.19770980111585168</v>
      </c>
      <c r="AK2" s="204">
        <f>'1_Motorcycles calcs'!AG44</f>
        <v>0.20595846221764297</v>
      </c>
      <c r="AL2" s="204">
        <f>'1_Motorcycles calcs'!AH44</f>
        <v>0.2019248560366636</v>
      </c>
      <c r="AM2" s="204">
        <f>'1_Motorcycles calcs'!AI44</f>
        <v>0.20238380894355734</v>
      </c>
      <c r="AN2" s="204">
        <f>'1_Motorcycles calcs'!AJ44</f>
        <v>0.1985468970219684</v>
      </c>
      <c r="AO2" s="204">
        <f>'1_Motorcycles calcs'!AK44</f>
        <v>0.19519616216394195</v>
      </c>
      <c r="AP2" s="204">
        <f>'1_Motorcycles calcs'!AL44</f>
        <v>0.19790237670744265</v>
      </c>
      <c r="AQ2" s="204">
        <f>'1_Motorcycles calcs'!AM44</f>
        <v>0.20036139576837708</v>
      </c>
      <c r="AR2" s="204">
        <f>'1_Motorcycles calcs'!AN44</f>
        <v>0.19614752766391913</v>
      </c>
      <c r="AS2" s="204">
        <f>'1_Motorcycles calcs'!AO44</f>
        <v>0.19766772279828743</v>
      </c>
      <c r="AT2" s="204">
        <f>'1_Motorcycles calcs'!AP44</f>
        <v>0.19892734081012622</v>
      </c>
      <c r="AU2" s="204">
        <f>'1_Motorcycles calcs'!AQ44</f>
        <v>0.19582306624736517</v>
      </c>
      <c r="AV2" s="204">
        <f>'1_Motorcycles calcs'!AR44</f>
        <v>0.19597831936213056</v>
      </c>
      <c r="AW2" s="204">
        <f>'1_Motorcycles calcs'!AS44</f>
        <v>0.20101655565521695</v>
      </c>
      <c r="AX2" s="204">
        <f>'1_Motorcycles calcs'!AT44</f>
        <v>0.19993165534573934</v>
      </c>
      <c r="AY2" s="204">
        <f>'1_Motorcycles calcs'!AU44</f>
        <v>0.20070676228253131</v>
      </c>
      <c r="AZ2" s="204">
        <f>'1_Motorcycles calcs'!AV44</f>
        <v>0.20384357252855412</v>
      </c>
      <c r="BA2" s="204">
        <f>'1_Motorcycles calcs'!AW44</f>
        <v>0.20226964011783963</v>
      </c>
      <c r="BB2" s="204">
        <f>'1_Motorcycles calcs'!AX44</f>
        <v>0.20670167035988402</v>
      </c>
      <c r="BC2" s="204">
        <f>'1_Motorcycles calcs'!AY44</f>
        <v>0.206302070376574</v>
      </c>
      <c r="BD2" s="204">
        <f>'1_Motorcycles calcs'!AZ44</f>
        <v>0.20584992700151258</v>
      </c>
      <c r="BE2" s="204">
        <f>'1_Motorcycles calcs'!BA44</f>
        <v>0.2123186646403854</v>
      </c>
      <c r="BF2" s="204">
        <f>'1_Motorcycles calcs'!BB44</f>
        <v>0.21519119079831345</v>
      </c>
      <c r="BG2" s="204">
        <f>'1_Motorcycles calcs'!BC44</f>
        <v>0.21603531875362669</v>
      </c>
      <c r="BH2" s="204">
        <f>'1_Motorcycles calcs'!BD44</f>
        <v>0.21937852661403714</v>
      </c>
      <c r="BI2" s="204">
        <f>'1_Motorcycles calcs'!BE44</f>
        <v>0.22132049161964004</v>
      </c>
      <c r="BJ2" s="204">
        <f>'1_Motorcycles calcs'!BF44</f>
        <v>0.22211165131317365</v>
      </c>
      <c r="BK2" s="204">
        <f>'1_Motorcycles calcs'!BG44</f>
        <v>0.2210789492039166</v>
      </c>
      <c r="BL2" s="204">
        <f>'1_Motorcycles calcs'!BH44</f>
        <v>0.22369021763190794</v>
      </c>
      <c r="BM2" s="204">
        <f>'1_Motorcycles calcs'!BI44</f>
        <v>0.22319806772416967</v>
      </c>
      <c r="BN2" s="204">
        <f>'1_Motorcycles calcs'!BJ44</f>
        <v>0.2256338324178262</v>
      </c>
      <c r="BO2" s="204">
        <f>'1_Motorcycles calcs'!BK44</f>
        <v>0.22650995937821061</v>
      </c>
      <c r="BP2" s="204">
        <f>'1_Motorcycles calcs'!BL44</f>
        <v>0.22739051447192987</v>
      </c>
    </row>
    <row r="3" spans="1:68" s="193" customFormat="1"/>
    <row r="4" spans="1:68" s="193" customFormat="1"/>
    <row r="5" spans="1:68" s="193" customFormat="1"/>
    <row r="6" spans="1:68" s="193" customFormat="1"/>
    <row r="7" spans="1:68" s="193" customFormat="1"/>
    <row r="8" spans="1:68" s="193" customFormat="1"/>
    <row r="9" spans="1:68" s="193" customFormat="1"/>
    <row r="10" spans="1:68" s="193" customFormat="1"/>
    <row r="11" spans="1:68" s="193" customFormat="1"/>
    <row r="12" spans="1:68" s="193" customFormat="1"/>
    <row r="13" spans="1:68" s="193" customFormat="1"/>
    <row r="14" spans="1:68" s="193" customFormat="1"/>
    <row r="15" spans="1:68" s="193" customFormat="1"/>
    <row r="16" spans="1:68" s="193" customFormat="1"/>
    <row r="17" s="193" customFormat="1"/>
    <row r="18" s="193" customFormat="1"/>
    <row r="19" s="193" customFormat="1"/>
    <row r="20" s="193" customFormat="1"/>
    <row r="21" s="193" customFormat="1"/>
    <row r="22" s="193" customFormat="1"/>
    <row r="23" s="193" customFormat="1"/>
    <row r="24" s="193" customFormat="1"/>
    <row r="25" s="193" customFormat="1"/>
    <row r="26" s="193" customFormat="1"/>
    <row r="27" s="193" customFormat="1"/>
    <row r="28" s="193" customFormat="1"/>
    <row r="29" s="193" customFormat="1"/>
    <row r="30" s="193" customFormat="1"/>
    <row r="31" s="193" customFormat="1"/>
    <row r="32" s="193" customFormat="1"/>
    <row r="33" s="193" customFormat="1"/>
    <row r="34" s="193" customFormat="1"/>
    <row r="35" s="193" customFormat="1"/>
    <row r="36" s="193" customFormat="1"/>
    <row r="37" s="193" customFormat="1"/>
    <row r="38" s="193" customFormat="1"/>
    <row r="39" s="193" customFormat="1"/>
    <row r="40" s="193" customFormat="1"/>
    <row r="41" s="193" customFormat="1"/>
    <row r="42" s="193" customFormat="1"/>
    <row r="43" s="193" customFormat="1"/>
    <row r="44" s="193" customFormat="1"/>
    <row r="45" s="193" customFormat="1"/>
    <row r="46" s="193" customFormat="1"/>
    <row r="47" s="193" customFormat="1"/>
    <row r="48" s="193" customFormat="1"/>
    <row r="49" s="193" customFormat="1"/>
    <row r="50" s="193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3:BL74"/>
  <sheetViews>
    <sheetView topLeftCell="A37" zoomScale="90" zoomScaleNormal="90" workbookViewId="0">
      <selection activeCell="P21" sqref="P21"/>
    </sheetView>
  </sheetViews>
  <sheetFormatPr defaultRowHeight="14.4"/>
  <cols>
    <col min="1" max="1" width="13.5546875" customWidth="1"/>
    <col min="2" max="2" width="26.5546875" bestFit="1" customWidth="1"/>
    <col min="3" max="3" width="14.109375" bestFit="1" customWidth="1"/>
  </cols>
  <sheetData>
    <row r="3" spans="12:14">
      <c r="L3" s="192" t="s">
        <v>333</v>
      </c>
      <c r="M3" s="193" t="s">
        <v>334</v>
      </c>
      <c r="N3" t="s">
        <v>17</v>
      </c>
    </row>
    <row r="4" spans="12:14">
      <c r="L4" s="192" t="s">
        <v>335</v>
      </c>
      <c r="M4" s="193" t="s">
        <v>336</v>
      </c>
      <c r="N4" t="s">
        <v>17</v>
      </c>
    </row>
    <row r="5" spans="12:14">
      <c r="L5" s="189" t="s">
        <v>337</v>
      </c>
      <c r="M5" s="189">
        <v>4</v>
      </c>
      <c r="N5" s="189" t="s">
        <v>17</v>
      </c>
    </row>
    <row r="7" spans="12:14">
      <c r="M7" t="s">
        <v>345</v>
      </c>
    </row>
    <row r="18" spans="2:63">
      <c r="N18" t="s">
        <v>348</v>
      </c>
      <c r="O18" t="s">
        <v>349</v>
      </c>
      <c r="P18" t="s">
        <v>350</v>
      </c>
    </row>
    <row r="19" spans="2:63">
      <c r="M19" t="s">
        <v>347</v>
      </c>
      <c r="N19" s="191">
        <v>0.4</v>
      </c>
      <c r="O19" s="191">
        <v>0.2</v>
      </c>
      <c r="P19">
        <v>0.5</v>
      </c>
    </row>
    <row r="20" spans="2:63">
      <c r="M20" t="s">
        <v>351</v>
      </c>
      <c r="N20" s="191">
        <v>0.35</v>
      </c>
      <c r="O20" s="191">
        <v>0.2</v>
      </c>
      <c r="P20">
        <v>0.4</v>
      </c>
    </row>
    <row r="21" spans="2:63">
      <c r="M21" t="s">
        <v>352</v>
      </c>
      <c r="N21" s="191">
        <v>0.3</v>
      </c>
      <c r="O21" s="191">
        <v>0.2</v>
      </c>
      <c r="P21">
        <v>0.3</v>
      </c>
      <c r="Q21" t="s">
        <v>353</v>
      </c>
    </row>
    <row r="25" spans="2:63">
      <c r="B25" t="s">
        <v>0</v>
      </c>
      <c r="C25" t="s">
        <v>1</v>
      </c>
    </row>
    <row r="26" spans="2:63">
      <c r="B26" s="1" t="s">
        <v>354</v>
      </c>
      <c r="C26" t="s">
        <v>355</v>
      </c>
    </row>
    <row r="28" spans="2:63">
      <c r="B28" s="1" t="s">
        <v>2</v>
      </c>
      <c r="C28" t="s">
        <v>346</v>
      </c>
    </row>
    <row r="29" spans="2:63">
      <c r="C29" s="2"/>
    </row>
    <row r="30" spans="2:63" s="3" customFormat="1">
      <c r="C30" s="4" t="s">
        <v>4</v>
      </c>
      <c r="D30" s="5" t="s">
        <v>5</v>
      </c>
      <c r="E30" s="3">
        <v>0</v>
      </c>
      <c r="F30" s="3">
        <v>10</v>
      </c>
      <c r="G30" s="3">
        <v>20</v>
      </c>
      <c r="H30" s="3">
        <v>30</v>
      </c>
      <c r="I30" s="3">
        <v>40</v>
      </c>
      <c r="J30" s="3">
        <v>50</v>
      </c>
      <c r="K30" s="3">
        <v>60</v>
      </c>
      <c r="L30" s="3">
        <v>70</v>
      </c>
      <c r="M30" s="3">
        <v>80</v>
      </c>
      <c r="N30" s="3">
        <v>90</v>
      </c>
      <c r="O30" s="3">
        <v>100</v>
      </c>
      <c r="P30" s="3">
        <v>110</v>
      </c>
      <c r="Q30" s="3">
        <v>120</v>
      </c>
      <c r="R30" s="3">
        <v>130</v>
      </c>
      <c r="S30" s="3">
        <v>140</v>
      </c>
      <c r="T30" s="3">
        <v>150</v>
      </c>
      <c r="U30" s="3">
        <v>160</v>
      </c>
      <c r="V30" s="3">
        <v>170</v>
      </c>
      <c r="W30" s="3">
        <v>180</v>
      </c>
      <c r="X30" s="3">
        <v>190</v>
      </c>
      <c r="Y30" s="3">
        <v>200</v>
      </c>
      <c r="Z30" s="3">
        <v>210</v>
      </c>
      <c r="AA30" s="3">
        <v>220</v>
      </c>
      <c r="AB30" s="3">
        <v>230</v>
      </c>
      <c r="AC30" s="3">
        <v>240</v>
      </c>
      <c r="AD30" s="3">
        <v>250</v>
      </c>
      <c r="AE30" s="3">
        <v>260</v>
      </c>
      <c r="AF30" s="3">
        <v>270</v>
      </c>
      <c r="AG30" s="3">
        <v>280</v>
      </c>
      <c r="AH30" s="3">
        <v>290</v>
      </c>
      <c r="AI30" s="3">
        <v>300</v>
      </c>
      <c r="AJ30" s="3">
        <v>310</v>
      </c>
      <c r="AK30" s="3">
        <v>320</v>
      </c>
      <c r="AL30" s="3">
        <v>330</v>
      </c>
      <c r="AM30" s="3">
        <v>340</v>
      </c>
      <c r="AN30" s="3">
        <v>350</v>
      </c>
      <c r="AO30" s="3">
        <v>360</v>
      </c>
      <c r="AP30" s="3">
        <v>370</v>
      </c>
      <c r="AQ30" s="3">
        <v>380</v>
      </c>
      <c r="AR30" s="3">
        <v>390</v>
      </c>
      <c r="AS30" s="3">
        <v>400</v>
      </c>
      <c r="AT30" s="3">
        <v>410</v>
      </c>
      <c r="AU30" s="3">
        <v>420</v>
      </c>
      <c r="AV30" s="3">
        <v>430</v>
      </c>
      <c r="AW30" s="3">
        <v>440</v>
      </c>
      <c r="AX30" s="3">
        <v>450</v>
      </c>
      <c r="AY30" s="3">
        <v>460</v>
      </c>
      <c r="AZ30" s="3">
        <v>470</v>
      </c>
      <c r="BA30" s="3">
        <v>480</v>
      </c>
      <c r="BB30" s="3">
        <v>490</v>
      </c>
      <c r="BC30" s="6"/>
      <c r="BK30" s="7"/>
    </row>
    <row r="31" spans="2:63" s="3" customFormat="1">
      <c r="C31" s="8" t="s">
        <v>339</v>
      </c>
      <c r="D31" s="5" t="s">
        <v>6</v>
      </c>
      <c r="E31" s="3">
        <v>0</v>
      </c>
      <c r="F31" s="9">
        <f>30*(1-EXP(-0.01*F$30))/100</f>
        <v>2.8548774589212143E-2</v>
      </c>
      <c r="G31" s="9">
        <f t="shared" ref="G31:BB31" si="0">30*(1-EXP(-0.01*G$30))/100</f>
        <v>5.4380774076605451E-2</v>
      </c>
      <c r="H31" s="9">
        <f t="shared" si="0"/>
        <v>7.7754533795484637E-2</v>
      </c>
      <c r="I31" s="9">
        <f t="shared" si="0"/>
        <v>9.8903986189308207E-2</v>
      </c>
      <c r="J31" s="9">
        <f t="shared" si="0"/>
        <v>0.11804080208620997</v>
      </c>
      <c r="K31" s="9">
        <f t="shared" si="0"/>
        <v>0.13535650917179207</v>
      </c>
      <c r="L31" s="9">
        <f t="shared" si="0"/>
        <v>0.15102440886257718</v>
      </c>
      <c r="M31" s="9">
        <f t="shared" si="0"/>
        <v>0.16520131076483352</v>
      </c>
      <c r="N31" s="9">
        <f t="shared" si="0"/>
        <v>0.17802910207782027</v>
      </c>
      <c r="O31" s="9">
        <f t="shared" si="0"/>
        <v>0.18963616764856731</v>
      </c>
      <c r="P31" s="9">
        <f t="shared" si="0"/>
        <v>0.20013867489057616</v>
      </c>
      <c r="Q31" s="9">
        <f t="shared" si="0"/>
        <v>0.20964173642633935</v>
      </c>
      <c r="R31" s="9">
        <f t="shared" si="0"/>
        <v>0.21824046208979625</v>
      </c>
      <c r="S31" s="9">
        <f t="shared" si="0"/>
        <v>0.22602091081751804</v>
      </c>
      <c r="T31" s="9">
        <f t="shared" si="0"/>
        <v>0.23306095195547105</v>
      </c>
      <c r="U31" s="9">
        <f t="shared" si="0"/>
        <v>0.23943104460160339</v>
      </c>
      <c r="V31" s="9">
        <f t="shared" si="0"/>
        <v>0.24519494278417958</v>
      </c>
      <c r="W31" s="9">
        <f t="shared" si="0"/>
        <v>0.25041033353352404</v>
      </c>
      <c r="X31" s="9">
        <f t="shared" si="0"/>
        <v>0.25512941423320945</v>
      </c>
      <c r="Y31" s="9">
        <f t="shared" si="0"/>
        <v>0.2593994150290162</v>
      </c>
      <c r="Z31" s="9">
        <f t="shared" si="0"/>
        <v>0.26326307152410544</v>
      </c>
      <c r="AA31" s="9">
        <f t="shared" si="0"/>
        <v>0.26675905249129983</v>
      </c>
      <c r="AB31" s="9">
        <f t="shared" si="0"/>
        <v>0.26992234688315891</v>
      </c>
      <c r="AC31" s="9">
        <f t="shared" si="0"/>
        <v>0.27278461401317627</v>
      </c>
      <c r="AD31" s="9">
        <f t="shared" si="0"/>
        <v>0.27537450041283035</v>
      </c>
      <c r="AE31" s="9">
        <f t="shared" si="0"/>
        <v>0.27771792653569982</v>
      </c>
      <c r="AF31" s="9">
        <f t="shared" si="0"/>
        <v>0.27983834617807513</v>
      </c>
      <c r="AG31" s="9">
        <f t="shared" si="0"/>
        <v>0.28175698121243464</v>
      </c>
      <c r="AH31" s="9">
        <f t="shared" si="0"/>
        <v>0.28349303398307785</v>
      </c>
      <c r="AI31" s="9">
        <f t="shared" si="0"/>
        <v>0.28506387948964085</v>
      </c>
      <c r="AJ31" s="9">
        <f t="shared" si="0"/>
        <v>0.28648523928193265</v>
      </c>
      <c r="AK31" s="9">
        <f t="shared" si="0"/>
        <v>0.28777133880649014</v>
      </c>
      <c r="AL31" s="9">
        <f t="shared" si="0"/>
        <v>0.28893504977962797</v>
      </c>
      <c r="AM31" s="9">
        <f t="shared" si="0"/>
        <v>0.28998801901190219</v>
      </c>
      <c r="AN31" s="9">
        <f t="shared" si="0"/>
        <v>0.29094078497330444</v>
      </c>
      <c r="AO31" s="9">
        <f t="shared" si="0"/>
        <v>0.29180288326581222</v>
      </c>
      <c r="AP31" s="9">
        <f t="shared" si="0"/>
        <v>0.29258294205889818</v>
      </c>
      <c r="AQ31" s="9">
        <f t="shared" si="0"/>
        <v>0.29328876844315033</v>
      </c>
      <c r="AR31" s="9">
        <f t="shared" si="0"/>
        <v>0.2939274265662587</v>
      </c>
      <c r="AS31" s="9">
        <f t="shared" si="0"/>
        <v>0.29450530833337973</v>
      </c>
      <c r="AT31" s="9">
        <f t="shared" si="0"/>
        <v>0.29502819737947161</v>
      </c>
      <c r="AU31" s="9">
        <f t="shared" si="0"/>
        <v>0.29550132695385672</v>
      </c>
      <c r="AV31" s="9">
        <f t="shared" si="0"/>
        <v>0.29592943229633972</v>
      </c>
      <c r="AW31" s="9">
        <f t="shared" si="0"/>
        <v>0.29631679802907945</v>
      </c>
      <c r="AX31" s="9">
        <f t="shared" si="0"/>
        <v>0.29666730103852734</v>
      </c>
      <c r="AY31" s="9">
        <f t="shared" si="0"/>
        <v>0.29698444927660994</v>
      </c>
      <c r="AZ31" s="9">
        <f t="shared" si="0"/>
        <v>0.29727141686949127</v>
      </c>
      <c r="BA31" s="9">
        <f t="shared" si="0"/>
        <v>0.29753107588529398</v>
      </c>
      <c r="BB31" s="9">
        <f t="shared" si="0"/>
        <v>0.29776602507872268</v>
      </c>
      <c r="BC31" s="10"/>
      <c r="BD31" s="9"/>
      <c r="BK31" s="7"/>
    </row>
    <row r="32" spans="2:63" s="198" customFormat="1">
      <c r="C32" s="199" t="s">
        <v>340</v>
      </c>
      <c r="D32" s="200" t="s">
        <v>7</v>
      </c>
      <c r="E32" s="198">
        <v>0</v>
      </c>
      <c r="F32" s="201">
        <f>30*(1-EXP(-0.02*F$30))/100</f>
        <v>5.4380774076605451E-2</v>
      </c>
      <c r="G32" s="201">
        <f t="shared" ref="G32:BB32" si="1">30*(1-EXP(-0.02*G$30))/100</f>
        <v>9.8903986189308207E-2</v>
      </c>
      <c r="H32" s="201">
        <f t="shared" si="1"/>
        <v>0.13535650917179207</v>
      </c>
      <c r="I32" s="201">
        <f t="shared" si="1"/>
        <v>0.16520131076483352</v>
      </c>
      <c r="J32" s="201">
        <f t="shared" si="1"/>
        <v>0.18963616764856731</v>
      </c>
      <c r="K32" s="10">
        <f t="shared" si="1"/>
        <v>0.20964173642633935</v>
      </c>
      <c r="L32" s="201">
        <f t="shared" si="1"/>
        <v>0.22602091081751804</v>
      </c>
      <c r="M32" s="201">
        <f t="shared" si="1"/>
        <v>0.23943104460160339</v>
      </c>
      <c r="N32" s="201">
        <f t="shared" si="1"/>
        <v>0.25041033353352404</v>
      </c>
      <c r="O32" s="201">
        <f t="shared" si="1"/>
        <v>0.2593994150290162</v>
      </c>
      <c r="P32" s="201">
        <f t="shared" si="1"/>
        <v>0.26675905249129983</v>
      </c>
      <c r="Q32" s="201">
        <f t="shared" si="1"/>
        <v>0.27278461401317627</v>
      </c>
      <c r="R32" s="201">
        <f t="shared" si="1"/>
        <v>0.27771792653569982</v>
      </c>
      <c r="S32" s="201">
        <f t="shared" si="1"/>
        <v>0.28175698121243464</v>
      </c>
      <c r="T32" s="201">
        <f t="shared" si="1"/>
        <v>0.28506387948964085</v>
      </c>
      <c r="U32" s="201">
        <f t="shared" si="1"/>
        <v>0.28777133880649014</v>
      </c>
      <c r="V32" s="201">
        <f t="shared" si="1"/>
        <v>0.28998801901190219</v>
      </c>
      <c r="W32" s="201">
        <f t="shared" si="1"/>
        <v>0.29180288326581222</v>
      </c>
      <c r="X32" s="201">
        <f t="shared" si="1"/>
        <v>0.29328876844315033</v>
      </c>
      <c r="Y32" s="201">
        <f t="shared" si="1"/>
        <v>0.29450530833337973</v>
      </c>
      <c r="Z32" s="201">
        <f t="shared" si="1"/>
        <v>0.29550132695385672</v>
      </c>
      <c r="AA32" s="201">
        <f t="shared" si="1"/>
        <v>0.29631679802907945</v>
      </c>
      <c r="AB32" s="201">
        <f t="shared" si="1"/>
        <v>0.29698444927660994</v>
      </c>
      <c r="AC32" s="201">
        <f t="shared" si="1"/>
        <v>0.29753107588529398</v>
      </c>
      <c r="AD32" s="201">
        <f t="shared" si="1"/>
        <v>0.29797861590027436</v>
      </c>
      <c r="AE32" s="201">
        <f t="shared" si="1"/>
        <v>0.29834503067377177</v>
      </c>
      <c r="AF32" s="201">
        <f t="shared" si="1"/>
        <v>0.29864502571721618</v>
      </c>
      <c r="AG32" s="201">
        <f t="shared" si="1"/>
        <v>0.29889064088505513</v>
      </c>
      <c r="AH32" s="201">
        <f t="shared" si="1"/>
        <v>0.29909173357638724</v>
      </c>
      <c r="AI32" s="201">
        <f t="shared" si="1"/>
        <v>0.29925637434700009</v>
      </c>
      <c r="AJ32" s="201">
        <f t="shared" si="1"/>
        <v>0.29939117080911126</v>
      </c>
      <c r="AK32" s="201">
        <f t="shared" si="1"/>
        <v>0.29950153281804781</v>
      </c>
      <c r="AL32" s="201">
        <f t="shared" si="1"/>
        <v>0.29959188958873562</v>
      </c>
      <c r="AM32" s="201">
        <f t="shared" si="1"/>
        <v>0.29966586745564655</v>
      </c>
      <c r="AN32" s="201">
        <f t="shared" si="1"/>
        <v>0.29972643541033367</v>
      </c>
      <c r="AO32" s="201">
        <f t="shared" si="1"/>
        <v>0.29977602425748701</v>
      </c>
      <c r="AP32" s="201">
        <f t="shared" si="1"/>
        <v>0.29981662417166111</v>
      </c>
      <c r="AQ32" s="201">
        <f t="shared" si="1"/>
        <v>0.29984986456996782</v>
      </c>
      <c r="AR32" s="201">
        <f t="shared" si="1"/>
        <v>0.2998770795063061</v>
      </c>
      <c r="AS32" s="201">
        <f t="shared" si="1"/>
        <v>0.29989936121162925</v>
      </c>
      <c r="AT32" s="201">
        <f t="shared" si="1"/>
        <v>0.29991760392900835</v>
      </c>
      <c r="AU32" s="201">
        <f t="shared" si="1"/>
        <v>0.29993253980274637</v>
      </c>
      <c r="AV32" s="201">
        <f t="shared" si="1"/>
        <v>0.29994476826189975</v>
      </c>
      <c r="AW32" s="201">
        <f t="shared" si="1"/>
        <v>0.29995478007747134</v>
      </c>
      <c r="AX32" s="201">
        <f t="shared" si="1"/>
        <v>0.29996297705877401</v>
      </c>
      <c r="AY32" s="201">
        <f t="shared" si="1"/>
        <v>0.29996968817944886</v>
      </c>
      <c r="AZ32" s="201">
        <f t="shared" si="1"/>
        <v>0.29997518278033303</v>
      </c>
      <c r="BA32" s="201">
        <f t="shared" si="1"/>
        <v>0.29997968137905273</v>
      </c>
      <c r="BB32" s="201">
        <f t="shared" si="1"/>
        <v>0.29998336452017038</v>
      </c>
      <c r="BC32" s="201"/>
      <c r="BD32" s="201"/>
      <c r="BK32" s="202"/>
    </row>
    <row r="33" spans="1:64" s="11" customFormat="1">
      <c r="B33" s="194"/>
      <c r="C33" s="195" t="s">
        <v>341</v>
      </c>
      <c r="D33" s="194" t="s">
        <v>7</v>
      </c>
      <c r="E33" s="194">
        <v>0</v>
      </c>
      <c r="F33" s="196">
        <f>30*(1-EXP(-0.025*F$30))/100</f>
        <v>6.6359765078578534E-2</v>
      </c>
      <c r="G33" s="196">
        <f t="shared" ref="G33:BB33" si="2">30*(1-EXP(-0.025*G$30))/100</f>
        <v>0.11804080208620997</v>
      </c>
      <c r="H33" s="196">
        <f t="shared" si="2"/>
        <v>0.1582900341776956</v>
      </c>
      <c r="I33" s="196">
        <f t="shared" si="2"/>
        <v>0.18963616764856731</v>
      </c>
      <c r="J33" s="196">
        <f t="shared" si="2"/>
        <v>0.21404856094194294</v>
      </c>
      <c r="K33" s="196">
        <f t="shared" si="2"/>
        <v>0.23306095195547105</v>
      </c>
      <c r="L33" s="196">
        <f t="shared" si="2"/>
        <v>0.24786781696486646</v>
      </c>
      <c r="M33" s="196">
        <f t="shared" si="2"/>
        <v>0.2593994150290162</v>
      </c>
      <c r="N33" s="196">
        <f t="shared" si="2"/>
        <v>0.26838023263144067</v>
      </c>
      <c r="O33" s="196">
        <f t="shared" si="2"/>
        <v>0.27537450041283035</v>
      </c>
      <c r="P33" s="196">
        <f t="shared" si="2"/>
        <v>0.28082164163798773</v>
      </c>
      <c r="Q33" s="196">
        <f t="shared" si="2"/>
        <v>0.28506387948964085</v>
      </c>
      <c r="R33" s="196">
        <f t="shared" si="2"/>
        <v>0.2883677376504834</v>
      </c>
      <c r="S33" s="196">
        <f t="shared" si="2"/>
        <v>0.29094078497330444</v>
      </c>
      <c r="T33" s="196">
        <f t="shared" si="2"/>
        <v>0.29294467624319731</v>
      </c>
      <c r="U33" s="196">
        <f t="shared" si="2"/>
        <v>0.29450530833337973</v>
      </c>
      <c r="V33" s="196">
        <f t="shared" si="2"/>
        <v>0.29572072982730024</v>
      </c>
      <c r="W33" s="196">
        <f t="shared" si="2"/>
        <v>0.29666730103852734</v>
      </c>
      <c r="X33" s="196">
        <f t="shared" si="2"/>
        <v>0.29740449143906383</v>
      </c>
      <c r="Y33" s="196">
        <f t="shared" si="2"/>
        <v>0.29797861590027436</v>
      </c>
      <c r="Z33" s="196">
        <f t="shared" si="2"/>
        <v>0.29842574448024561</v>
      </c>
      <c r="AA33" s="196">
        <f t="shared" si="2"/>
        <v>0.29877396856846078</v>
      </c>
      <c r="AB33" s="196">
        <f t="shared" si="2"/>
        <v>0.29904516576104706</v>
      </c>
      <c r="AC33" s="196">
        <f t="shared" si="2"/>
        <v>0.29925637434700009</v>
      </c>
      <c r="AD33" s="196">
        <f t="shared" si="2"/>
        <v>0.29942086375913168</v>
      </c>
      <c r="AE33" s="196">
        <f t="shared" si="2"/>
        <v>0.29954896824210669</v>
      </c>
      <c r="AF33" s="196">
        <f t="shared" si="2"/>
        <v>0.29964873611376264</v>
      </c>
      <c r="AG33" s="196">
        <f t="shared" si="2"/>
        <v>0.29972643541033367</v>
      </c>
      <c r="AH33" s="196">
        <f t="shared" si="2"/>
        <v>0.29978694768334724</v>
      </c>
      <c r="AI33" s="196">
        <f t="shared" si="2"/>
        <v>0.29983407468895568</v>
      </c>
      <c r="AJ33" s="196">
        <f t="shared" si="2"/>
        <v>0.29987077723782729</v>
      </c>
      <c r="AK33" s="196">
        <f t="shared" si="2"/>
        <v>0.29989936121162925</v>
      </c>
      <c r="AL33" s="196">
        <f t="shared" si="2"/>
        <v>0.29992162243280951</v>
      </c>
      <c r="AM33" s="196">
        <f t="shared" si="2"/>
        <v>0.29993895948929677</v>
      </c>
      <c r="AN33" s="196">
        <f t="shared" si="2"/>
        <v>0.29995246160246525</v>
      </c>
      <c r="AO33" s="196">
        <f t="shared" si="2"/>
        <v>0.29996297705877401</v>
      </c>
      <c r="AP33" s="196">
        <f t="shared" si="2"/>
        <v>0.2999711665043816</v>
      </c>
      <c r="AQ33" s="196">
        <f t="shared" si="2"/>
        <v>0.2999775444510337</v>
      </c>
      <c r="AR33" s="196">
        <f t="shared" si="2"/>
        <v>0.29998251160088074</v>
      </c>
      <c r="AS33" s="196">
        <f t="shared" si="2"/>
        <v>0.29998638002107125</v>
      </c>
      <c r="AT33" s="196">
        <f t="shared" si="2"/>
        <v>0.2999893927497449</v>
      </c>
      <c r="AU33" s="196">
        <f t="shared" si="2"/>
        <v>0.29999173906519511</v>
      </c>
      <c r="AV33" s="196">
        <f t="shared" si="2"/>
        <v>0.29999356637750502</v>
      </c>
      <c r="AW33" s="196">
        <f t="shared" si="2"/>
        <v>0.29999498948976294</v>
      </c>
      <c r="AX33" s="196">
        <f t="shared" si="2"/>
        <v>0.29999609781070374</v>
      </c>
      <c r="AY33" s="196">
        <f t="shared" si="2"/>
        <v>0.29999696097192041</v>
      </c>
      <c r="AZ33" s="196">
        <f t="shared" si="2"/>
        <v>0.29999763320255185</v>
      </c>
      <c r="BA33" s="196">
        <f t="shared" si="2"/>
        <v>0.29999815673629399</v>
      </c>
      <c r="BB33" s="196">
        <f t="shared" si="2"/>
        <v>0.29999856446478235</v>
      </c>
      <c r="BC33" s="12"/>
      <c r="BD33" s="12"/>
      <c r="BK33" s="197"/>
    </row>
    <row r="34" spans="1:64" s="3" customFormat="1">
      <c r="A34" s="11"/>
      <c r="B34" s="11"/>
      <c r="C34" s="8" t="s">
        <v>342</v>
      </c>
      <c r="D34" s="5" t="s">
        <v>9</v>
      </c>
      <c r="E34" s="3">
        <v>0</v>
      </c>
      <c r="F34" s="9">
        <f>30*(1-EXP(-0.03*F$30))/100</f>
        <v>7.7754533795484637E-2</v>
      </c>
      <c r="G34" s="9">
        <f t="shared" ref="G34:BB34" si="3">30*(1-EXP(-0.03*G$30))/100</f>
        <v>0.13535650917179207</v>
      </c>
      <c r="H34" s="9">
        <f t="shared" si="3"/>
        <v>0.17802910207782024</v>
      </c>
      <c r="I34" s="9">
        <f t="shared" si="3"/>
        <v>0.20964173642633935</v>
      </c>
      <c r="J34" s="9">
        <f t="shared" si="3"/>
        <v>0.23306095195547105</v>
      </c>
      <c r="K34" s="9">
        <f t="shared" si="3"/>
        <v>0.25041033353352404</v>
      </c>
      <c r="L34" s="9">
        <f t="shared" si="3"/>
        <v>0.26326307152410544</v>
      </c>
      <c r="M34" s="9">
        <f t="shared" si="3"/>
        <v>0.27278461401317627</v>
      </c>
      <c r="N34" s="9">
        <f t="shared" si="3"/>
        <v>0.27983834617807513</v>
      </c>
      <c r="O34" s="9">
        <f t="shared" si="3"/>
        <v>0.28506387948964085</v>
      </c>
      <c r="P34" s="9">
        <f t="shared" si="3"/>
        <v>0.28893504977962797</v>
      </c>
      <c r="Q34" s="9">
        <f t="shared" si="3"/>
        <v>0.29180288326581222</v>
      </c>
      <c r="R34" s="9">
        <f t="shared" si="3"/>
        <v>0.2939274265662587</v>
      </c>
      <c r="S34" s="9">
        <f t="shared" si="3"/>
        <v>0.29550132695385672</v>
      </c>
      <c r="T34" s="9">
        <f t="shared" si="3"/>
        <v>0.29666730103852734</v>
      </c>
      <c r="U34" s="9">
        <f t="shared" si="3"/>
        <v>0.29753107588529398</v>
      </c>
      <c r="V34" s="9">
        <f t="shared" si="3"/>
        <v>0.29817097603034531</v>
      </c>
      <c r="W34" s="9">
        <f t="shared" si="3"/>
        <v>0.29864502571721618</v>
      </c>
      <c r="X34" s="9">
        <f t="shared" si="3"/>
        <v>0.29899621036275864</v>
      </c>
      <c r="Y34" s="9">
        <f t="shared" si="3"/>
        <v>0.29925637434700009</v>
      </c>
      <c r="Z34" s="9">
        <f t="shared" si="3"/>
        <v>0.29944910856689133</v>
      </c>
      <c r="AA34" s="9">
        <f t="shared" si="3"/>
        <v>0.29959188958873562</v>
      </c>
      <c r="AB34" s="9">
        <f t="shared" si="3"/>
        <v>0.29969766437128542</v>
      </c>
      <c r="AC34" s="9">
        <f t="shared" si="3"/>
        <v>0.29977602425748701</v>
      </c>
      <c r="AD34" s="9">
        <f t="shared" si="3"/>
        <v>0.29983407468895568</v>
      </c>
      <c r="AE34" s="9">
        <f t="shared" si="3"/>
        <v>0.2998770795063061</v>
      </c>
      <c r="AF34" s="9">
        <f t="shared" si="3"/>
        <v>0.29990893825857634</v>
      </c>
      <c r="AG34" s="9">
        <f t="shared" si="3"/>
        <v>0.29993253980274637</v>
      </c>
      <c r="AH34" s="9">
        <f t="shared" si="3"/>
        <v>0.2999500242567037</v>
      </c>
      <c r="AI34" s="9">
        <f t="shared" si="3"/>
        <v>0.29996297705877401</v>
      </c>
      <c r="AJ34" s="9">
        <f t="shared" si="3"/>
        <v>0.29997257273055655</v>
      </c>
      <c r="AK34" s="9">
        <f t="shared" si="3"/>
        <v>0.29997968137905273</v>
      </c>
      <c r="AL34" s="9">
        <f t="shared" si="3"/>
        <v>0.29998494759538313</v>
      </c>
      <c r="AM34" s="9">
        <f t="shared" si="3"/>
        <v>0.29998884890439476</v>
      </c>
      <c r="AN34" s="9">
        <f t="shared" si="3"/>
        <v>0.29999173906519511</v>
      </c>
      <c r="AO34" s="9">
        <f t="shared" si="3"/>
        <v>0.29999388014897665</v>
      </c>
      <c r="AP34" s="9">
        <f t="shared" si="3"/>
        <v>0.29999546630285401</v>
      </c>
      <c r="AQ34" s="9">
        <f t="shared" si="3"/>
        <v>0.29999664135454723</v>
      </c>
      <c r="AR34" s="9">
        <f t="shared" si="3"/>
        <v>0.29999751185425177</v>
      </c>
      <c r="AS34" s="9">
        <f t="shared" si="3"/>
        <v>0.29999815673629399</v>
      </c>
      <c r="AT34" s="9">
        <f t="shared" si="3"/>
        <v>0.29999863447666109</v>
      </c>
      <c r="AU34" s="9">
        <f t="shared" si="3"/>
        <v>0.29999898839542977</v>
      </c>
      <c r="AV34" s="9">
        <f t="shared" si="3"/>
        <v>0.29999925058490229</v>
      </c>
      <c r="AW34" s="9">
        <f t="shared" si="3"/>
        <v>0.29999944481964069</v>
      </c>
      <c r="AX34" s="9">
        <f t="shared" si="3"/>
        <v>0.29999958871227411</v>
      </c>
      <c r="AY34" s="9">
        <f t="shared" si="3"/>
        <v>0.2999996953105587</v>
      </c>
      <c r="AZ34" s="9">
        <f t="shared" si="3"/>
        <v>0.29999977428051028</v>
      </c>
      <c r="BA34" s="9">
        <f t="shared" si="3"/>
        <v>0.29999983278288922</v>
      </c>
      <c r="BB34" s="9">
        <f t="shared" si="3"/>
        <v>0.29999987612251755</v>
      </c>
      <c r="BC34" s="10"/>
      <c r="BD34" s="9"/>
      <c r="BK34" s="7"/>
    </row>
    <row r="35" spans="1:64" s="3" customFormat="1">
      <c r="A35" s="12"/>
      <c r="B35" s="12"/>
      <c r="C35" s="8" t="s">
        <v>343</v>
      </c>
      <c r="D35" s="5" t="s">
        <v>10</v>
      </c>
      <c r="E35" s="3">
        <v>0</v>
      </c>
      <c r="F35" s="9">
        <f>30*(1-EXP(-0.04*F$30))/100</f>
        <v>9.8903986189308207E-2</v>
      </c>
      <c r="G35" s="9">
        <f t="shared" ref="G35:BB35" si="4">30*(1-EXP(-0.04*G$30))/100</f>
        <v>0.16520131076483352</v>
      </c>
      <c r="H35" s="9">
        <f t="shared" si="4"/>
        <v>0.20964173642633935</v>
      </c>
      <c r="I35" s="9">
        <f t="shared" si="4"/>
        <v>0.23943104460160339</v>
      </c>
      <c r="J35" s="9">
        <f t="shared" si="4"/>
        <v>0.2593994150290162</v>
      </c>
      <c r="K35" s="9">
        <f t="shared" si="4"/>
        <v>0.27278461401317627</v>
      </c>
      <c r="L35" s="9">
        <f t="shared" si="4"/>
        <v>0.28175698121243464</v>
      </c>
      <c r="M35" s="9">
        <f t="shared" si="4"/>
        <v>0.28777133880649014</v>
      </c>
      <c r="N35" s="9">
        <f t="shared" si="4"/>
        <v>0.29180288326581222</v>
      </c>
      <c r="O35" s="9">
        <f t="shared" si="4"/>
        <v>0.29450530833337973</v>
      </c>
      <c r="P35" s="9">
        <f t="shared" si="4"/>
        <v>0.29631679802907945</v>
      </c>
      <c r="Q35" s="9">
        <f t="shared" si="4"/>
        <v>0.29753107588529398</v>
      </c>
      <c r="R35" s="9">
        <f t="shared" si="4"/>
        <v>0.29834503067377177</v>
      </c>
      <c r="S35" s="9">
        <f t="shared" si="4"/>
        <v>0.29889064088505513</v>
      </c>
      <c r="T35" s="9">
        <f t="shared" si="4"/>
        <v>0.29925637434700009</v>
      </c>
      <c r="U35" s="9">
        <f t="shared" si="4"/>
        <v>0.29950153281804781</v>
      </c>
      <c r="V35" s="9">
        <f t="shared" si="4"/>
        <v>0.29966586745564655</v>
      </c>
      <c r="W35" s="9">
        <f t="shared" si="4"/>
        <v>0.29977602425748701</v>
      </c>
      <c r="X35" s="9">
        <f t="shared" si="4"/>
        <v>0.29984986456996782</v>
      </c>
      <c r="Y35" s="9">
        <f t="shared" si="4"/>
        <v>0.29989936121162925</v>
      </c>
      <c r="Z35" s="9">
        <f t="shared" si="4"/>
        <v>0.29993253980274637</v>
      </c>
      <c r="AA35" s="9">
        <f t="shared" si="4"/>
        <v>0.29995478007747134</v>
      </c>
      <c r="AB35" s="9">
        <f t="shared" si="4"/>
        <v>0.29996968817944886</v>
      </c>
      <c r="AC35" s="9">
        <f t="shared" si="4"/>
        <v>0.29997968137905273</v>
      </c>
      <c r="AD35" s="9">
        <f t="shared" si="4"/>
        <v>0.29998638002107125</v>
      </c>
      <c r="AE35" s="9">
        <f t="shared" si="4"/>
        <v>0.29999087025509746</v>
      </c>
      <c r="AF35" s="9">
        <f t="shared" si="4"/>
        <v>0.29999388014897665</v>
      </c>
      <c r="AG35" s="9">
        <f t="shared" si="4"/>
        <v>0.2999958977411803</v>
      </c>
      <c r="AH35" s="9">
        <f t="shared" si="4"/>
        <v>0.29999725017367912</v>
      </c>
      <c r="AI35" s="9">
        <f t="shared" si="4"/>
        <v>0.29999815673629399</v>
      </c>
      <c r="AJ35" s="9">
        <f t="shared" si="4"/>
        <v>0.29999876442338774</v>
      </c>
      <c r="AK35" s="9">
        <f t="shared" si="4"/>
        <v>0.29999917176822843</v>
      </c>
      <c r="AL35" s="9">
        <f t="shared" si="4"/>
        <v>0.29999944481964069</v>
      </c>
      <c r="AM35" s="9">
        <f t="shared" si="4"/>
        <v>0.29999962785147605</v>
      </c>
      <c r="AN35" s="9">
        <f t="shared" si="4"/>
        <v>0.29999975054138428</v>
      </c>
      <c r="AO35" s="9">
        <f t="shared" si="4"/>
        <v>0.29999983278288922</v>
      </c>
      <c r="AP35" s="9">
        <f t="shared" si="4"/>
        <v>0.29999988791101861</v>
      </c>
      <c r="AQ35" s="9">
        <f t="shared" si="4"/>
        <v>0.29999992486450888</v>
      </c>
      <c r="AR35" s="9">
        <f t="shared" si="4"/>
        <v>0.29999994963517407</v>
      </c>
      <c r="AS35" s="9">
        <f t="shared" si="4"/>
        <v>0.29999996623944758</v>
      </c>
      <c r="AT35" s="9">
        <f t="shared" si="4"/>
        <v>0.29999997736962497</v>
      </c>
      <c r="AU35" s="9">
        <f t="shared" si="4"/>
        <v>0.29999998483040596</v>
      </c>
      <c r="AV35" s="9">
        <f t="shared" si="4"/>
        <v>0.29999998983151704</v>
      </c>
      <c r="AW35" s="9">
        <f t="shared" si="4"/>
        <v>0.299999993183862</v>
      </c>
      <c r="AX35" s="9">
        <f t="shared" si="4"/>
        <v>0.29999999543100608</v>
      </c>
      <c r="AY35" s="9">
        <f t="shared" si="4"/>
        <v>0.29999999693731177</v>
      </c>
      <c r="AZ35" s="9">
        <f t="shared" si="4"/>
        <v>0.2999999979470187</v>
      </c>
      <c r="BA35" s="9">
        <f t="shared" si="4"/>
        <v>0.29999999862384547</v>
      </c>
      <c r="BB35" s="9">
        <f t="shared" si="4"/>
        <v>0.29999999907753605</v>
      </c>
      <c r="BC35" s="10"/>
      <c r="BD35" s="9"/>
      <c r="BK35" s="7"/>
    </row>
    <row r="36" spans="1:64" s="3" customFormat="1">
      <c r="A36" s="12"/>
      <c r="B36" s="12"/>
      <c r="C36" s="8" t="s">
        <v>344</v>
      </c>
      <c r="D36" s="5" t="s">
        <v>11</v>
      </c>
      <c r="E36" s="3">
        <v>0</v>
      </c>
      <c r="F36" s="9">
        <f>30*(1-EXP(-0.05*F$30))/100</f>
        <v>0.11804080208620997</v>
      </c>
      <c r="G36" s="9">
        <f t="shared" ref="G36:BB36" si="5">30*(1-EXP(-0.05*G$30))/100</f>
        <v>0.18963616764856731</v>
      </c>
      <c r="H36" s="9">
        <f t="shared" si="5"/>
        <v>0.23306095195547105</v>
      </c>
      <c r="I36" s="9">
        <f t="shared" si="5"/>
        <v>0.2593994150290162</v>
      </c>
      <c r="J36" s="9">
        <f t="shared" si="5"/>
        <v>0.27537450041283035</v>
      </c>
      <c r="K36" s="9">
        <f t="shared" si="5"/>
        <v>0.28506387948964085</v>
      </c>
      <c r="L36" s="9">
        <f t="shared" si="5"/>
        <v>0.29094078497330444</v>
      </c>
      <c r="M36" s="9">
        <f t="shared" si="5"/>
        <v>0.29450530833337973</v>
      </c>
      <c r="N36" s="9">
        <f t="shared" si="5"/>
        <v>0.29666730103852734</v>
      </c>
      <c r="O36" s="9">
        <f t="shared" si="5"/>
        <v>0.29797861590027436</v>
      </c>
      <c r="P36" s="9">
        <f t="shared" si="5"/>
        <v>0.29877396856846078</v>
      </c>
      <c r="Q36" s="9">
        <f t="shared" si="5"/>
        <v>0.29925637434700009</v>
      </c>
      <c r="R36" s="9">
        <f t="shared" si="5"/>
        <v>0.29954896824210669</v>
      </c>
      <c r="S36" s="9">
        <f t="shared" si="5"/>
        <v>0.29972643541033367</v>
      </c>
      <c r="T36" s="9">
        <f t="shared" si="5"/>
        <v>0.29983407468895568</v>
      </c>
      <c r="U36" s="9">
        <f t="shared" si="5"/>
        <v>0.29989936121162925</v>
      </c>
      <c r="V36" s="9">
        <f t="shared" si="5"/>
        <v>0.29993895948929677</v>
      </c>
      <c r="W36" s="9">
        <f t="shared" si="5"/>
        <v>0.29996297705877401</v>
      </c>
      <c r="X36" s="9">
        <f t="shared" si="5"/>
        <v>0.2999775444510337</v>
      </c>
      <c r="Y36" s="9">
        <f t="shared" si="5"/>
        <v>0.29998638002107125</v>
      </c>
      <c r="Z36" s="9">
        <f t="shared" si="5"/>
        <v>0.29999173906519511</v>
      </c>
      <c r="AA36" s="9">
        <f t="shared" si="5"/>
        <v>0.29999498948976294</v>
      </c>
      <c r="AB36" s="9">
        <f t="shared" si="5"/>
        <v>0.29999696097192041</v>
      </c>
      <c r="AC36" s="9">
        <f t="shared" si="5"/>
        <v>0.29999815673629399</v>
      </c>
      <c r="AD36" s="9">
        <f t="shared" si="5"/>
        <v>0.2999988820040484</v>
      </c>
      <c r="AE36" s="9">
        <f t="shared" si="5"/>
        <v>0.2999993219011779</v>
      </c>
      <c r="AF36" s="9">
        <f t="shared" si="5"/>
        <v>0.29999958871227411</v>
      </c>
      <c r="AG36" s="9">
        <f t="shared" si="5"/>
        <v>0.29999975054138428</v>
      </c>
      <c r="AH36" s="9">
        <f t="shared" si="5"/>
        <v>0.29999984869570123</v>
      </c>
      <c r="AI36" s="9">
        <f t="shared" si="5"/>
        <v>0.29999990822930384</v>
      </c>
      <c r="AJ36" s="9">
        <f t="shared" si="5"/>
        <v>0.29999994433825911</v>
      </c>
      <c r="AK36" s="9">
        <f t="shared" si="5"/>
        <v>0.29999996623944758</v>
      </c>
      <c r="AL36" s="9">
        <f t="shared" si="5"/>
        <v>0.29999997952318991</v>
      </c>
      <c r="AM36" s="9">
        <f t="shared" si="5"/>
        <v>0.29999998758018687</v>
      </c>
      <c r="AN36" s="9">
        <f t="shared" si="5"/>
        <v>0.29999999246700254</v>
      </c>
      <c r="AO36" s="9">
        <f t="shared" si="5"/>
        <v>0.29999999543100608</v>
      </c>
      <c r="AP36" s="9">
        <f t="shared" si="5"/>
        <v>0.29999999722876508</v>
      </c>
      <c r="AQ36" s="9">
        <f t="shared" si="5"/>
        <v>0.29999999831916108</v>
      </c>
      <c r="AR36" s="9">
        <f t="shared" si="5"/>
        <v>0.29999999898051966</v>
      </c>
      <c r="AS36" s="9">
        <f t="shared" si="5"/>
        <v>0.29999999938165389</v>
      </c>
      <c r="AT36" s="9">
        <f t="shared" si="5"/>
        <v>0.29999999962495416</v>
      </c>
      <c r="AU36" s="9">
        <f t="shared" si="5"/>
        <v>0.29999999977252317</v>
      </c>
      <c r="AV36" s="9">
        <f t="shared" si="5"/>
        <v>0.29999999986202835</v>
      </c>
      <c r="AW36" s="9">
        <f t="shared" si="5"/>
        <v>0.29999999991631598</v>
      </c>
      <c r="AX36" s="9">
        <f t="shared" si="5"/>
        <v>0.29999999994924303</v>
      </c>
      <c r="AY36" s="9">
        <f t="shared" si="5"/>
        <v>0.29999999996921434</v>
      </c>
      <c r="AZ36" s="9">
        <f t="shared" si="5"/>
        <v>0.29999999998132759</v>
      </c>
      <c r="BA36" s="9">
        <f t="shared" si="5"/>
        <v>0.2999999999886746</v>
      </c>
      <c r="BB36" s="9">
        <f t="shared" si="5"/>
        <v>0.29999999999313082</v>
      </c>
      <c r="BC36" s="10"/>
      <c r="BD36" s="9"/>
      <c r="BK36" s="7"/>
    </row>
    <row r="37" spans="1:64" s="3" customFormat="1">
      <c r="C37" s="5" t="s">
        <v>12</v>
      </c>
      <c r="E37" s="13">
        <f t="shared" ref="E37:X37" si="6">E30*0.52%</f>
        <v>0</v>
      </c>
      <c r="F37" s="13">
        <f t="shared" si="6"/>
        <v>5.1999999999999998E-2</v>
      </c>
      <c r="G37" s="14">
        <f t="shared" si="6"/>
        <v>0.104</v>
      </c>
      <c r="H37" s="13">
        <f t="shared" si="6"/>
        <v>0.156</v>
      </c>
      <c r="I37" s="13">
        <f t="shared" si="6"/>
        <v>0.20799999999999999</v>
      </c>
      <c r="J37" s="13">
        <f t="shared" si="6"/>
        <v>0.26</v>
      </c>
      <c r="K37" s="13">
        <f t="shared" si="6"/>
        <v>0.312</v>
      </c>
      <c r="L37" s="13">
        <f t="shared" si="6"/>
        <v>0.36399999999999999</v>
      </c>
      <c r="M37" s="13">
        <f t="shared" si="6"/>
        <v>0.41599999999999998</v>
      </c>
      <c r="N37" s="13">
        <f t="shared" si="6"/>
        <v>0.46799999999999997</v>
      </c>
      <c r="O37" s="13">
        <f t="shared" si="6"/>
        <v>0.52</v>
      </c>
      <c r="P37" s="13">
        <f t="shared" si="6"/>
        <v>0.57199999999999995</v>
      </c>
      <c r="Q37" s="13">
        <f t="shared" si="6"/>
        <v>0.624</v>
      </c>
      <c r="R37" s="13">
        <f t="shared" si="6"/>
        <v>0.67599999999999993</v>
      </c>
      <c r="S37" s="13">
        <f t="shared" si="6"/>
        <v>0.72799999999999998</v>
      </c>
      <c r="T37" s="13">
        <f t="shared" si="6"/>
        <v>0.77999999999999992</v>
      </c>
      <c r="U37" s="13">
        <f t="shared" si="6"/>
        <v>0.83199999999999996</v>
      </c>
      <c r="V37" s="13">
        <f t="shared" si="6"/>
        <v>0.88400000000000001</v>
      </c>
      <c r="W37" s="13">
        <f t="shared" si="6"/>
        <v>0.93599999999999994</v>
      </c>
      <c r="X37" s="13">
        <f t="shared" si="6"/>
        <v>0.98799999999999999</v>
      </c>
      <c r="BC37" s="6"/>
      <c r="BK37" s="7"/>
    </row>
    <row r="42" spans="1:64">
      <c r="A42" s="205" t="s">
        <v>13</v>
      </c>
    </row>
    <row r="43" spans="1:64" s="3" customFormat="1">
      <c r="A43" s="205"/>
      <c r="B43" s="15" t="s">
        <v>364</v>
      </c>
      <c r="C43" s="16"/>
      <c r="D43" s="17">
        <v>1960</v>
      </c>
      <c r="E43" s="17">
        <v>1961</v>
      </c>
      <c r="F43" s="17">
        <v>1962</v>
      </c>
      <c r="G43" s="17">
        <v>1963</v>
      </c>
      <c r="H43" s="17">
        <v>1964</v>
      </c>
      <c r="I43" s="17">
        <v>1965</v>
      </c>
      <c r="J43" s="17">
        <v>1966</v>
      </c>
      <c r="K43" s="17">
        <v>1967</v>
      </c>
      <c r="L43" s="17">
        <v>1968</v>
      </c>
      <c r="M43" s="17">
        <v>1969</v>
      </c>
      <c r="N43" s="17">
        <v>1970</v>
      </c>
      <c r="O43" s="17">
        <v>1971</v>
      </c>
      <c r="P43" s="17">
        <v>1972</v>
      </c>
      <c r="Q43" s="17">
        <v>1973</v>
      </c>
      <c r="R43" s="17">
        <v>1974</v>
      </c>
      <c r="S43" s="17">
        <v>1975</v>
      </c>
      <c r="T43" s="17">
        <v>1976</v>
      </c>
      <c r="U43" s="17">
        <v>1977</v>
      </c>
      <c r="V43" s="17">
        <v>1978</v>
      </c>
      <c r="W43" s="17">
        <v>1979</v>
      </c>
      <c r="X43" s="17">
        <v>1980</v>
      </c>
      <c r="Y43" s="17">
        <v>1981</v>
      </c>
      <c r="Z43" s="17">
        <v>1982</v>
      </c>
      <c r="AA43" s="17">
        <v>1983</v>
      </c>
      <c r="AB43" s="17">
        <v>1984</v>
      </c>
      <c r="AC43" s="17">
        <v>1985</v>
      </c>
      <c r="AD43" s="17">
        <v>1986</v>
      </c>
      <c r="AE43" s="17">
        <v>1987</v>
      </c>
      <c r="AF43" s="17">
        <v>1988</v>
      </c>
      <c r="AG43" s="17">
        <v>1989</v>
      </c>
      <c r="AH43" s="17">
        <v>1990</v>
      </c>
      <c r="AI43" s="17">
        <v>1991</v>
      </c>
      <c r="AJ43" s="17">
        <v>1992</v>
      </c>
      <c r="AK43" s="17">
        <v>1993</v>
      </c>
      <c r="AL43" s="17">
        <v>1994</v>
      </c>
      <c r="AM43" s="17">
        <v>1995</v>
      </c>
      <c r="AN43" s="17">
        <v>1996</v>
      </c>
      <c r="AO43" s="17">
        <v>1997</v>
      </c>
      <c r="AP43" s="17">
        <v>1998</v>
      </c>
      <c r="AQ43" s="17">
        <v>1999</v>
      </c>
      <c r="AR43" s="17">
        <v>2000</v>
      </c>
      <c r="AS43" s="17">
        <v>2001</v>
      </c>
      <c r="AT43" s="17">
        <v>2002</v>
      </c>
      <c r="AU43" s="17">
        <v>2003</v>
      </c>
      <c r="AV43" s="17">
        <v>2004</v>
      </c>
      <c r="AW43" s="17">
        <v>2005</v>
      </c>
      <c r="AX43" s="17">
        <v>2006</v>
      </c>
      <c r="AY43" s="17">
        <v>2007</v>
      </c>
      <c r="AZ43" s="17">
        <v>2008</v>
      </c>
      <c r="BA43" s="17">
        <v>2009</v>
      </c>
      <c r="BB43" s="17">
        <v>2010</v>
      </c>
      <c r="BC43" s="17">
        <v>2011</v>
      </c>
      <c r="BD43" s="17">
        <v>2012</v>
      </c>
      <c r="BE43" s="17">
        <v>2013</v>
      </c>
      <c r="BF43" s="17">
        <v>2014</v>
      </c>
      <c r="BG43" s="17">
        <v>2015</v>
      </c>
      <c r="BH43" s="17">
        <v>2016</v>
      </c>
      <c r="BI43" s="17">
        <v>2017</v>
      </c>
      <c r="BJ43" s="17">
        <v>2018</v>
      </c>
      <c r="BK43" s="18">
        <v>2019</v>
      </c>
      <c r="BL43" s="17">
        <v>2020</v>
      </c>
    </row>
    <row r="44" spans="1:64" s="3" customFormat="1">
      <c r="A44" s="205" t="s">
        <v>13</v>
      </c>
      <c r="B44" s="1" t="str">
        <f>B47</f>
        <v>2-3 wheelers gasoline</v>
      </c>
      <c r="C44" t="s">
        <v>363</v>
      </c>
      <c r="D44" s="19">
        <f>30*(1-EXP(-0.02*D47))/100</f>
        <v>0.18665492412592896</v>
      </c>
      <c r="E44" s="19">
        <f t="shared" ref="E44:BL44" si="7">30*(1-EXP(-0.02*E47))/100</f>
        <v>0.18611889755359676</v>
      </c>
      <c r="F44" s="19">
        <f t="shared" si="7"/>
        <v>0.18558295268108566</v>
      </c>
      <c r="G44" s="19">
        <f t="shared" si="7"/>
        <v>0.18504710172080452</v>
      </c>
      <c r="H44" s="19">
        <f t="shared" si="7"/>
        <v>0.18451135681949415</v>
      </c>
      <c r="I44" s="19">
        <f t="shared" si="7"/>
        <v>0.18397573005773235</v>
      </c>
      <c r="J44" s="19">
        <f t="shared" si="7"/>
        <v>0.18344023344945171</v>
      </c>
      <c r="K44" s="19">
        <f t="shared" si="7"/>
        <v>0.18290487894146953</v>
      </c>
      <c r="L44" s="19">
        <f t="shared" si="7"/>
        <v>0.18236967841303067</v>
      </c>
      <c r="M44" s="19">
        <f t="shared" si="7"/>
        <v>0.18183464367536201</v>
      </c>
      <c r="N44" s="19">
        <f t="shared" si="7"/>
        <v>0.18129978647123937</v>
      </c>
      <c r="O44" s="19">
        <f t="shared" si="7"/>
        <v>0.18049288863615712</v>
      </c>
      <c r="P44" s="19">
        <f t="shared" si="7"/>
        <v>0.18360129376744369</v>
      </c>
      <c r="Q44" s="19">
        <f t="shared" si="7"/>
        <v>0.18146750779961088</v>
      </c>
      <c r="R44" s="19">
        <f t="shared" si="7"/>
        <v>0.18225046802505696</v>
      </c>
      <c r="S44" s="19">
        <f t="shared" si="7"/>
        <v>0.18887572417107926</v>
      </c>
      <c r="T44" s="19">
        <f t="shared" si="7"/>
        <v>0.18592144275566425</v>
      </c>
      <c r="U44" s="19">
        <f t="shared" si="7"/>
        <v>0.18742762603150726</v>
      </c>
      <c r="V44" s="19">
        <f t="shared" si="7"/>
        <v>0.18371423552564489</v>
      </c>
      <c r="W44" s="19">
        <f t="shared" si="7"/>
        <v>0.18240493274279992</v>
      </c>
      <c r="X44" s="19">
        <f t="shared" si="7"/>
        <v>0.18665492412592896</v>
      </c>
      <c r="Y44" s="19">
        <f t="shared" si="7"/>
        <v>0.19041461147290961</v>
      </c>
      <c r="Z44" s="19">
        <f t="shared" si="7"/>
        <v>0.19017265862089022</v>
      </c>
      <c r="AA44" s="19">
        <f t="shared" si="7"/>
        <v>0.19108318505420194</v>
      </c>
      <c r="AB44" s="19">
        <f t="shared" si="7"/>
        <v>0.190686496094229</v>
      </c>
      <c r="AC44" s="19">
        <f t="shared" si="7"/>
        <v>0.19390979917264023</v>
      </c>
      <c r="AD44" s="19">
        <f t="shared" si="7"/>
        <v>0.19367699739094657</v>
      </c>
      <c r="AE44" s="19">
        <f t="shared" si="7"/>
        <v>0.19796763156429281</v>
      </c>
      <c r="AF44" s="19">
        <f t="shared" si="7"/>
        <v>0.19770980111585168</v>
      </c>
      <c r="AG44" s="19">
        <f t="shared" si="7"/>
        <v>0.20595846221764297</v>
      </c>
      <c r="AH44" s="19">
        <f t="shared" si="7"/>
        <v>0.2019248560366636</v>
      </c>
      <c r="AI44" s="19">
        <f t="shared" si="7"/>
        <v>0.20238380894355734</v>
      </c>
      <c r="AJ44" s="19">
        <f t="shared" si="7"/>
        <v>0.1985468970219684</v>
      </c>
      <c r="AK44" s="19">
        <f t="shared" si="7"/>
        <v>0.19519616216394195</v>
      </c>
      <c r="AL44" s="19">
        <f t="shared" si="7"/>
        <v>0.19790237670744265</v>
      </c>
      <c r="AM44" s="19">
        <f t="shared" si="7"/>
        <v>0.20036139576837708</v>
      </c>
      <c r="AN44" s="19">
        <f t="shared" si="7"/>
        <v>0.19614752766391913</v>
      </c>
      <c r="AO44" s="19">
        <f t="shared" si="7"/>
        <v>0.19766772279828743</v>
      </c>
      <c r="AP44" s="19">
        <f t="shared" si="7"/>
        <v>0.19892734081012622</v>
      </c>
      <c r="AQ44" s="19">
        <f t="shared" si="7"/>
        <v>0.19582306624736517</v>
      </c>
      <c r="AR44" s="19">
        <f t="shared" si="7"/>
        <v>0.19597831936213056</v>
      </c>
      <c r="AS44" s="19">
        <f t="shared" si="7"/>
        <v>0.20101655565521695</v>
      </c>
      <c r="AT44" s="19">
        <f t="shared" si="7"/>
        <v>0.19993165534573934</v>
      </c>
      <c r="AU44" s="19">
        <f t="shared" si="7"/>
        <v>0.20070676228253131</v>
      </c>
      <c r="AV44" s="19">
        <f t="shared" si="7"/>
        <v>0.20384357252855412</v>
      </c>
      <c r="AW44" s="19">
        <f t="shared" si="7"/>
        <v>0.20226964011783963</v>
      </c>
      <c r="AX44" s="19">
        <f t="shared" si="7"/>
        <v>0.20670167035988402</v>
      </c>
      <c r="AY44" s="19">
        <f t="shared" si="7"/>
        <v>0.206302070376574</v>
      </c>
      <c r="AZ44" s="19">
        <f t="shared" si="7"/>
        <v>0.20584992700151258</v>
      </c>
      <c r="BA44" s="19">
        <f t="shared" si="7"/>
        <v>0.2123186646403854</v>
      </c>
      <c r="BB44" s="19">
        <f t="shared" si="7"/>
        <v>0.21519119079831345</v>
      </c>
      <c r="BC44" s="19">
        <f t="shared" si="7"/>
        <v>0.21603531875362669</v>
      </c>
      <c r="BD44" s="19">
        <f t="shared" si="7"/>
        <v>0.21937852661403714</v>
      </c>
      <c r="BE44" s="19">
        <f t="shared" si="7"/>
        <v>0.22132049161964004</v>
      </c>
      <c r="BF44" s="19">
        <f t="shared" si="7"/>
        <v>0.22211165131317365</v>
      </c>
      <c r="BG44" s="19">
        <f t="shared" si="7"/>
        <v>0.2210789492039166</v>
      </c>
      <c r="BH44" s="19">
        <f t="shared" si="7"/>
        <v>0.22369021763190794</v>
      </c>
      <c r="BI44" s="19">
        <f t="shared" si="7"/>
        <v>0.22319806772416967</v>
      </c>
      <c r="BJ44" s="19">
        <f t="shared" si="7"/>
        <v>0.2256338324178262</v>
      </c>
      <c r="BK44" s="19">
        <f t="shared" si="7"/>
        <v>0.22650995937821061</v>
      </c>
      <c r="BL44" s="19">
        <f t="shared" si="7"/>
        <v>0.22739051447192987</v>
      </c>
    </row>
    <row r="45" spans="1:64">
      <c r="A45" s="205"/>
    </row>
    <row r="46" spans="1:64" s="3" customFormat="1">
      <c r="C46" s="20"/>
      <c r="D46" s="17">
        <v>1960</v>
      </c>
      <c r="E46" s="17">
        <v>1961</v>
      </c>
      <c r="F46" s="17">
        <v>1962</v>
      </c>
      <c r="G46" s="17">
        <v>1963</v>
      </c>
      <c r="H46" s="17">
        <v>1964</v>
      </c>
      <c r="I46" s="17">
        <v>1965</v>
      </c>
      <c r="J46" s="17">
        <v>1966</v>
      </c>
      <c r="K46" s="17">
        <v>1967</v>
      </c>
      <c r="L46" s="17">
        <v>1968</v>
      </c>
      <c r="M46" s="17">
        <v>1969</v>
      </c>
      <c r="N46" s="17">
        <v>1970</v>
      </c>
      <c r="O46" s="17">
        <v>1971</v>
      </c>
      <c r="P46" s="17">
        <v>1972</v>
      </c>
      <c r="Q46" s="17">
        <v>1973</v>
      </c>
      <c r="R46" s="17">
        <v>1974</v>
      </c>
      <c r="S46" s="17">
        <v>1975</v>
      </c>
      <c r="T46" s="17">
        <v>1976</v>
      </c>
      <c r="U46" s="17">
        <v>1977</v>
      </c>
      <c r="V46" s="17">
        <v>1978</v>
      </c>
      <c r="W46" s="17">
        <v>1979</v>
      </c>
      <c r="X46" s="17">
        <v>1980</v>
      </c>
      <c r="Y46" s="17">
        <v>1981</v>
      </c>
      <c r="Z46" s="17">
        <v>1982</v>
      </c>
      <c r="AA46" s="17">
        <v>1983</v>
      </c>
      <c r="AB46" s="17">
        <v>1984</v>
      </c>
      <c r="AC46" s="17">
        <v>1985</v>
      </c>
      <c r="AD46" s="17">
        <v>1986</v>
      </c>
      <c r="AE46" s="17">
        <v>1987</v>
      </c>
      <c r="AF46" s="17">
        <v>1988</v>
      </c>
      <c r="AG46" s="17">
        <v>1989</v>
      </c>
      <c r="AH46" s="17">
        <v>1990</v>
      </c>
      <c r="AI46" s="17">
        <v>1991</v>
      </c>
      <c r="AJ46" s="17">
        <v>1992</v>
      </c>
      <c r="AK46" s="17">
        <v>1993</v>
      </c>
      <c r="AL46" s="17">
        <v>1994</v>
      </c>
      <c r="AM46" s="17">
        <v>1995</v>
      </c>
      <c r="AN46" s="17">
        <v>1996</v>
      </c>
      <c r="AO46" s="17">
        <v>1997</v>
      </c>
      <c r="AP46" s="17">
        <v>1998</v>
      </c>
      <c r="AQ46" s="17">
        <v>1999</v>
      </c>
      <c r="AR46" s="17">
        <v>2000</v>
      </c>
      <c r="AS46" s="17">
        <v>2001</v>
      </c>
      <c r="AT46" s="17">
        <v>2002</v>
      </c>
      <c r="AU46" s="17">
        <v>2003</v>
      </c>
      <c r="AV46" s="17">
        <v>2004</v>
      </c>
      <c r="AW46" s="17">
        <v>2005</v>
      </c>
      <c r="AX46" s="17">
        <v>2006</v>
      </c>
      <c r="AY46" s="17">
        <v>2007</v>
      </c>
      <c r="AZ46" s="17">
        <v>2008</v>
      </c>
      <c r="BA46" s="17">
        <v>2009</v>
      </c>
      <c r="BB46" s="17">
        <v>2010</v>
      </c>
      <c r="BC46" s="17">
        <v>2011</v>
      </c>
      <c r="BD46" s="17">
        <v>2012</v>
      </c>
      <c r="BE46" s="17">
        <v>2013</v>
      </c>
      <c r="BF46" s="17">
        <v>2014</v>
      </c>
      <c r="BG46" s="17">
        <v>2015</v>
      </c>
      <c r="BH46" s="17">
        <v>2016</v>
      </c>
      <c r="BI46" s="17">
        <v>2017</v>
      </c>
      <c r="BJ46" s="17">
        <v>2018</v>
      </c>
      <c r="BK46" s="18">
        <v>2019</v>
      </c>
      <c r="BL46" s="17">
        <v>2020</v>
      </c>
    </row>
    <row r="47" spans="1:64" s="3" customFormat="1">
      <c r="A47" s="3">
        <v>0.19</v>
      </c>
      <c r="B47" s="1" t="s">
        <v>338</v>
      </c>
      <c r="C47" t="s">
        <v>14</v>
      </c>
      <c r="D47" s="21">
        <f>$D$49/D59</f>
        <v>48.667277021387427</v>
      </c>
      <c r="E47" s="21">
        <f t="shared" ref="E47:BL47" si="8">$D$49/E59</f>
        <v>48.431376576022558</v>
      </c>
      <c r="F47" s="21">
        <f t="shared" si="8"/>
        <v>48.19661958933321</v>
      </c>
      <c r="G47" s="21">
        <f t="shared" si="8"/>
        <v>47.9630005187366</v>
      </c>
      <c r="H47" s="21">
        <f t="shared" si="8"/>
        <v>47.730513848516019</v>
      </c>
      <c r="I47" s="21">
        <f t="shared" si="8"/>
        <v>47.499154089690578</v>
      </c>
      <c r="J47" s="21">
        <f t="shared" si="8"/>
        <v>47.268915779885667</v>
      </c>
      <c r="K47" s="21">
        <f t="shared" si="8"/>
        <v>47.03979348320388</v>
      </c>
      <c r="L47" s="21">
        <f t="shared" si="8"/>
        <v>46.811781790096774</v>
      </c>
      <c r="M47" s="21">
        <f t="shared" si="8"/>
        <v>46.584875317237113</v>
      </c>
      <c r="N47" s="21">
        <f t="shared" si="8"/>
        <v>46.359068707391799</v>
      </c>
      <c r="O47" s="21">
        <f t="shared" si="8"/>
        <v>46.020329786719202</v>
      </c>
      <c r="P47" s="21">
        <f t="shared" si="8"/>
        <v>47.338052713060776</v>
      </c>
      <c r="Q47" s="21">
        <f t="shared" si="8"/>
        <v>46.429767794096712</v>
      </c>
      <c r="R47" s="21">
        <f t="shared" si="8"/>
        <v>46.761135825133202</v>
      </c>
      <c r="S47" s="21">
        <f t="shared" si="8"/>
        <v>49.656664878424444</v>
      </c>
      <c r="T47" s="21">
        <f t="shared" si="8"/>
        <v>48.344758247331363</v>
      </c>
      <c r="U47" s="21">
        <f t="shared" si="8"/>
        <v>49.009306784581462</v>
      </c>
      <c r="V47" s="21">
        <f t="shared" si="8"/>
        <v>47.386591305570946</v>
      </c>
      <c r="W47" s="21">
        <f t="shared" si="8"/>
        <v>46.826769258161534</v>
      </c>
      <c r="X47" s="21">
        <f t="shared" si="8"/>
        <v>48.667277021387441</v>
      </c>
      <c r="Y47" s="21">
        <f t="shared" si="8"/>
        <v>50.353921269418286</v>
      </c>
      <c r="Z47" s="21">
        <f t="shared" si="8"/>
        <v>50.243648292004714</v>
      </c>
      <c r="AA47" s="21">
        <f t="shared" si="8"/>
        <v>50.65990247105384</v>
      </c>
      <c r="AB47" s="21">
        <f t="shared" si="8"/>
        <v>50.478126905230383</v>
      </c>
      <c r="AC47" s="21">
        <f t="shared" si="8"/>
        <v>51.974639559816744</v>
      </c>
      <c r="AD47" s="21">
        <f t="shared" si="8"/>
        <v>51.865040970303447</v>
      </c>
      <c r="AE47" s="21">
        <f t="shared" si="8"/>
        <v>53.924618705394273</v>
      </c>
      <c r="AF47" s="21">
        <f t="shared" si="8"/>
        <v>53.798430693627132</v>
      </c>
      <c r="AG47" s="21">
        <f t="shared" si="8"/>
        <v>58.002294934486756</v>
      </c>
      <c r="AH47" s="21">
        <f t="shared" si="8"/>
        <v>55.902425733570539</v>
      </c>
      <c r="AI47" s="21">
        <f t="shared" si="8"/>
        <v>56.136955151197867</v>
      </c>
      <c r="AJ47" s="21">
        <f t="shared" si="8"/>
        <v>54.209291128643052</v>
      </c>
      <c r="AK47" s="21">
        <f t="shared" si="8"/>
        <v>52.584604143335149</v>
      </c>
      <c r="AL47" s="21">
        <f t="shared" si="8"/>
        <v>53.89265139940435</v>
      </c>
      <c r="AM47" s="21">
        <f t="shared" si="8"/>
        <v>55.111639623665674</v>
      </c>
      <c r="AN47" s="21">
        <f t="shared" si="8"/>
        <v>53.040555890920587</v>
      </c>
      <c r="AO47" s="21">
        <f t="shared" si="8"/>
        <v>53.777866814740385</v>
      </c>
      <c r="AP47" s="21">
        <f t="shared" si="8"/>
        <v>54.397140926902267</v>
      </c>
      <c r="AQ47" s="21">
        <f t="shared" si="8"/>
        <v>52.884586748983729</v>
      </c>
      <c r="AR47" s="21">
        <f t="shared" si="8"/>
        <v>52.959156478468621</v>
      </c>
      <c r="AS47" s="21">
        <f t="shared" si="8"/>
        <v>55.441493367324405</v>
      </c>
      <c r="AT47" s="21">
        <f t="shared" si="8"/>
        <v>54.896453778436651</v>
      </c>
      <c r="AU47" s="21">
        <f t="shared" si="8"/>
        <v>55.285250272295933</v>
      </c>
      <c r="AV47" s="21">
        <f t="shared" si="8"/>
        <v>56.890307823934656</v>
      </c>
      <c r="AW47" s="21">
        <f t="shared" si="8"/>
        <v>56.07851089499362</v>
      </c>
      <c r="AX47" s="21">
        <f t="shared" si="8"/>
        <v>58.399013503508762</v>
      </c>
      <c r="AY47" s="21">
        <f t="shared" si="8"/>
        <v>58.185319072857837</v>
      </c>
      <c r="AZ47" s="21">
        <f t="shared" si="8"/>
        <v>57.944622210546768</v>
      </c>
      <c r="BA47" s="21">
        <f t="shared" si="8"/>
        <v>61.503671082492879</v>
      </c>
      <c r="BB47" s="21">
        <f t="shared" si="8"/>
        <v>63.169152757917722</v>
      </c>
      <c r="BC47" s="21">
        <f t="shared" si="8"/>
        <v>63.669311279212302</v>
      </c>
      <c r="BD47" s="21">
        <f t="shared" si="8"/>
        <v>65.700872072311284</v>
      </c>
      <c r="BE47" s="21">
        <f t="shared" si="8"/>
        <v>66.919986474901322</v>
      </c>
      <c r="BF47" s="21">
        <f t="shared" si="8"/>
        <v>67.425305026452335</v>
      </c>
      <c r="BG47" s="21">
        <f t="shared" si="8"/>
        <v>66.766723944547053</v>
      </c>
      <c r="BH47" s="21">
        <f t="shared" si="8"/>
        <v>68.449066765176468</v>
      </c>
      <c r="BI47" s="21">
        <f t="shared" si="8"/>
        <v>68.12763374887686</v>
      </c>
      <c r="BJ47" s="21">
        <f t="shared" si="8"/>
        <v>69.739068652001379</v>
      </c>
      <c r="BK47" s="21">
        <f t="shared" si="8"/>
        <v>70.331628968148124</v>
      </c>
      <c r="BL47" s="21">
        <f t="shared" si="8"/>
        <v>70.93434533517069</v>
      </c>
    </row>
    <row r="48" spans="1:64">
      <c r="D48" s="22">
        <v>1</v>
      </c>
      <c r="E48" s="22" t="s">
        <v>16</v>
      </c>
    </row>
    <row r="49" spans="1:64">
      <c r="D49" s="22">
        <v>282.5</v>
      </c>
      <c r="E49" s="22" t="s">
        <v>17</v>
      </c>
    </row>
    <row r="51" spans="1:64" s="23" customFormat="1"/>
    <row r="53" spans="1:64" s="3" customFormat="1">
      <c r="C53" s="20"/>
      <c r="D53" s="17">
        <v>1960</v>
      </c>
      <c r="E53" s="17">
        <v>1961</v>
      </c>
      <c r="F53" s="17">
        <v>1962</v>
      </c>
      <c r="G53" s="17">
        <v>1963</v>
      </c>
      <c r="H53" s="17">
        <v>1964</v>
      </c>
      <c r="I53" s="17">
        <v>1965</v>
      </c>
      <c r="J53" s="17">
        <v>1966</v>
      </c>
      <c r="K53" s="17">
        <v>1967</v>
      </c>
      <c r="L53" s="17">
        <v>1968</v>
      </c>
      <c r="M53" s="17">
        <v>1969</v>
      </c>
      <c r="N53" s="17">
        <v>1970</v>
      </c>
      <c r="O53" s="17">
        <v>1971</v>
      </c>
      <c r="P53" s="17">
        <v>1972</v>
      </c>
      <c r="Q53" s="17">
        <v>1973</v>
      </c>
      <c r="R53" s="17">
        <v>1974</v>
      </c>
      <c r="S53" s="17">
        <v>1975</v>
      </c>
      <c r="T53" s="17">
        <v>1976</v>
      </c>
      <c r="U53" s="17">
        <v>1977</v>
      </c>
      <c r="V53" s="17">
        <v>1978</v>
      </c>
      <c r="W53" s="17">
        <v>1979</v>
      </c>
      <c r="X53" s="17">
        <v>1980</v>
      </c>
      <c r="Y53" s="17">
        <v>1981</v>
      </c>
      <c r="Z53" s="17">
        <v>1982</v>
      </c>
      <c r="AA53" s="17">
        <v>1983</v>
      </c>
      <c r="AB53" s="17">
        <v>1984</v>
      </c>
      <c r="AC53" s="17">
        <v>1985</v>
      </c>
      <c r="AD53" s="17">
        <v>1986</v>
      </c>
      <c r="AE53" s="17">
        <v>1987</v>
      </c>
      <c r="AF53" s="17">
        <v>1988</v>
      </c>
      <c r="AG53" s="17">
        <v>1989</v>
      </c>
      <c r="AH53" s="17">
        <v>1990</v>
      </c>
      <c r="AI53" s="17">
        <v>1991</v>
      </c>
      <c r="AJ53" s="17">
        <v>1992</v>
      </c>
      <c r="AK53" s="17">
        <v>1993</v>
      </c>
      <c r="AL53" s="17">
        <v>1994</v>
      </c>
      <c r="AM53" s="17">
        <v>1995</v>
      </c>
      <c r="AN53" s="17">
        <v>1996</v>
      </c>
      <c r="AO53" s="17">
        <v>1997</v>
      </c>
      <c r="AP53" s="17">
        <v>1998</v>
      </c>
      <c r="AQ53" s="17">
        <v>1999</v>
      </c>
      <c r="AR53" s="17">
        <v>2000</v>
      </c>
      <c r="AS53" s="17">
        <v>2001</v>
      </c>
      <c r="AT53" s="17">
        <v>2002</v>
      </c>
      <c r="AU53" s="17">
        <v>2003</v>
      </c>
      <c r="AV53" s="17">
        <v>2004</v>
      </c>
      <c r="AW53" s="17">
        <v>2005</v>
      </c>
      <c r="AX53" s="17">
        <v>2006</v>
      </c>
      <c r="AY53" s="17">
        <v>2007</v>
      </c>
      <c r="AZ53" s="17">
        <v>2008</v>
      </c>
      <c r="BA53" s="17">
        <v>2009</v>
      </c>
      <c r="BB53" s="17">
        <v>2010</v>
      </c>
      <c r="BC53" s="17">
        <v>2011</v>
      </c>
      <c r="BD53" s="17">
        <v>2012</v>
      </c>
      <c r="BE53" s="17">
        <v>2013</v>
      </c>
      <c r="BF53" s="17">
        <v>2014</v>
      </c>
      <c r="BG53" s="17">
        <v>2015</v>
      </c>
      <c r="BH53" s="17">
        <v>2016</v>
      </c>
      <c r="BI53" s="17">
        <v>2017</v>
      </c>
      <c r="BJ53" s="17">
        <v>2018</v>
      </c>
      <c r="BK53" s="18">
        <v>2019</v>
      </c>
      <c r="BL53" s="17">
        <v>2020</v>
      </c>
    </row>
    <row r="54" spans="1:64" s="3" customFormat="1">
      <c r="B54" s="1"/>
      <c r="C54"/>
      <c r="D54" s="21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</row>
    <row r="55" spans="1:64" s="3" customFormat="1">
      <c r="B55" s="1"/>
      <c r="C55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</row>
    <row r="56" spans="1:64" s="3" customFormat="1">
      <c r="B56" s="1"/>
      <c r="C56"/>
      <c r="D56" s="21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</row>
    <row r="57" spans="1:64" s="3" customFormat="1">
      <c r="A57"/>
      <c r="B57"/>
      <c r="C57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5"/>
      <c r="BL57" s="26"/>
    </row>
    <row r="58" spans="1:64">
      <c r="D58" s="27"/>
      <c r="E58" s="27"/>
      <c r="F58" s="27"/>
      <c r="G58" s="27"/>
      <c r="H58" s="27"/>
      <c r="I58" s="27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5"/>
      <c r="BL58" s="26"/>
    </row>
    <row r="59" spans="1:64">
      <c r="B59" t="s">
        <v>296</v>
      </c>
      <c r="C59" t="s">
        <v>17</v>
      </c>
      <c r="D59" s="28">
        <f>'1_UK stats motorcycles'!D180</f>
        <v>5.8047217204252446</v>
      </c>
      <c r="E59" s="28">
        <f>'1_UK stats motorcycles'!E180</f>
        <v>5.832995466411341</v>
      </c>
      <c r="F59" s="28">
        <f>'1_UK stats motorcycles'!F180</f>
        <v>5.8614069286826584</v>
      </c>
      <c r="G59" s="28">
        <f>'1_UK stats motorcycles'!G180</f>
        <v>5.8899567780302284</v>
      </c>
      <c r="H59" s="28">
        <f>'1_UK stats motorcycles'!H180</f>
        <v>5.9186456885123846</v>
      </c>
      <c r="I59" s="28">
        <f>'1_UK stats motorcycles'!I180</f>
        <v>5.947474337470676</v>
      </c>
      <c r="J59" s="28">
        <f>'1_UK stats motorcycles'!J180</f>
        <v>5.9764434055458526</v>
      </c>
      <c r="K59" s="28">
        <f>'1_UK stats motorcycles'!K180</f>
        <v>6.0055535766939538</v>
      </c>
      <c r="L59" s="28">
        <f>'1_UK stats motorcycles'!L180</f>
        <v>6.0348055382024368</v>
      </c>
      <c r="M59" s="28">
        <f>'1_UK stats motorcycles'!M180</f>
        <v>6.0641999807064142</v>
      </c>
      <c r="N59" s="28">
        <f>'1_UK stats motorcycles'!N180</f>
        <v>6.0937375982049513</v>
      </c>
      <c r="O59" s="28">
        <f>'1_UK stats motorcycles'!O180</f>
        <v>6.1385913857906642</v>
      </c>
      <c r="P59" s="28">
        <f>'1_UK stats motorcycles'!P180</f>
        <v>5.9677148469196961</v>
      </c>
      <c r="Q59" s="28">
        <f>'1_UK stats motorcycles'!Q180</f>
        <v>6.0844586010597776</v>
      </c>
      <c r="R59" s="28">
        <f>'1_UK stats motorcycles'!R180</f>
        <v>6.0413417042825923</v>
      </c>
      <c r="S59" s="28">
        <f>'1_UK stats motorcycles'!S180</f>
        <v>5.6890651172738096</v>
      </c>
      <c r="T59" s="28">
        <f>'1_UK stats motorcycles'!T180</f>
        <v>5.8434463267916756</v>
      </c>
      <c r="U59" s="28">
        <f>'1_UK stats motorcycles'!U180</f>
        <v>5.7642113005539537</v>
      </c>
      <c r="V59" s="28">
        <f>'1_UK stats motorcycles'!V180</f>
        <v>5.96160205274753</v>
      </c>
      <c r="W59" s="28">
        <f>'1_UK stats motorcycles'!W180</f>
        <v>6.0328740264472227</v>
      </c>
      <c r="X59" s="28">
        <f>'1_UK stats motorcycles'!X180</f>
        <v>5.8047217204252428</v>
      </c>
      <c r="Y59" s="28">
        <f>'1_UK stats motorcycles'!Y180</f>
        <v>5.6102879950200073</v>
      </c>
      <c r="Z59" s="28">
        <f>'1_UK stats motorcycles'!Z180</f>
        <v>5.6226012561463277</v>
      </c>
      <c r="AA59" s="28">
        <f>'1_UK stats motorcycles'!AA180</f>
        <v>5.5764023659819602</v>
      </c>
      <c r="AB59" s="28">
        <f>'1_UK stats motorcycles'!AB180</f>
        <v>5.5964834141008559</v>
      </c>
      <c r="AC59" s="28">
        <f>'1_UK stats motorcycles'!AC180</f>
        <v>5.4353431287363803</v>
      </c>
      <c r="AD59" s="28">
        <f>'1_UK stats motorcycles'!AD180</f>
        <v>5.4468288217829048</v>
      </c>
      <c r="AE59" s="28">
        <f>'1_UK stats motorcycles'!AE180</f>
        <v>5.2387945762468693</v>
      </c>
      <c r="AF59" s="28">
        <f>'1_UK stats motorcycles'!AF180</f>
        <v>5.2510825382396229</v>
      </c>
      <c r="AG59" s="28">
        <f>'1_UK stats motorcycles'!AG180</f>
        <v>4.8704969401483522</v>
      </c>
      <c r="AH59" s="28">
        <f>'1_UK stats motorcycles'!AH180</f>
        <v>5.0534479728373043</v>
      </c>
      <c r="AI59" s="28">
        <f>'1_UK stats motorcycles'!AI180</f>
        <v>5.0323356377117641</v>
      </c>
      <c r="AJ59" s="28">
        <f>'1_UK stats motorcycles'!AJ180</f>
        <v>5.2112837876740459</v>
      </c>
      <c r="AK59" s="28">
        <f>'1_UK stats motorcycles'!AK180</f>
        <v>5.372294887491428</v>
      </c>
      <c r="AL59" s="28">
        <f>'1_UK stats motorcycles'!AL180</f>
        <v>5.2419020527745337</v>
      </c>
      <c r="AM59" s="28">
        <f>'1_UK stats motorcycles'!AM180</f>
        <v>5.1259589068493385</v>
      </c>
      <c r="AN59" s="28">
        <f>'1_UK stats motorcycles'!AN180</f>
        <v>5.3261131082594479</v>
      </c>
      <c r="AO59" s="28">
        <f>'1_UK stats motorcycles'!AO180</f>
        <v>5.2530904762954904</v>
      </c>
      <c r="AP59" s="28">
        <f>'1_UK stats motorcycles'!AP180</f>
        <v>5.193287646856616</v>
      </c>
      <c r="AQ59" s="28">
        <f>'1_UK stats motorcycles'!AQ180</f>
        <v>5.3418210742741357</v>
      </c>
      <c r="AR59" s="28">
        <f>'1_UK stats motorcycles'!AR180</f>
        <v>5.3342994636792378</v>
      </c>
      <c r="AS59" s="28">
        <f>'1_UK stats motorcycles'!AS180</f>
        <v>5.0954615909840779</v>
      </c>
      <c r="AT59" s="28">
        <f>'1_UK stats motorcycles'!AT180</f>
        <v>5.1460518950855461</v>
      </c>
      <c r="AU59" s="28">
        <f>'1_UK stats motorcycles'!AU180</f>
        <v>5.109862008557533</v>
      </c>
      <c r="AV59" s="28">
        <f>'1_UK stats motorcycles'!AV180</f>
        <v>4.965696457018427</v>
      </c>
      <c r="AW59" s="28">
        <f>'1_UK stats motorcycles'!AW180</f>
        <v>5.0375802690085347</v>
      </c>
      <c r="AX59" s="28">
        <f>'1_UK stats motorcycles'!AX180</f>
        <v>4.8374104809668861</v>
      </c>
      <c r="AY59" s="28">
        <f>'1_UK stats motorcycles'!AY180</f>
        <v>4.8551766064264825</v>
      </c>
      <c r="AZ59" s="28">
        <f>'1_UK stats motorcycles'!AZ180</f>
        <v>4.8753445828589914</v>
      </c>
      <c r="BA59" s="28">
        <f>'1_UK stats motorcycles'!BA180</f>
        <v>4.5932217545370895</v>
      </c>
      <c r="BB59" s="28">
        <f>'1_UK stats motorcycles'!BB180</f>
        <v>4.4721195024194937</v>
      </c>
      <c r="BC59" s="28">
        <f>'1_UK stats motorcycles'!BC180</f>
        <v>4.4369884693920785</v>
      </c>
      <c r="BD59" s="28">
        <f>'1_UK stats motorcycles'!BD180</f>
        <v>4.2997907195063805</v>
      </c>
      <c r="BE59" s="28">
        <f>'1_UK stats motorcycles'!BE180</f>
        <v>4.2214593110528051</v>
      </c>
      <c r="BF59" s="28">
        <f>'1_UK stats motorcycles'!BF180</f>
        <v>4.1898216091001652</v>
      </c>
      <c r="BG59" s="28">
        <f>'1_UK stats motorcycles'!BG180</f>
        <v>4.2311496402703499</v>
      </c>
      <c r="BH59" s="28">
        <f>'1_UK stats motorcycles'!BH180</f>
        <v>4.1271563419433228</v>
      </c>
      <c r="BI59" s="28">
        <f>'1_UK stats motorcycles'!BI180</f>
        <v>4.1466286799467369</v>
      </c>
      <c r="BJ59" s="28">
        <f>'1_UK stats motorcycles'!BJ180</f>
        <v>4.0508140624830782</v>
      </c>
      <c r="BK59" s="25">
        <f>BJ59+(BJ59-BE59)/5</f>
        <v>4.0166850127691331</v>
      </c>
      <c r="BL59" s="26">
        <f>BK59+BK59-BJ59</f>
        <v>3.9825559630551881</v>
      </c>
    </row>
    <row r="60" spans="1:64">
      <c r="D60">
        <v>14.3</v>
      </c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</row>
    <row r="61" spans="1:64">
      <c r="A61" t="s">
        <v>15</v>
      </c>
      <c r="B61" t="s">
        <v>18</v>
      </c>
      <c r="C61" t="s">
        <v>17</v>
      </c>
      <c r="D61" s="29">
        <f>'1_UK stats motorcycles'!D151</f>
        <v>16.062054879824025</v>
      </c>
      <c r="E61" s="29">
        <f>'1_UK stats motorcycles'!E151</f>
        <v>16.028644242411524</v>
      </c>
      <c r="F61" s="29">
        <f>'1_UK stats motorcycles'!F151</f>
        <v>15.995303102376583</v>
      </c>
      <c r="G61" s="29">
        <f>'1_UK stats motorcycles'!G151</f>
        <v>15.962031315157887</v>
      </c>
      <c r="H61" s="29">
        <f>'1_UK stats motorcycles'!H151</f>
        <v>15.928828736494831</v>
      </c>
      <c r="I61" s="29">
        <f>'1_UK stats motorcycles'!I151</f>
        <v>15.895695222426882</v>
      </c>
      <c r="J61" s="29">
        <f>'1_UK stats motorcycles'!J151</f>
        <v>15.86263062929296</v>
      </c>
      <c r="K61" s="29">
        <f>'1_UK stats motorcycles'!K151</f>
        <v>15.829634813730816</v>
      </c>
      <c r="L61" s="29">
        <f>'1_UK stats motorcycles'!L151</f>
        <v>15.796707632676407</v>
      </c>
      <c r="M61" s="29">
        <f>'1_UK stats motorcycles'!M151</f>
        <v>15.763848943363275</v>
      </c>
      <c r="N61" s="29">
        <f>'1_UK stats motorcycles'!N151</f>
        <v>15.731058603321934</v>
      </c>
      <c r="O61" s="29">
        <f>'1_UK stats motorcycles'!O151</f>
        <v>15.593617381954559</v>
      </c>
      <c r="P61" s="29">
        <f>'1_UK stats motorcycles'!P151</f>
        <v>15.714414071787269</v>
      </c>
      <c r="Q61" s="29">
        <f>'1_UK stats motorcycles'!Q151</f>
        <v>15.920566574736794</v>
      </c>
      <c r="R61" s="29">
        <f>'1_UK stats motorcycles'!R151</f>
        <v>15.784501523247876</v>
      </c>
      <c r="S61" s="29">
        <f>'1_UK stats motorcycles'!S151</f>
        <v>15.297794672056954</v>
      </c>
      <c r="T61" s="29">
        <f>'1_UK stats motorcycles'!T151</f>
        <v>15.246521952683423</v>
      </c>
      <c r="U61" s="29">
        <f>'1_UK stats motorcycles'!U151</f>
        <v>15.408661776862827</v>
      </c>
      <c r="V61" s="29">
        <f>'1_UK stats motorcycles'!V151</f>
        <v>15.663303875388586</v>
      </c>
      <c r="W61" s="29">
        <f>'1_UK stats motorcycles'!W151</f>
        <v>16.024497871077642</v>
      </c>
      <c r="X61" s="29">
        <f>'1_UK stats motorcycles'!X151</f>
        <v>15.406883280669019</v>
      </c>
      <c r="Y61" s="29">
        <f>'1_UK stats motorcycles'!Y151</f>
        <v>14.752766151016811</v>
      </c>
      <c r="Z61" s="29">
        <f>'1_UK stats motorcycles'!Z151</f>
        <v>14.736050594302485</v>
      </c>
      <c r="AA61" s="29">
        <f>'1_UK stats motorcycles'!AA151</f>
        <v>14.799651752913643</v>
      </c>
      <c r="AB61" s="29">
        <f>'1_UK stats motorcycles'!AB151</f>
        <v>14.554500261133862</v>
      </c>
      <c r="AC61" s="29">
        <f>'1_UK stats motorcycles'!AC151</f>
        <v>14.341886566327227</v>
      </c>
      <c r="AD61" s="29">
        <f>'1_UK stats motorcycles'!AD151</f>
        <v>14.389308889287772</v>
      </c>
      <c r="AE61" s="29">
        <f>'1_UK stats motorcycles'!AE151</f>
        <v>13.911548988676804</v>
      </c>
      <c r="AF61" s="29">
        <f>'1_UK stats motorcycles'!AF151</f>
        <v>13.701078514066257</v>
      </c>
      <c r="AG61" s="29">
        <f>'1_UK stats motorcycles'!AG151</f>
        <v>13.364413373481659</v>
      </c>
      <c r="AH61" s="29">
        <f>'1_UK stats motorcycles'!AH151</f>
        <v>13.751370278085878</v>
      </c>
      <c r="AI61" s="29">
        <f>'1_UK stats motorcycles'!AI151</f>
        <v>13.774602068036815</v>
      </c>
      <c r="AJ61" s="29">
        <f>'1_UK stats motorcycles'!AJ151</f>
        <v>14.022637557916743</v>
      </c>
      <c r="AK61" s="29">
        <f>'1_UK stats motorcycles'!AK151</f>
        <v>14.239095874393948</v>
      </c>
      <c r="AL61" s="29">
        <f>'1_UK stats motorcycles'!AL151</f>
        <v>13.98769889490271</v>
      </c>
      <c r="AM61" s="29">
        <f>'1_UK stats motorcycles'!AM151</f>
        <v>13.648088851143306</v>
      </c>
      <c r="AN61" s="29">
        <f>'1_UK stats motorcycles'!AN151</f>
        <v>13.918167959980899</v>
      </c>
      <c r="AO61" s="29">
        <f>'1_UK stats motorcycles'!AO151</f>
        <v>13.888261085458412</v>
      </c>
      <c r="AP61" s="29">
        <f>'1_UK stats motorcycles'!AP151</f>
        <v>13.61924556122854</v>
      </c>
      <c r="AQ61" s="29">
        <f>'1_UK stats motorcycles'!AQ151</f>
        <v>13.624639624722192</v>
      </c>
      <c r="AR61" s="29">
        <f>'1_UK stats motorcycles'!AR151</f>
        <v>13.646023709968564</v>
      </c>
      <c r="AS61" s="29">
        <f>'1_UK stats motorcycles'!AS151</f>
        <v>13.479021526161688</v>
      </c>
      <c r="AT61" s="29">
        <f>'1_UK stats motorcycles'!AT151</f>
        <v>13.457092684898379</v>
      </c>
      <c r="AU61" s="29">
        <f>'1_UK stats motorcycles'!AU151</f>
        <v>13.335169123340341</v>
      </c>
      <c r="AV61" s="29">
        <f>'1_UK stats motorcycles'!AV151</f>
        <v>13.298028823014535</v>
      </c>
      <c r="AW61" s="29">
        <f>'1_UK stats motorcycles'!AW151</f>
        <v>13.406618835806698</v>
      </c>
      <c r="AX61" s="29">
        <f>'1_UK stats motorcycles'!AX151</f>
        <v>13.226315752148537</v>
      </c>
      <c r="AY61" s="29">
        <f>'1_UK stats motorcycles'!AY151</f>
        <v>13.268663040680279</v>
      </c>
      <c r="AZ61" s="29">
        <f>'1_UK stats motorcycles'!AZ151</f>
        <v>12.951788167341327</v>
      </c>
      <c r="BA61" s="29">
        <f>'1_UK stats motorcycles'!BA151</f>
        <v>12.682614029093692</v>
      </c>
      <c r="BB61" s="29">
        <f>'1_UK stats motorcycles'!BB151</f>
        <v>12.527656809709731</v>
      </c>
      <c r="BC61" s="29">
        <f>'1_UK stats motorcycles'!BC151</f>
        <v>12.309756890991038</v>
      </c>
      <c r="BD61" s="29">
        <f>'1_UK stats motorcycles'!BD151</f>
        <v>12.238840593898587</v>
      </c>
      <c r="BE61" s="29">
        <f>'1_UK stats motorcycles'!BE151</f>
        <v>11.991388664021107</v>
      </c>
      <c r="BF61" s="29">
        <f>'1_UK stats motorcycles'!BF151</f>
        <v>11.739909405174636</v>
      </c>
      <c r="BG61" s="29">
        <f>'1_UK stats motorcycles'!BG151</f>
        <v>11.66335247214051</v>
      </c>
      <c r="BH61" s="29">
        <f>'1_UK stats motorcycles'!BH151</f>
        <v>11.620710106509399</v>
      </c>
      <c r="BI61" s="29">
        <f>'1_UK stats motorcycles'!BI151</f>
        <v>11.391234136641849</v>
      </c>
      <c r="BJ61" s="29">
        <f>'1_UK stats motorcycles'!BJ151</f>
        <v>11.079234492709086</v>
      </c>
      <c r="BK61" s="29"/>
    </row>
    <row r="62" spans="1:64">
      <c r="A62" t="s">
        <v>15</v>
      </c>
      <c r="B62" t="s">
        <v>19</v>
      </c>
      <c r="C62" t="s">
        <v>17</v>
      </c>
      <c r="AR62" s="29">
        <f>AR68/$B$74</f>
        <v>11.069778097732614</v>
      </c>
      <c r="AS62" s="29">
        <f t="shared" ref="AS62:BG64" si="9">AS68/$B$74</f>
        <v>10.85684027402187</v>
      </c>
      <c r="AT62" s="29">
        <f t="shared" si="9"/>
        <v>10.737586315062767</v>
      </c>
      <c r="AU62" s="29">
        <f t="shared" si="9"/>
        <v>10.633579585756928</v>
      </c>
      <c r="AV62" s="29">
        <f t="shared" si="9"/>
        <v>10.536818214155911</v>
      </c>
      <c r="AW62" s="29">
        <f t="shared" si="9"/>
        <v>10.468769818393133</v>
      </c>
      <c r="AX62" s="29">
        <f t="shared" si="9"/>
        <v>10.37458100703634</v>
      </c>
      <c r="AY62" s="29">
        <f t="shared" si="9"/>
        <v>10.305362203426309</v>
      </c>
      <c r="AZ62" s="29">
        <f t="shared" si="9"/>
        <v>10.166599563276883</v>
      </c>
      <c r="BA62" s="29">
        <f t="shared" si="9"/>
        <v>10.029567143252354</v>
      </c>
      <c r="BB62" s="29">
        <f t="shared" si="9"/>
        <v>9.9354738855218194</v>
      </c>
      <c r="BC62" s="29">
        <f t="shared" si="9"/>
        <v>9.8320403409608161</v>
      </c>
      <c r="BD62" s="29">
        <f t="shared" si="9"/>
        <v>9.7285582188753779</v>
      </c>
      <c r="BE62" s="29">
        <f t="shared" si="9"/>
        <v>9.674411537789533</v>
      </c>
      <c r="BF62" s="29">
        <f t="shared" si="9"/>
        <v>9.5531172344478801</v>
      </c>
      <c r="BG62" s="29">
        <f t="shared" si="9"/>
        <v>9.3827264716570298</v>
      </c>
    </row>
    <row r="63" spans="1:64">
      <c r="A63" t="s">
        <v>20</v>
      </c>
      <c r="B63" t="s">
        <v>19</v>
      </c>
      <c r="C63" t="s">
        <v>17</v>
      </c>
      <c r="AR63" s="29">
        <f>AR69/$B$74</f>
        <v>10.360944791976205</v>
      </c>
      <c r="AS63" s="29">
        <f t="shared" si="9"/>
        <v>10.215307901497862</v>
      </c>
      <c r="AT63" s="29">
        <f t="shared" si="9"/>
        <v>10.221141158675056</v>
      </c>
      <c r="AU63" s="29">
        <f t="shared" si="9"/>
        <v>10.191460948892347</v>
      </c>
      <c r="AV63" s="29">
        <f t="shared" si="9"/>
        <v>10.15564259950615</v>
      </c>
      <c r="AW63" s="29">
        <f t="shared" si="9"/>
        <v>10.147406457003441</v>
      </c>
      <c r="AX63" s="29">
        <f t="shared" si="9"/>
        <v>10.175692548044299</v>
      </c>
      <c r="AY63" s="29">
        <f t="shared" si="9"/>
        <v>10.117876513739279</v>
      </c>
      <c r="AZ63" s="29">
        <f t="shared" si="9"/>
        <v>9.9547822247341422</v>
      </c>
      <c r="BA63" s="29">
        <f t="shared" si="9"/>
        <v>9.7679680196952976</v>
      </c>
      <c r="BB63" s="29">
        <f t="shared" si="9"/>
        <v>9.6652286700059236</v>
      </c>
      <c r="BC63" s="29">
        <f t="shared" si="9"/>
        <v>9.5780264660496517</v>
      </c>
      <c r="BD63" s="29">
        <f t="shared" si="9"/>
        <v>9.4952116605612513</v>
      </c>
      <c r="BE63" s="29">
        <f t="shared" si="9"/>
        <v>9.3764045291940441</v>
      </c>
      <c r="BF63" s="29">
        <f t="shared" si="9"/>
        <v>9.2982401443316061</v>
      </c>
      <c r="BG63" s="29">
        <f t="shared" si="9"/>
        <v>9.1660058633061325</v>
      </c>
    </row>
    <row r="64" spans="1:64">
      <c r="A64" t="s">
        <v>21</v>
      </c>
      <c r="B64" t="s">
        <v>19</v>
      </c>
      <c r="C64" t="s">
        <v>17</v>
      </c>
      <c r="AR64" s="29">
        <f>AR70/$B$74</f>
        <v>9.9077328530523232</v>
      </c>
      <c r="AS64" s="29">
        <f t="shared" si="9"/>
        <v>9.8556635323099933</v>
      </c>
      <c r="AT64" s="29">
        <f t="shared" si="9"/>
        <v>9.8668578792474868</v>
      </c>
      <c r="AU64" s="29">
        <f t="shared" si="9"/>
        <v>9.8759289455778791</v>
      </c>
      <c r="AV64" s="29">
        <f t="shared" si="9"/>
        <v>9.8809515326771695</v>
      </c>
      <c r="AW64" s="29">
        <f t="shared" si="9"/>
        <v>9.8933604086809304</v>
      </c>
      <c r="AX64" s="29">
        <f t="shared" si="9"/>
        <v>9.8922486189590533</v>
      </c>
      <c r="AY64" s="29">
        <f t="shared" si="9"/>
        <v>9.8919494315702803</v>
      </c>
      <c r="AZ64" s="29">
        <f t="shared" si="9"/>
        <v>9.8502412786429918</v>
      </c>
      <c r="BA64" s="29">
        <f t="shared" si="9"/>
        <v>9.7645635545188263</v>
      </c>
      <c r="BB64" s="29">
        <f t="shared" si="9"/>
        <v>9.7238730535354758</v>
      </c>
      <c r="BC64" s="29">
        <f t="shared" si="9"/>
        <v>9.6580774093591479</v>
      </c>
      <c r="BD64" s="29">
        <f t="shared" si="9"/>
        <v>9.582985605721916</v>
      </c>
      <c r="BE64" s="29">
        <f t="shared" si="9"/>
        <v>9.5119058667612748</v>
      </c>
      <c r="BF64" s="29">
        <f t="shared" si="9"/>
        <v>9.4334898656735859</v>
      </c>
      <c r="BG64" s="29">
        <f t="shared" si="9"/>
        <v>9.3597678639435316</v>
      </c>
    </row>
    <row r="66" spans="1:60">
      <c r="C66">
        <v>42.5</v>
      </c>
      <c r="D66">
        <f>100/C66</f>
        <v>2.3529411764705883</v>
      </c>
    </row>
    <row r="68" spans="1:60">
      <c r="A68" t="s">
        <v>15</v>
      </c>
      <c r="B68" t="s">
        <v>22</v>
      </c>
      <c r="C68" t="s">
        <v>23</v>
      </c>
      <c r="AR68" s="29">
        <v>8.1584264580289361</v>
      </c>
      <c r="AS68" s="29">
        <v>8.0014912819541184</v>
      </c>
      <c r="AT68" s="29">
        <v>7.9136011142012599</v>
      </c>
      <c r="AU68" s="29">
        <v>7.8369481547028563</v>
      </c>
      <c r="AV68" s="29">
        <v>7.7656350238329068</v>
      </c>
      <c r="AW68" s="29">
        <v>7.7154833561557385</v>
      </c>
      <c r="AX68" s="29">
        <v>7.646066202185783</v>
      </c>
      <c r="AY68" s="29">
        <v>7.5950519439251893</v>
      </c>
      <c r="AZ68" s="29">
        <v>7.4927838781350626</v>
      </c>
      <c r="BA68" s="29">
        <v>7.3917909845769847</v>
      </c>
      <c r="BB68" s="29">
        <v>7.3224442536295813</v>
      </c>
      <c r="BC68" s="29">
        <v>7.2462137312881216</v>
      </c>
      <c r="BD68" s="29">
        <v>7.1699474073111533</v>
      </c>
      <c r="BE68" s="29">
        <v>7.1300413033508852</v>
      </c>
      <c r="BF68" s="29">
        <v>7.0406474017880871</v>
      </c>
      <c r="BG68" s="29">
        <v>6.9150694096112311</v>
      </c>
      <c r="BH68" s="29"/>
    </row>
    <row r="69" spans="1:60">
      <c r="A69" t="s">
        <v>20</v>
      </c>
      <c r="B69" t="s">
        <v>22</v>
      </c>
      <c r="C69" t="s">
        <v>23</v>
      </c>
      <c r="AR69" s="29">
        <v>7.6360163116864639</v>
      </c>
      <c r="AS69" s="29">
        <v>7.5286819234039246</v>
      </c>
      <c r="AT69" s="29">
        <v>7.5329810339435159</v>
      </c>
      <c r="AU69" s="29">
        <v>7.51110671933366</v>
      </c>
      <c r="AV69" s="29">
        <v>7.4847085958360324</v>
      </c>
      <c r="AW69" s="29">
        <v>7.4786385588115358</v>
      </c>
      <c r="AX69" s="29">
        <v>7.4994854079086481</v>
      </c>
      <c r="AY69" s="29">
        <v>7.4568749906258489</v>
      </c>
      <c r="AZ69" s="29">
        <v>7.336674499629062</v>
      </c>
      <c r="BA69" s="29">
        <v>7.1989924305154336</v>
      </c>
      <c r="BB69" s="29">
        <v>7.123273529794365</v>
      </c>
      <c r="BC69" s="29">
        <v>7.0590055054785932</v>
      </c>
      <c r="BD69" s="29">
        <v>6.9979709938336416</v>
      </c>
      <c r="BE69" s="29">
        <v>6.9104101380160108</v>
      </c>
      <c r="BF69" s="29">
        <v>6.8528029863723932</v>
      </c>
      <c r="BG69" s="29">
        <v>6.7553463212566189</v>
      </c>
      <c r="BH69" s="29"/>
    </row>
    <row r="70" spans="1:60">
      <c r="A70" t="s">
        <v>21</v>
      </c>
      <c r="B70" t="s">
        <v>22</v>
      </c>
      <c r="C70" t="s">
        <v>23</v>
      </c>
      <c r="AR70" s="29">
        <v>7.301999112699562</v>
      </c>
      <c r="AS70" s="29">
        <v>7.2636240233124649</v>
      </c>
      <c r="AT70" s="29">
        <v>7.2718742570053978</v>
      </c>
      <c r="AU70" s="29">
        <v>7.2785596328908966</v>
      </c>
      <c r="AV70" s="29">
        <v>7.2822612795830732</v>
      </c>
      <c r="AW70" s="29">
        <v>7.2914066211978454</v>
      </c>
      <c r="AX70" s="29">
        <v>7.2905872321728218</v>
      </c>
      <c r="AY70" s="29">
        <v>7.290366731067297</v>
      </c>
      <c r="AZ70" s="29">
        <v>7.2596278223598851</v>
      </c>
      <c r="BA70" s="29">
        <v>7.1964833396803742</v>
      </c>
      <c r="BB70" s="29">
        <v>7.1664944404556454</v>
      </c>
      <c r="BC70" s="29">
        <v>7.1180030506976921</v>
      </c>
      <c r="BD70" s="29">
        <v>7.0626603914170518</v>
      </c>
      <c r="BE70" s="29">
        <v>7.0102746238030598</v>
      </c>
      <c r="BF70" s="29">
        <v>6.9524820310014332</v>
      </c>
      <c r="BG70" s="29">
        <v>6.8981489157263827</v>
      </c>
      <c r="BH70" s="29"/>
    </row>
    <row r="71" spans="1:60"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</row>
    <row r="73" spans="1:60">
      <c r="A73" t="s">
        <v>24</v>
      </c>
      <c r="B73">
        <v>1</v>
      </c>
      <c r="C73" t="s">
        <v>25</v>
      </c>
    </row>
    <row r="74" spans="1:60">
      <c r="B74">
        <v>0.73699999999999999</v>
      </c>
      <c r="C74" t="s">
        <v>26</v>
      </c>
    </row>
  </sheetData>
  <mergeCells count="2">
    <mergeCell ref="A42:A43"/>
    <mergeCell ref="A44:A4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BK400"/>
  <sheetViews>
    <sheetView topLeftCell="A106" zoomScale="80" zoomScaleNormal="80" workbookViewId="0">
      <selection activeCell="C123" sqref="C123"/>
    </sheetView>
  </sheetViews>
  <sheetFormatPr defaultColWidth="9.109375" defaultRowHeight="14.4"/>
  <cols>
    <col min="1" max="1" width="15.5546875" style="3" customWidth="1"/>
    <col min="2" max="2" width="9.109375" style="3"/>
    <col min="3" max="3" width="59.5546875" style="3" customWidth="1"/>
    <col min="4" max="4" width="9" style="3" customWidth="1"/>
    <col min="5" max="13" width="9.109375" style="3" customWidth="1"/>
    <col min="14" max="14" width="19.6640625" style="3" bestFit="1" customWidth="1"/>
    <col min="15" max="54" width="9.109375" style="3"/>
    <col min="55" max="55" width="9.109375" style="6"/>
    <col min="56" max="62" width="9.109375" style="3"/>
    <col min="63" max="63" width="9.109375" style="7"/>
    <col min="64" max="16384" width="9.109375" style="3"/>
  </cols>
  <sheetData>
    <row r="1" spans="1:34">
      <c r="A1" s="30" t="s">
        <v>27</v>
      </c>
      <c r="I1" s="31" t="s">
        <v>28</v>
      </c>
      <c r="J1" s="31" t="s">
        <v>29</v>
      </c>
      <c r="K1" s="31">
        <v>131.9</v>
      </c>
      <c r="L1" s="31" t="s">
        <v>30</v>
      </c>
      <c r="M1" s="31"/>
    </row>
    <row r="2" spans="1:34">
      <c r="A2" s="32" t="s">
        <v>31</v>
      </c>
      <c r="I2" s="31"/>
      <c r="J2" s="33" t="s">
        <v>32</v>
      </c>
      <c r="K2" s="31"/>
      <c r="L2" s="31"/>
      <c r="M2" s="31"/>
      <c r="Y2" s="3" t="s">
        <v>33</v>
      </c>
    </row>
    <row r="3" spans="1:34">
      <c r="A3" s="32" t="s">
        <v>34</v>
      </c>
      <c r="I3" s="31"/>
      <c r="J3" s="34" t="s">
        <v>35</v>
      </c>
      <c r="K3" s="31"/>
      <c r="L3" s="31"/>
      <c r="M3" s="31"/>
    </row>
    <row r="4" spans="1:34">
      <c r="A4" s="35"/>
      <c r="I4" s="31"/>
      <c r="J4" s="31">
        <v>131.9</v>
      </c>
      <c r="K4" s="31" t="s">
        <v>36</v>
      </c>
      <c r="L4" s="31">
        <v>3.1503773765199999E-3</v>
      </c>
      <c r="M4" s="31" t="s">
        <v>37</v>
      </c>
      <c r="AA4" s="5" t="s">
        <v>38</v>
      </c>
      <c r="AH4" s="5" t="s">
        <v>39</v>
      </c>
    </row>
    <row r="5" spans="1:34">
      <c r="A5" s="35"/>
      <c r="I5" s="31"/>
      <c r="J5" s="31">
        <f>1/L4</f>
        <v>317.4222896130081</v>
      </c>
      <c r="K5" s="31" t="s">
        <v>40</v>
      </c>
      <c r="L5" s="31">
        <v>1</v>
      </c>
      <c r="M5" s="31" t="s">
        <v>37</v>
      </c>
      <c r="N5" s="3">
        <f>J5*N15</f>
        <v>264.30923361943263</v>
      </c>
      <c r="O5" s="5" t="s">
        <v>41</v>
      </c>
      <c r="P5" s="3">
        <v>1</v>
      </c>
      <c r="Q5" s="5" t="s">
        <v>37</v>
      </c>
    </row>
    <row r="6" spans="1:34">
      <c r="A6" s="32"/>
      <c r="I6" s="31"/>
      <c r="J6" s="31"/>
      <c r="K6" s="31"/>
      <c r="L6" s="31"/>
      <c r="M6" s="31"/>
    </row>
    <row r="7" spans="1:34">
      <c r="A7" s="30" t="s">
        <v>42</v>
      </c>
      <c r="I7" s="31" t="s">
        <v>43</v>
      </c>
      <c r="J7" s="31" t="s">
        <v>44</v>
      </c>
      <c r="K7" s="31">
        <v>146.30000000000001</v>
      </c>
      <c r="L7" s="31" t="s">
        <v>30</v>
      </c>
      <c r="M7" s="31"/>
    </row>
    <row r="8" spans="1:34">
      <c r="A8" s="36">
        <v>1</v>
      </c>
      <c r="B8" s="5" t="s">
        <v>45</v>
      </c>
      <c r="I8" s="31"/>
      <c r="J8" s="31">
        <v>146.30000000000001</v>
      </c>
      <c r="K8" s="31" t="s">
        <v>36</v>
      </c>
      <c r="L8" s="31">
        <f>J8/J4*L4</f>
        <v>3.494315467663957E-3</v>
      </c>
      <c r="M8" s="31" t="s">
        <v>37</v>
      </c>
    </row>
    <row r="9" spans="1:34">
      <c r="A9" s="37">
        <v>2</v>
      </c>
      <c r="B9" s="5" t="s">
        <v>46</v>
      </c>
      <c r="I9" s="31"/>
      <c r="J9" s="31">
        <f>1/L8</f>
        <v>286.1790840735186</v>
      </c>
      <c r="K9" s="31" t="s">
        <v>40</v>
      </c>
      <c r="L9" s="31" t="s">
        <v>47</v>
      </c>
      <c r="M9" s="31"/>
      <c r="N9" s="3">
        <f>J9*N15</f>
        <v>238.29383400138872</v>
      </c>
      <c r="O9" s="5" t="s">
        <v>41</v>
      </c>
      <c r="P9" s="3">
        <v>1</v>
      </c>
      <c r="Q9" s="5" t="s">
        <v>37</v>
      </c>
    </row>
    <row r="10" spans="1:34">
      <c r="A10" s="36">
        <v>3</v>
      </c>
      <c r="B10" s="5" t="s">
        <v>48</v>
      </c>
    </row>
    <row r="11" spans="1:34" ht="15.6">
      <c r="A11" s="37">
        <v>4</v>
      </c>
      <c r="B11" s="5" t="s">
        <v>49</v>
      </c>
      <c r="I11" s="38" t="s">
        <v>50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34">
      <c r="A12" s="37">
        <v>5</v>
      </c>
      <c r="B12" s="5" t="s">
        <v>51</v>
      </c>
      <c r="I12" s="3" t="s">
        <v>52</v>
      </c>
    </row>
    <row r="13" spans="1:34">
      <c r="A13" s="37">
        <v>6</v>
      </c>
      <c r="B13" s="5" t="s">
        <v>53</v>
      </c>
      <c r="I13" s="3" t="s">
        <v>54</v>
      </c>
    </row>
    <row r="14" spans="1:34">
      <c r="A14" s="37">
        <v>7</v>
      </c>
      <c r="B14" s="5" t="s">
        <v>55</v>
      </c>
    </row>
    <row r="15" spans="1:34">
      <c r="A15" s="17" t="s">
        <v>56</v>
      </c>
      <c r="K15" s="39">
        <v>1</v>
      </c>
      <c r="L15" s="5" t="s">
        <v>57</v>
      </c>
      <c r="M15" s="5" t="s">
        <v>58</v>
      </c>
      <c r="N15" s="3">
        <v>0.83267382999999995</v>
      </c>
      <c r="O15" s="5" t="s">
        <v>59</v>
      </c>
    </row>
    <row r="16" spans="1:34">
      <c r="A16" s="5" t="s">
        <v>60</v>
      </c>
      <c r="B16" s="5" t="s">
        <v>61</v>
      </c>
    </row>
    <row r="17" spans="1:63">
      <c r="A17" s="5" t="s">
        <v>62</v>
      </c>
      <c r="B17" s="5" t="s">
        <v>63</v>
      </c>
      <c r="K17" s="5" t="s">
        <v>64</v>
      </c>
      <c r="N17" s="3">
        <f>1/N15</f>
        <v>1.2009504369796276</v>
      </c>
      <c r="O17" s="5" t="s">
        <v>65</v>
      </c>
    </row>
    <row r="18" spans="1:63" ht="15.6">
      <c r="A18" s="40" t="s">
        <v>66</v>
      </c>
      <c r="B18" s="40" t="s">
        <v>67</v>
      </c>
      <c r="F18" s="17" t="s">
        <v>68</v>
      </c>
      <c r="J18" s="41" t="s">
        <v>69</v>
      </c>
    </row>
    <row r="19" spans="1:63">
      <c r="B19" s="5" t="s">
        <v>70</v>
      </c>
      <c r="F19" s="5"/>
    </row>
    <row r="20" spans="1:63" ht="15.6">
      <c r="B20" s="5" t="s">
        <v>71</v>
      </c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</row>
    <row r="21" spans="1:63">
      <c r="F21" s="42"/>
      <c r="H21" s="43"/>
      <c r="I21" s="44"/>
      <c r="J21" s="43"/>
      <c r="K21" s="44"/>
      <c r="L21" s="44"/>
      <c r="M21" s="45"/>
      <c r="N21" s="43"/>
      <c r="O21" s="45"/>
      <c r="P21" s="43"/>
      <c r="Q21" s="46"/>
    </row>
    <row r="22" spans="1:63">
      <c r="H22" s="47"/>
      <c r="I22" s="48"/>
      <c r="J22" s="47"/>
      <c r="K22" s="48"/>
      <c r="L22" s="48"/>
      <c r="M22" s="49"/>
      <c r="N22" s="47"/>
      <c r="O22" s="49"/>
      <c r="P22" s="47"/>
      <c r="Q22" s="50"/>
    </row>
    <row r="23" spans="1:63">
      <c r="A23" s="17" t="s">
        <v>72</v>
      </c>
    </row>
    <row r="24" spans="1:63" s="17" customFormat="1">
      <c r="D24" s="17">
        <v>1960</v>
      </c>
      <c r="E24" s="17">
        <v>1961</v>
      </c>
      <c r="F24" s="17">
        <v>1962</v>
      </c>
      <c r="G24" s="17">
        <v>1963</v>
      </c>
      <c r="H24" s="17">
        <v>1964</v>
      </c>
      <c r="I24" s="17">
        <v>1965</v>
      </c>
      <c r="J24" s="17">
        <v>1966</v>
      </c>
      <c r="K24" s="17">
        <v>1967</v>
      </c>
      <c r="L24" s="17">
        <v>1968</v>
      </c>
      <c r="M24" s="17">
        <v>1969</v>
      </c>
      <c r="N24" s="17">
        <v>1970</v>
      </c>
      <c r="O24" s="17">
        <v>1971</v>
      </c>
      <c r="P24" s="17">
        <v>1972</v>
      </c>
      <c r="Q24" s="17">
        <v>1973</v>
      </c>
      <c r="R24" s="17">
        <v>1974</v>
      </c>
      <c r="S24" s="17">
        <v>1975</v>
      </c>
      <c r="T24" s="17">
        <v>1976</v>
      </c>
      <c r="U24" s="17">
        <v>1977</v>
      </c>
      <c r="V24" s="17">
        <v>1978</v>
      </c>
      <c r="W24" s="17">
        <v>1979</v>
      </c>
      <c r="X24" s="17">
        <v>1980</v>
      </c>
      <c r="Y24" s="17">
        <v>1981</v>
      </c>
      <c r="Z24" s="17">
        <v>1982</v>
      </c>
      <c r="AA24" s="17">
        <v>1983</v>
      </c>
      <c r="AB24" s="17">
        <v>1984</v>
      </c>
      <c r="AC24" s="17">
        <v>1985</v>
      </c>
      <c r="AD24" s="17">
        <v>1986</v>
      </c>
      <c r="AE24" s="17">
        <v>1987</v>
      </c>
      <c r="AF24" s="17">
        <v>1988</v>
      </c>
      <c r="AG24" s="17">
        <v>1989</v>
      </c>
      <c r="AH24" s="17">
        <v>1990</v>
      </c>
      <c r="AI24" s="17">
        <v>1991</v>
      </c>
      <c r="AJ24" s="17">
        <v>1992</v>
      </c>
      <c r="AK24" s="17">
        <v>1993</v>
      </c>
      <c r="AL24" s="17">
        <v>1994</v>
      </c>
      <c r="AM24" s="17">
        <v>1995</v>
      </c>
      <c r="AN24" s="17">
        <v>1996</v>
      </c>
      <c r="AO24" s="17">
        <v>1997</v>
      </c>
      <c r="AP24" s="17">
        <v>1998</v>
      </c>
      <c r="AQ24" s="17">
        <v>1999</v>
      </c>
      <c r="AR24" s="17">
        <v>2000</v>
      </c>
      <c r="AS24" s="17">
        <v>2001</v>
      </c>
      <c r="AT24" s="17">
        <v>2002</v>
      </c>
      <c r="AU24" s="17">
        <v>2003</v>
      </c>
      <c r="AV24" s="17">
        <v>2004</v>
      </c>
      <c r="AW24" s="17">
        <v>2005</v>
      </c>
      <c r="AX24" s="17">
        <v>2006</v>
      </c>
      <c r="AY24" s="17">
        <v>2007</v>
      </c>
      <c r="AZ24" s="17">
        <v>2008</v>
      </c>
      <c r="BA24" s="17">
        <v>2009</v>
      </c>
      <c r="BB24" s="17">
        <v>2010</v>
      </c>
      <c r="BC24" s="17">
        <v>2011</v>
      </c>
      <c r="BD24" s="17">
        <v>2012</v>
      </c>
      <c r="BE24" s="17">
        <v>2013</v>
      </c>
      <c r="BF24" s="17">
        <v>2014</v>
      </c>
      <c r="BG24" s="17">
        <v>2015</v>
      </c>
      <c r="BH24" s="17">
        <v>2016</v>
      </c>
      <c r="BI24" s="17">
        <v>2017</v>
      </c>
      <c r="BJ24" s="17">
        <v>2018</v>
      </c>
      <c r="BK24" s="18">
        <v>2019</v>
      </c>
    </row>
    <row r="25" spans="1:63">
      <c r="B25" s="4" t="s">
        <v>73</v>
      </c>
      <c r="C25" s="4" t="str">
        <f>C47</f>
        <v>petrol exergy efficiency, y = 35(1-e^-0.025x)</v>
      </c>
      <c r="D25" s="51">
        <f>D47</f>
        <v>0.15957566228914821</v>
      </c>
      <c r="E25" s="51">
        <f t="shared" ref="E25:BB26" si="0">E47</f>
        <v>0.15957566228914821</v>
      </c>
      <c r="F25" s="51">
        <f t="shared" si="0"/>
        <v>0.15957566228914821</v>
      </c>
      <c r="G25" s="51">
        <f t="shared" si="0"/>
        <v>0.15957566228914824</v>
      </c>
      <c r="H25" s="51">
        <f t="shared" si="0"/>
        <v>0.15957566228914821</v>
      </c>
      <c r="I25" s="51">
        <f t="shared" si="0"/>
        <v>0.15957566228914824</v>
      </c>
      <c r="J25" s="51">
        <f t="shared" si="0"/>
        <v>0.15957566228914821</v>
      </c>
      <c r="K25" s="51">
        <f t="shared" si="0"/>
        <v>0.15957566228914824</v>
      </c>
      <c r="L25" s="51">
        <f t="shared" si="0"/>
        <v>0.15957566228914824</v>
      </c>
      <c r="M25" s="51">
        <f t="shared" si="0"/>
        <v>0.15957566228914821</v>
      </c>
      <c r="N25" s="51">
        <f t="shared" si="0"/>
        <v>0.15977832985657828</v>
      </c>
      <c r="O25" s="51">
        <f t="shared" si="0"/>
        <v>0.16068077968357733</v>
      </c>
      <c r="P25" s="51">
        <f t="shared" si="0"/>
        <v>0.15973940156086686</v>
      </c>
      <c r="Q25" s="51">
        <f t="shared" si="0"/>
        <v>0.15823003362711793</v>
      </c>
      <c r="R25" s="51">
        <f t="shared" si="0"/>
        <v>0.15934526063216348</v>
      </c>
      <c r="S25" s="51">
        <f t="shared" si="0"/>
        <v>0.16324187261236239</v>
      </c>
      <c r="T25" s="51">
        <f t="shared" si="0"/>
        <v>0.16372919018945534</v>
      </c>
      <c r="U25" s="51">
        <f t="shared" si="0"/>
        <v>0.16254752229460565</v>
      </c>
      <c r="V25" s="51">
        <f t="shared" si="0"/>
        <v>0.16047680163058048</v>
      </c>
      <c r="W25" s="51">
        <f t="shared" si="0"/>
        <v>0.1579245544997479</v>
      </c>
      <c r="X25" s="51">
        <f t="shared" si="0"/>
        <v>0.16263378185425792</v>
      </c>
      <c r="Y25" s="51">
        <f t="shared" si="0"/>
        <v>0.16793677186192457</v>
      </c>
      <c r="Z25" s="51">
        <f t="shared" si="0"/>
        <v>0.16810597008408468</v>
      </c>
      <c r="AA25" s="51">
        <f t="shared" si="0"/>
        <v>0.16748787469921694</v>
      </c>
      <c r="AB25" s="51">
        <f t="shared" si="0"/>
        <v>0.16937441294359271</v>
      </c>
      <c r="AC25" s="51">
        <f t="shared" si="0"/>
        <v>0.17106902296461737</v>
      </c>
      <c r="AD25" s="51">
        <f t="shared" si="0"/>
        <v>0.17067499596405628</v>
      </c>
      <c r="AE25" s="51">
        <f t="shared" si="0"/>
        <v>0.17462448779488315</v>
      </c>
      <c r="AF25" s="51">
        <f t="shared" si="0"/>
        <v>0.1764923155995331</v>
      </c>
      <c r="AG25" s="51">
        <f t="shared" si="0"/>
        <v>0.18077232454272851</v>
      </c>
      <c r="AH25" s="51">
        <f t="shared" si="0"/>
        <v>0.17707688799781174</v>
      </c>
      <c r="AI25" s="51">
        <f t="shared" si="0"/>
        <v>0.17715441011566577</v>
      </c>
      <c r="AJ25" s="51">
        <f t="shared" si="0"/>
        <v>0.17512993060076679</v>
      </c>
      <c r="AK25" s="51">
        <f t="shared" si="0"/>
        <v>0.17335647742683125</v>
      </c>
      <c r="AL25" s="51">
        <f t="shared" si="0"/>
        <v>0.17612832444328919</v>
      </c>
      <c r="AM25" s="51">
        <f t="shared" si="0"/>
        <v>0.17946721307183686</v>
      </c>
      <c r="AN25" s="51">
        <f t="shared" si="0"/>
        <v>0.17729463614075647</v>
      </c>
      <c r="AO25" s="51">
        <f t="shared" si="0"/>
        <v>0.17799028305817796</v>
      </c>
      <c r="AP25" s="51">
        <f t="shared" si="0"/>
        <v>0.18067370368605196</v>
      </c>
      <c r="AQ25" s="51">
        <f t="shared" si="0"/>
        <v>0.18070268875933287</v>
      </c>
      <c r="AR25" s="51">
        <f t="shared" si="0"/>
        <v>0.1807037510567342</v>
      </c>
      <c r="AS25" s="51">
        <f t="shared" si="0"/>
        <v>0.18239484916581919</v>
      </c>
      <c r="AT25" s="51">
        <f t="shared" si="0"/>
        <v>0.1825559884459059</v>
      </c>
      <c r="AU25" s="51">
        <f t="shared" si="0"/>
        <v>0.18387917975043055</v>
      </c>
      <c r="AV25" s="51">
        <f t="shared" si="0"/>
        <v>0.18404883077895423</v>
      </c>
      <c r="AW25" s="51">
        <f t="shared" si="0"/>
        <v>0.18294539099294047</v>
      </c>
      <c r="AX25" s="51">
        <f t="shared" si="0"/>
        <v>0.18437037586967936</v>
      </c>
      <c r="AY25" s="51">
        <f t="shared" si="0"/>
        <v>0.18365002855118884</v>
      </c>
      <c r="AZ25" s="51">
        <f t="shared" si="0"/>
        <v>0.18553345091565329</v>
      </c>
      <c r="BA25" s="51">
        <f t="shared" si="0"/>
        <v>0.18861151997382652</v>
      </c>
      <c r="BB25" s="51">
        <f t="shared" si="0"/>
        <v>0.19031440343162881</v>
      </c>
      <c r="BC25" s="52"/>
    </row>
    <row r="26" spans="1:63">
      <c r="B26" s="4" t="s">
        <v>73</v>
      </c>
      <c r="C26" s="4" t="str">
        <f>C48</f>
        <v>diesel exergy efficiency, y = 43.75(1-e^-0.025x)</v>
      </c>
      <c r="D26" s="51">
        <f>D48</f>
        <v>0.11121274215320702</v>
      </c>
      <c r="E26" s="51">
        <f t="shared" si="0"/>
        <v>0.11121274215320696</v>
      </c>
      <c r="F26" s="51">
        <f t="shared" si="0"/>
        <v>0.11121274215320702</v>
      </c>
      <c r="G26" s="51">
        <f t="shared" si="0"/>
        <v>0.11121274215320696</v>
      </c>
      <c r="H26" s="51">
        <f t="shared" si="0"/>
        <v>0.11121274215320696</v>
      </c>
      <c r="I26" s="51">
        <f t="shared" si="0"/>
        <v>0.11121274215320696</v>
      </c>
      <c r="J26" s="51">
        <f t="shared" si="0"/>
        <v>0.11121274215320696</v>
      </c>
      <c r="K26" s="51">
        <f t="shared" si="0"/>
        <v>0.11121274215320696</v>
      </c>
      <c r="L26" s="51">
        <f t="shared" si="0"/>
        <v>0.11121274215320696</v>
      </c>
      <c r="M26" s="51">
        <f t="shared" si="0"/>
        <v>0.11121274215320696</v>
      </c>
      <c r="N26" s="51">
        <f t="shared" si="0"/>
        <v>0.11091855298567591</v>
      </c>
      <c r="O26" s="51">
        <f t="shared" si="0"/>
        <v>0.1112598297595818</v>
      </c>
      <c r="P26" s="51">
        <f t="shared" si="0"/>
        <v>0.11247906298805355</v>
      </c>
      <c r="Q26" s="51">
        <f t="shared" si="0"/>
        <v>0.11048323335533489</v>
      </c>
      <c r="R26" s="51">
        <f t="shared" si="0"/>
        <v>0.11066095685956194</v>
      </c>
      <c r="S26" s="51">
        <f t="shared" si="0"/>
        <v>0.11082953057573279</v>
      </c>
      <c r="T26" s="51">
        <f t="shared" si="0"/>
        <v>0.11124380384610733</v>
      </c>
      <c r="U26" s="51">
        <f t="shared" si="0"/>
        <v>0.1089808837749896</v>
      </c>
      <c r="V26" s="51">
        <f t="shared" si="0"/>
        <v>0.10944209886842129</v>
      </c>
      <c r="W26" s="51">
        <f t="shared" si="0"/>
        <v>0.10702978848780774</v>
      </c>
      <c r="X26" s="51">
        <f t="shared" si="0"/>
        <v>0.11185287687011244</v>
      </c>
      <c r="Y26" s="51">
        <f t="shared" si="0"/>
        <v>0.11550014004931991</v>
      </c>
      <c r="Z26" s="51">
        <f t="shared" si="0"/>
        <v>0.11224594778959419</v>
      </c>
      <c r="AA26" s="51">
        <f t="shared" si="0"/>
        <v>0.10795078261415936</v>
      </c>
      <c r="AB26" s="51">
        <f t="shared" si="0"/>
        <v>0.10501699320997183</v>
      </c>
      <c r="AC26" s="51">
        <f t="shared" si="0"/>
        <v>0.10233983630011806</v>
      </c>
      <c r="AD26" s="51">
        <f t="shared" si="0"/>
        <v>9.7443268647691705E-2</v>
      </c>
      <c r="AE26" s="51">
        <f t="shared" si="0"/>
        <v>0.10356681606912473</v>
      </c>
      <c r="AF26" s="51">
        <f t="shared" si="0"/>
        <v>0.10585086800312826</v>
      </c>
      <c r="AG26" s="51">
        <f t="shared" si="0"/>
        <v>0.11637100925335452</v>
      </c>
      <c r="AH26" s="51">
        <f t="shared" si="0"/>
        <v>0.12608294413231028</v>
      </c>
      <c r="AI26" s="51">
        <f t="shared" si="0"/>
        <v>0.13282839736846638</v>
      </c>
      <c r="AJ26" s="51">
        <f t="shared" si="0"/>
        <v>0.13729003632412218</v>
      </c>
      <c r="AK26" s="51">
        <f t="shared" si="0"/>
        <v>0.143435744452453</v>
      </c>
      <c r="AL26" s="51">
        <f t="shared" si="0"/>
        <v>0.15207088893372989</v>
      </c>
      <c r="AM26" s="51">
        <f t="shared" si="0"/>
        <v>0.16159089797073409</v>
      </c>
      <c r="AN26" s="51">
        <f t="shared" si="0"/>
        <v>0.16439794803510263</v>
      </c>
      <c r="AO26" s="51">
        <f t="shared" si="0"/>
        <v>0.16913905373674695</v>
      </c>
      <c r="AP26" s="51">
        <f t="shared" si="0"/>
        <v>0.17468419641627367</v>
      </c>
      <c r="AQ26" s="51">
        <f t="shared" si="0"/>
        <v>0.18011953210604217</v>
      </c>
      <c r="AR26" s="51">
        <f t="shared" si="0"/>
        <v>0.18338118355356364</v>
      </c>
      <c r="AS26" s="51">
        <f t="shared" si="0"/>
        <v>0.18776244552961463</v>
      </c>
      <c r="AT26" s="51">
        <f t="shared" si="0"/>
        <v>0.19088361211917754</v>
      </c>
      <c r="AU26" s="51">
        <f t="shared" si="0"/>
        <v>0.19466364667455832</v>
      </c>
      <c r="AV26" s="51">
        <f t="shared" si="0"/>
        <v>0.1986263667640005</v>
      </c>
      <c r="AW26" s="51">
        <f t="shared" si="0"/>
        <v>0.20022174150248401</v>
      </c>
      <c r="AX26" s="51">
        <f t="shared" si="0"/>
        <v>0.20467516740789446</v>
      </c>
      <c r="AY26" s="51">
        <f t="shared" si="0"/>
        <v>0.20686698389112135</v>
      </c>
      <c r="AZ26" s="51">
        <f t="shared" si="0"/>
        <v>0.21513059135750168</v>
      </c>
      <c r="BA26" s="51">
        <f t="shared" si="0"/>
        <v>0.2199897864503994</v>
      </c>
      <c r="BB26" s="51">
        <f t="shared" si="0"/>
        <v>0.2209986144578612</v>
      </c>
      <c r="BC26" s="52"/>
    </row>
    <row r="27" spans="1:63" s="53" customFormat="1">
      <c r="B27" s="54" t="s">
        <v>74</v>
      </c>
      <c r="C27" s="54" t="s">
        <v>75</v>
      </c>
      <c r="D27" s="55">
        <f>35*(1-EXP(-0.025*D39))/100</f>
        <v>0.21066572223769853</v>
      </c>
      <c r="E27" s="55">
        <f t="shared" ref="E27:BJ28" si="1">35*(1-EXP(-0.025*E39))/100</f>
        <v>0.21128941788248043</v>
      </c>
      <c r="F27" s="55">
        <f t="shared" si="1"/>
        <v>0.21191333920497701</v>
      </c>
      <c r="G27" s="55">
        <f t="shared" si="1"/>
        <v>0.21253747261499017</v>
      </c>
      <c r="H27" s="55">
        <f t="shared" si="1"/>
        <v>0.21316180444179583</v>
      </c>
      <c r="I27" s="55">
        <f t="shared" si="1"/>
        <v>0.21378632093462979</v>
      </c>
      <c r="J27" s="55">
        <f t="shared" si="1"/>
        <v>0.21441100826318832</v>
      </c>
      <c r="K27" s="55">
        <f t="shared" si="1"/>
        <v>0.21503585251814206</v>
      </c>
      <c r="L27" s="55">
        <f t="shared" si="1"/>
        <v>0.21566083971166505</v>
      </c>
      <c r="M27" s="55">
        <f t="shared" si="1"/>
        <v>0.21628595577797724</v>
      </c>
      <c r="N27" s="55">
        <f t="shared" si="1"/>
        <v>0.21691118657390213</v>
      </c>
      <c r="O27" s="55">
        <f t="shared" si="1"/>
        <v>0.21596756907662734</v>
      </c>
      <c r="P27" s="55">
        <f t="shared" si="1"/>
        <v>0.21960114191949759</v>
      </c>
      <c r="Q27" s="55">
        <f t="shared" si="1"/>
        <v>0.21710729192942196</v>
      </c>
      <c r="R27" s="55">
        <f t="shared" si="1"/>
        <v>0.21802259747709357</v>
      </c>
      <c r="S27" s="55">
        <f t="shared" si="1"/>
        <v>0.22575712376045887</v>
      </c>
      <c r="T27" s="55">
        <f t="shared" si="1"/>
        <v>0.22231057885006306</v>
      </c>
      <c r="U27" s="55">
        <f t="shared" si="1"/>
        <v>0.22406821742831134</v>
      </c>
      <c r="V27" s="55">
        <f t="shared" si="1"/>
        <v>0.2197330876707114</v>
      </c>
      <c r="W27" s="55">
        <f t="shared" si="1"/>
        <v>0.21820314092517162</v>
      </c>
      <c r="X27" s="55">
        <f t="shared" si="1"/>
        <v>0.22316663901345188</v>
      </c>
      <c r="Y27" s="55">
        <f t="shared" si="1"/>
        <v>0.2275508830648256</v>
      </c>
      <c r="Z27" s="55">
        <f t="shared" si="1"/>
        <v>0.22726892887894581</v>
      </c>
      <c r="AA27" s="55">
        <f t="shared" si="1"/>
        <v>0.22832985101676964</v>
      </c>
      <c r="AB27" s="55">
        <f t="shared" si="1"/>
        <v>0.22786768571411378</v>
      </c>
      <c r="AC27" s="55">
        <f t="shared" si="1"/>
        <v>0.23162091473038177</v>
      </c>
      <c r="AD27" s="55">
        <f t="shared" si="1"/>
        <v>0.23135000121143645</v>
      </c>
      <c r="AE27" s="55">
        <f t="shared" si="1"/>
        <v>0.23633891058248224</v>
      </c>
      <c r="AF27" s="55">
        <f t="shared" si="1"/>
        <v>0.23603936990344127</v>
      </c>
      <c r="AG27" s="55">
        <f t="shared" si="1"/>
        <v>0.245605963296887</v>
      </c>
      <c r="AH27" s="55">
        <f t="shared" si="1"/>
        <v>0.24093219316582887</v>
      </c>
      <c r="AI27" s="55">
        <f t="shared" si="1"/>
        <v>0.24146440729299207</v>
      </c>
      <c r="AJ27" s="55">
        <f t="shared" si="1"/>
        <v>0.23701176763607865</v>
      </c>
      <c r="AK27" s="55">
        <f t="shared" si="1"/>
        <v>0.23311740610277465</v>
      </c>
      <c r="AL27" s="55">
        <f t="shared" si="1"/>
        <v>0.23626310225738945</v>
      </c>
      <c r="AM27" s="55">
        <f t="shared" si="1"/>
        <v>0.23911836427076558</v>
      </c>
      <c r="AN27" s="55">
        <f t="shared" si="1"/>
        <v>0.23422367215607071</v>
      </c>
      <c r="AO27" s="55">
        <f t="shared" si="1"/>
        <v>0.23599048133993086</v>
      </c>
      <c r="AP27" s="55">
        <f t="shared" si="1"/>
        <v>0.23745359000524002</v>
      </c>
      <c r="AQ27" s="55">
        <f t="shared" si="1"/>
        <v>0.2338464307991083</v>
      </c>
      <c r="AR27" s="55">
        <f t="shared" si="1"/>
        <v>0.23402694513528133</v>
      </c>
      <c r="AS27" s="55">
        <f t="shared" si="1"/>
        <v>0.23987858941171114</v>
      </c>
      <c r="AT27" s="55">
        <f t="shared" si="1"/>
        <v>0.23861959172703753</v>
      </c>
      <c r="AU27" s="55">
        <f t="shared" si="1"/>
        <v>0.23951914255892942</v>
      </c>
      <c r="AV27" s="55">
        <f t="shared" si="1"/>
        <v>0.24315647313669533</v>
      </c>
      <c r="AW27" s="55">
        <f t="shared" si="1"/>
        <v>0.24133202405425394</v>
      </c>
      <c r="AX27" s="55">
        <f t="shared" si="1"/>
        <v>0.24646619798990485</v>
      </c>
      <c r="AY27" s="55">
        <f t="shared" si="1"/>
        <v>0.24600371280985353</v>
      </c>
      <c r="AZ27" s="55">
        <f t="shared" si="1"/>
        <v>0.24548031354253269</v>
      </c>
      <c r="BA27" s="55">
        <f t="shared" si="1"/>
        <v>0.25295799313390932</v>
      </c>
      <c r="BB27" s="55">
        <f t="shared" si="1"/>
        <v>0.25627107865876014</v>
      </c>
      <c r="BC27" s="55">
        <f t="shared" si="1"/>
        <v>0.25724376377177294</v>
      </c>
      <c r="BD27" s="55">
        <f t="shared" si="1"/>
        <v>0.26109197247310278</v>
      </c>
      <c r="BE27" s="55">
        <f t="shared" si="1"/>
        <v>0.26332415624853028</v>
      </c>
      <c r="BF27" s="55">
        <f t="shared" si="1"/>
        <v>0.26423287809489254</v>
      </c>
      <c r="BG27" s="55">
        <f t="shared" si="1"/>
        <v>0.26304664368496994</v>
      </c>
      <c r="BH27" s="55">
        <f t="shared" si="1"/>
        <v>0.26604482537281854</v>
      </c>
      <c r="BI27" s="55">
        <f t="shared" si="1"/>
        <v>0.26548008502582765</v>
      </c>
      <c r="BJ27" s="55">
        <f t="shared" si="1"/>
        <v>0.26827358211888752</v>
      </c>
      <c r="BK27" s="56"/>
    </row>
    <row r="28" spans="1:63" s="53" customFormat="1">
      <c r="B28" s="54" t="s">
        <v>74</v>
      </c>
      <c r="C28" s="54" t="s">
        <v>76</v>
      </c>
      <c r="D28" s="55">
        <f>35*(1-EXP(-0.025*D40))/100</f>
        <v>0.10769496290530746</v>
      </c>
      <c r="E28" s="55">
        <f t="shared" si="1"/>
        <v>0.10789569974769969</v>
      </c>
      <c r="F28" s="55">
        <f t="shared" si="1"/>
        <v>0.10810362137103935</v>
      </c>
      <c r="G28" s="55">
        <f t="shared" si="1"/>
        <v>0.10831092416356271</v>
      </c>
      <c r="H28" s="55">
        <f t="shared" si="1"/>
        <v>0.10850052739822642</v>
      </c>
      <c r="I28" s="55">
        <f t="shared" si="1"/>
        <v>0.10869645589588525</v>
      </c>
      <c r="J28" s="55">
        <f t="shared" si="1"/>
        <v>0.10888761588143157</v>
      </c>
      <c r="K28" s="55">
        <f t="shared" si="1"/>
        <v>0.1090771323066855</v>
      </c>
      <c r="L28" s="55">
        <f t="shared" si="1"/>
        <v>0.10926004912754105</v>
      </c>
      <c r="M28" s="55">
        <f t="shared" si="1"/>
        <v>0.10944027285110186</v>
      </c>
      <c r="N28" s="57">
        <f t="shared" si="1"/>
        <v>0.10961444345469096</v>
      </c>
      <c r="O28" s="55">
        <f t="shared" si="1"/>
        <v>0.11041202433050117</v>
      </c>
      <c r="P28" s="55">
        <f t="shared" si="1"/>
        <v>0.10970227988141405</v>
      </c>
      <c r="Q28" s="55">
        <f t="shared" si="1"/>
        <v>0.10853950249434183</v>
      </c>
      <c r="R28" s="55">
        <f t="shared" si="1"/>
        <v>0.10934201537199612</v>
      </c>
      <c r="S28" s="55">
        <f t="shared" si="1"/>
        <v>0.11218624884701478</v>
      </c>
      <c r="T28" s="55">
        <f t="shared" si="1"/>
        <v>0.11246835069054339</v>
      </c>
      <c r="U28" s="55">
        <f t="shared" si="1"/>
        <v>0.1115216782393237</v>
      </c>
      <c r="V28" s="55">
        <f t="shared" si="1"/>
        <v>0.10999807452313271</v>
      </c>
      <c r="W28" s="55">
        <f t="shared" si="1"/>
        <v>0.10794510275806733</v>
      </c>
      <c r="X28" s="55">
        <f t="shared" si="1"/>
        <v>0.11148286152446531</v>
      </c>
      <c r="Y28" s="55">
        <f t="shared" si="1"/>
        <v>0.11552489514200971</v>
      </c>
      <c r="Z28" s="55">
        <f t="shared" si="1"/>
        <v>0.11565812716692946</v>
      </c>
      <c r="AA28" s="55">
        <f t="shared" si="1"/>
        <v>0.11527611012296753</v>
      </c>
      <c r="AB28" s="55">
        <f t="shared" si="1"/>
        <v>0.11690807560871951</v>
      </c>
      <c r="AC28" s="55">
        <f t="shared" si="1"/>
        <v>0.11834181663669302</v>
      </c>
      <c r="AD28" s="55">
        <f t="shared" si="1"/>
        <v>0.11811683206520587</v>
      </c>
      <c r="AE28" s="55">
        <f t="shared" si="1"/>
        <v>0.12136967006967819</v>
      </c>
      <c r="AF28" s="55">
        <f t="shared" si="1"/>
        <v>0.12304241013893071</v>
      </c>
      <c r="AG28" s="55">
        <f t="shared" si="1"/>
        <v>0.12652406238669353</v>
      </c>
      <c r="AH28" s="55">
        <f t="shared" si="1"/>
        <v>0.12358414081211422</v>
      </c>
      <c r="AI28" s="55">
        <f t="shared" si="1"/>
        <v>0.1236674891595162</v>
      </c>
      <c r="AJ28" s="55">
        <f t="shared" si="1"/>
        <v>0.12218185574877749</v>
      </c>
      <c r="AK28" s="55">
        <f t="shared" si="1"/>
        <v>0.12089685317682072</v>
      </c>
      <c r="AL28" s="55">
        <f t="shared" si="1"/>
        <v>0.12322597434067804</v>
      </c>
      <c r="AM28" s="55">
        <f t="shared" si="1"/>
        <v>0.12603458485411642</v>
      </c>
      <c r="AN28" s="55">
        <f t="shared" si="1"/>
        <v>0.12435891909597477</v>
      </c>
      <c r="AO28" s="55">
        <f t="shared" si="1"/>
        <v>0.12495373883034888</v>
      </c>
      <c r="AP28" s="55">
        <f t="shared" si="1"/>
        <v>0.12717596291699007</v>
      </c>
      <c r="AQ28" s="55">
        <f t="shared" si="1"/>
        <v>0.12727239947989888</v>
      </c>
      <c r="AR28" s="55">
        <f t="shared" si="1"/>
        <v>0.12732423591037914</v>
      </c>
      <c r="AS28" s="55">
        <f t="shared" si="1"/>
        <v>0.12875110742475271</v>
      </c>
      <c r="AT28" s="55">
        <f t="shared" si="1"/>
        <v>0.12903729760057492</v>
      </c>
      <c r="AU28" s="55">
        <f t="shared" si="1"/>
        <v>0.13026676874330645</v>
      </c>
      <c r="AV28" s="55">
        <f t="shared" si="1"/>
        <v>0.13062120493302992</v>
      </c>
      <c r="AW28" s="55">
        <f t="shared" si="1"/>
        <v>0.12995131627698689</v>
      </c>
      <c r="AX28" s="55">
        <f t="shared" si="1"/>
        <v>0.13144386786249959</v>
      </c>
      <c r="AY28" s="55">
        <f t="shared" si="1"/>
        <v>0.13107696213238482</v>
      </c>
      <c r="AZ28" s="55">
        <f t="shared" si="1"/>
        <v>0.13305996142723395</v>
      </c>
      <c r="BA28" s="55">
        <f t="shared" si="1"/>
        <v>0.13582502453787784</v>
      </c>
      <c r="BB28" s="55">
        <f t="shared" si="1"/>
        <v>0.13769553339106447</v>
      </c>
      <c r="BC28" s="55">
        <f t="shared" si="1"/>
        <v>0.13977199824845485</v>
      </c>
      <c r="BD28" s="55">
        <f t="shared" si="1"/>
        <v>0.14063618107686493</v>
      </c>
      <c r="BE28" s="55">
        <f t="shared" si="1"/>
        <v>0.14293162649929322</v>
      </c>
      <c r="BF28" s="55">
        <f t="shared" si="1"/>
        <v>0.14555683461421171</v>
      </c>
      <c r="BG28" s="55">
        <f t="shared" si="1"/>
        <v>0.14669477031299358</v>
      </c>
      <c r="BH28" s="55">
        <f t="shared" si="1"/>
        <v>0.14764864897165914</v>
      </c>
      <c r="BI28" s="55">
        <f t="shared" si="1"/>
        <v>0.1499745753417516</v>
      </c>
      <c r="BJ28" s="55">
        <f t="shared" si="1"/>
        <v>0.15337770756692493</v>
      </c>
      <c r="BK28" s="56"/>
    </row>
    <row r="29" spans="1:63" s="53" customFormat="1">
      <c r="B29" s="54" t="s">
        <v>74</v>
      </c>
      <c r="C29" s="54" t="s">
        <v>77</v>
      </c>
      <c r="D29" s="55">
        <f>43.75*(1-EXP(-0.025*D41))/100</f>
        <v>0.1391538743530577</v>
      </c>
      <c r="E29" s="55">
        <f t="shared" ref="E29:BJ29" si="2">43.75*(1-EXP(-0.025*E41))/100</f>
        <v>0.13973162675931003</v>
      </c>
      <c r="F29" s="55">
        <f t="shared" si="2"/>
        <v>0.14030842335426183</v>
      </c>
      <c r="G29" s="55">
        <f t="shared" si="2"/>
        <v>0.14088449304599199</v>
      </c>
      <c r="H29" s="55">
        <f t="shared" si="2"/>
        <v>0.14146004442495241</v>
      </c>
      <c r="I29" s="55">
        <f t="shared" si="2"/>
        <v>0.14203526801326</v>
      </c>
      <c r="J29" s="55">
        <f t="shared" si="2"/>
        <v>0.14261033822060551</v>
      </c>
      <c r="K29" s="55">
        <f t="shared" si="2"/>
        <v>0.14318541505044741</v>
      </c>
      <c r="L29" s="55">
        <f t="shared" si="2"/>
        <v>0.14376064559288715</v>
      </c>
      <c r="M29" s="55">
        <f t="shared" si="2"/>
        <v>0.1443361653346811</v>
      </c>
      <c r="N29" s="57">
        <f t="shared" si="2"/>
        <v>0.1448936286610889</v>
      </c>
      <c r="O29" s="55">
        <f t="shared" si="2"/>
        <v>0.1462470147967887</v>
      </c>
      <c r="P29" s="55">
        <f t="shared" si="2"/>
        <v>0.1459453839457294</v>
      </c>
      <c r="Q29" s="55">
        <f t="shared" si="2"/>
        <v>0.14463621490638207</v>
      </c>
      <c r="R29" s="55">
        <f t="shared" si="2"/>
        <v>0.14511806198391328</v>
      </c>
      <c r="S29" s="55">
        <f t="shared" si="2"/>
        <v>0.14910785693818476</v>
      </c>
      <c r="T29" s="55">
        <f t="shared" si="2"/>
        <v>0.15001099856675248</v>
      </c>
      <c r="U29" s="55">
        <f t="shared" si="2"/>
        <v>0.14852231699995883</v>
      </c>
      <c r="V29" s="55">
        <f t="shared" si="2"/>
        <v>0.14749882712517989</v>
      </c>
      <c r="W29" s="55">
        <f t="shared" si="2"/>
        <v>0.14503322762323392</v>
      </c>
      <c r="X29" s="55">
        <f t="shared" si="2"/>
        <v>0.15015517699648767</v>
      </c>
      <c r="Y29" s="55">
        <f t="shared" si="2"/>
        <v>0.1550678810347331</v>
      </c>
      <c r="Z29" s="55">
        <f t="shared" si="2"/>
        <v>0.15475754086078986</v>
      </c>
      <c r="AA29" s="55">
        <f t="shared" si="2"/>
        <v>0.15390197653132728</v>
      </c>
      <c r="AB29" s="55">
        <f t="shared" si="2"/>
        <v>0.15491382497868758</v>
      </c>
      <c r="AC29" s="55">
        <f t="shared" si="2"/>
        <v>0.15680388262822947</v>
      </c>
      <c r="AD29" s="55">
        <f t="shared" si="2"/>
        <v>0.15487384824200662</v>
      </c>
      <c r="AE29" s="55">
        <f t="shared" si="2"/>
        <v>0.16183084407033771</v>
      </c>
      <c r="AF29" s="55">
        <f t="shared" si="2"/>
        <v>0.16259884772578345</v>
      </c>
      <c r="AG29" s="55">
        <f t="shared" si="2"/>
        <v>0.15589092703470675</v>
      </c>
      <c r="AH29" s="55">
        <f t="shared" si="2"/>
        <v>0.16024514087113173</v>
      </c>
      <c r="AI29" s="55">
        <f t="shared" si="2"/>
        <v>0.16017939514888296</v>
      </c>
      <c r="AJ29" s="55">
        <f t="shared" si="2"/>
        <v>0.15865472921990489</v>
      </c>
      <c r="AK29" s="55">
        <f t="shared" si="2"/>
        <v>0.15841859628127289</v>
      </c>
      <c r="AL29" s="55">
        <f t="shared" si="2"/>
        <v>0.1611450425314504</v>
      </c>
      <c r="AM29" s="55">
        <f t="shared" si="2"/>
        <v>0.16502855163524408</v>
      </c>
      <c r="AN29" s="55">
        <f t="shared" si="2"/>
        <v>0.16287982764153358</v>
      </c>
      <c r="AO29" s="55">
        <f t="shared" si="2"/>
        <v>0.16312203417740115</v>
      </c>
      <c r="AP29" s="55">
        <f t="shared" si="2"/>
        <v>0.16554159960153814</v>
      </c>
      <c r="AQ29" s="55">
        <f t="shared" si="2"/>
        <v>0.16616186525706289</v>
      </c>
      <c r="AR29" s="55">
        <f t="shared" si="2"/>
        <v>0.16612350206811932</v>
      </c>
      <c r="AS29" s="55">
        <f t="shared" si="2"/>
        <v>0.16825934341168441</v>
      </c>
      <c r="AT29" s="55">
        <f t="shared" si="2"/>
        <v>0.16923035226469252</v>
      </c>
      <c r="AU29" s="55">
        <f t="shared" si="2"/>
        <v>0.17098052106040262</v>
      </c>
      <c r="AV29" s="55">
        <f t="shared" si="2"/>
        <v>0.17211155763833247</v>
      </c>
      <c r="AW29" s="55">
        <f t="shared" si="2"/>
        <v>0.1715735628379968</v>
      </c>
      <c r="AX29" s="55">
        <f t="shared" si="2"/>
        <v>0.17383899321376822</v>
      </c>
      <c r="AY29" s="55">
        <f t="shared" si="2"/>
        <v>0.17395417595710999</v>
      </c>
      <c r="AZ29" s="55">
        <f t="shared" si="2"/>
        <v>0.17812566514196362</v>
      </c>
      <c r="BA29" s="55">
        <f t="shared" si="2"/>
        <v>0.18034858180955229</v>
      </c>
      <c r="BB29" s="55">
        <f t="shared" si="2"/>
        <v>0.1815564989755302</v>
      </c>
      <c r="BC29" s="55">
        <f t="shared" si="2"/>
        <v>0.18382754562673775</v>
      </c>
      <c r="BD29" s="55">
        <f t="shared" si="2"/>
        <v>0.18437780464306969</v>
      </c>
      <c r="BE29" s="55">
        <f t="shared" si="2"/>
        <v>0.1871254788362802</v>
      </c>
      <c r="BF29" s="55">
        <f t="shared" si="2"/>
        <v>0.1898282340017716</v>
      </c>
      <c r="BG29" s="55">
        <f t="shared" si="2"/>
        <v>0.19037757905422648</v>
      </c>
      <c r="BH29" s="55">
        <f t="shared" si="2"/>
        <v>0.190458291754178</v>
      </c>
      <c r="BI29" s="55">
        <f t="shared" si="2"/>
        <v>0.19318380213649683</v>
      </c>
      <c r="BJ29" s="55">
        <f t="shared" si="2"/>
        <v>0.19699143218185244</v>
      </c>
      <c r="BK29" s="56"/>
    </row>
    <row r="30" spans="1:63" s="53" customFormat="1">
      <c r="B30" s="54" t="s">
        <v>74</v>
      </c>
      <c r="C30" s="54" t="s">
        <v>78</v>
      </c>
      <c r="D30" s="55">
        <f>50*(1-EXP(-0.13*D42))/100</f>
        <v>0.20625414176561679</v>
      </c>
      <c r="E30" s="55">
        <f t="shared" ref="E30:BJ31" si="3">50*(1-EXP(-0.13*E42))/100</f>
        <v>0.21436333807075292</v>
      </c>
      <c r="F30" s="55">
        <f t="shared" si="3"/>
        <v>0.22265760476580621</v>
      </c>
      <c r="G30" s="55">
        <f t="shared" si="3"/>
        <v>0.23112834998814555</v>
      </c>
      <c r="H30" s="55">
        <f t="shared" si="3"/>
        <v>0.23976557311547667</v>
      </c>
      <c r="I30" s="55">
        <f t="shared" si="3"/>
        <v>0.24855780614777431</v>
      </c>
      <c r="J30" s="55">
        <f t="shared" si="3"/>
        <v>0.25749206429415672</v>
      </c>
      <c r="K30" s="55">
        <f t="shared" si="3"/>
        <v>0.26655380787385718</v>
      </c>
      <c r="L30" s="55">
        <f t="shared" si="3"/>
        <v>0.27572691778243696</v>
      </c>
      <c r="M30" s="55">
        <f t="shared" si="3"/>
        <v>0.28499368688821025</v>
      </c>
      <c r="N30" s="57">
        <f t="shared" si="3"/>
        <v>0.29433482979953851</v>
      </c>
      <c r="O30" s="55">
        <f t="shared" si="3"/>
        <v>0.2929618639744247</v>
      </c>
      <c r="P30" s="55">
        <f t="shared" si="3"/>
        <v>0.29399782123437979</v>
      </c>
      <c r="Q30" s="55">
        <f t="shared" si="3"/>
        <v>0.28847343344699417</v>
      </c>
      <c r="R30" s="55">
        <f t="shared" si="3"/>
        <v>0.28535323694952197</v>
      </c>
      <c r="S30" s="55">
        <f t="shared" si="3"/>
        <v>0.28472923223878832</v>
      </c>
      <c r="T30" s="55">
        <f t="shared" si="3"/>
        <v>0.28519871257822771</v>
      </c>
      <c r="U30" s="55">
        <f t="shared" si="3"/>
        <v>0.27862412842979223</v>
      </c>
      <c r="V30" s="55">
        <f t="shared" si="3"/>
        <v>0.27891105174861192</v>
      </c>
      <c r="W30" s="55">
        <f t="shared" si="3"/>
        <v>0.2741058469489156</v>
      </c>
      <c r="X30" s="55">
        <f t="shared" si="3"/>
        <v>0.28347706586165239</v>
      </c>
      <c r="Y30" s="55">
        <f t="shared" si="3"/>
        <v>0.28796787506449228</v>
      </c>
      <c r="Z30" s="55">
        <f t="shared" si="3"/>
        <v>0.27876133977850903</v>
      </c>
      <c r="AA30" s="55">
        <f t="shared" si="3"/>
        <v>0.26977833979057264</v>
      </c>
      <c r="AB30" s="55">
        <f t="shared" si="3"/>
        <v>0.26088989488500541</v>
      </c>
      <c r="AC30" s="55">
        <f t="shared" si="3"/>
        <v>0.24982665768570456</v>
      </c>
      <c r="AD30" s="55">
        <f t="shared" si="3"/>
        <v>0.23573119177965376</v>
      </c>
      <c r="AE30" s="55">
        <f t="shared" si="3"/>
        <v>0.24315513369166714</v>
      </c>
      <c r="AF30" s="55">
        <f t="shared" si="3"/>
        <v>0.23896796721736419</v>
      </c>
      <c r="AG30" s="55">
        <f t="shared" si="3"/>
        <v>0.25047751090638337</v>
      </c>
      <c r="AH30" s="55">
        <f t="shared" si="3"/>
        <v>0.24848018656349347</v>
      </c>
      <c r="AI30" s="55">
        <f t="shared" si="3"/>
        <v>0.25386590209564397</v>
      </c>
      <c r="AJ30" s="55">
        <f t="shared" si="3"/>
        <v>0.24996785870949256</v>
      </c>
      <c r="AK30" s="55">
        <f t="shared" si="3"/>
        <v>0.25096290869438342</v>
      </c>
      <c r="AL30" s="55">
        <f t="shared" si="3"/>
        <v>0.24893042116408015</v>
      </c>
      <c r="AM30" s="55">
        <f t="shared" si="3"/>
        <v>0.25608908340428782</v>
      </c>
      <c r="AN30" s="55">
        <f t="shared" si="3"/>
        <v>0.25645255325714544</v>
      </c>
      <c r="AO30" s="55">
        <f t="shared" si="3"/>
        <v>0.26021189050349336</v>
      </c>
      <c r="AP30" s="55">
        <f t="shared" si="3"/>
        <v>0.26730193279572673</v>
      </c>
      <c r="AQ30" s="55">
        <f t="shared" si="3"/>
        <v>0.27354555695030236</v>
      </c>
      <c r="AR30" s="55">
        <f t="shared" si="3"/>
        <v>0.27632465750858737</v>
      </c>
      <c r="AS30" s="55">
        <f t="shared" si="3"/>
        <v>0.27548762510229341</v>
      </c>
      <c r="AT30" s="55">
        <f t="shared" si="3"/>
        <v>0.27308945967800968</v>
      </c>
      <c r="AU30" s="55">
        <f t="shared" si="3"/>
        <v>0.27216593178016302</v>
      </c>
      <c r="AV30" s="55">
        <f t="shared" si="3"/>
        <v>0.27390861541949796</v>
      </c>
      <c r="AW30" s="55">
        <f t="shared" si="3"/>
        <v>0.26985527162359191</v>
      </c>
      <c r="AX30" s="55">
        <f t="shared" si="3"/>
        <v>0.26957372208913732</v>
      </c>
      <c r="AY30" s="55">
        <f t="shared" si="3"/>
        <v>0.26994527516187083</v>
      </c>
      <c r="AZ30" s="55">
        <f t="shared" si="3"/>
        <v>0.27901230419627332</v>
      </c>
      <c r="BA30" s="55">
        <f t="shared" si="3"/>
        <v>0.27820437956297184</v>
      </c>
      <c r="BB30" s="55">
        <f t="shared" si="3"/>
        <v>0.27416375809213733</v>
      </c>
      <c r="BC30" s="55">
        <f t="shared" si="3"/>
        <v>0.27440055916354439</v>
      </c>
      <c r="BD30" s="55">
        <f t="shared" si="3"/>
        <v>0.26957463971845869</v>
      </c>
      <c r="BE30" s="55">
        <f t="shared" si="3"/>
        <v>0.27119057530584112</v>
      </c>
      <c r="BF30" s="55">
        <f t="shared" si="3"/>
        <v>0.27087490146620585</v>
      </c>
      <c r="BG30" s="55">
        <f t="shared" si="3"/>
        <v>0.26812865245445505</v>
      </c>
      <c r="BH30" s="55">
        <f t="shared" si="3"/>
        <v>0.2641526910271273</v>
      </c>
      <c r="BI30" s="55">
        <f t="shared" si="3"/>
        <v>0.26421231574353765</v>
      </c>
      <c r="BJ30" s="57">
        <f t="shared" si="3"/>
        <v>0.26573713644085517</v>
      </c>
      <c r="BK30" s="56"/>
    </row>
    <row r="31" spans="1:63" s="53" customFormat="1">
      <c r="B31" s="54" t="s">
        <v>74</v>
      </c>
      <c r="C31" s="54" t="s">
        <v>79</v>
      </c>
      <c r="D31" s="55">
        <f>50*(1-EXP(-0.13*D43))/100</f>
        <v>0.24670520672063156</v>
      </c>
      <c r="E31" s="55">
        <f t="shared" si="3"/>
        <v>0.25378173125406267</v>
      </c>
      <c r="F31" s="55">
        <f t="shared" si="3"/>
        <v>0.26094296180156229</v>
      </c>
      <c r="G31" s="55">
        <f t="shared" si="3"/>
        <v>0.26818118494751719</v>
      </c>
      <c r="H31" s="55">
        <f t="shared" si="3"/>
        <v>0.27548805110977587</v>
      </c>
      <c r="I31" s="55">
        <f t="shared" si="3"/>
        <v>0.28285457329759567</v>
      </c>
      <c r="J31" s="55">
        <f t="shared" si="3"/>
        <v>0.29027113064882692</v>
      </c>
      <c r="K31" s="55">
        <f t="shared" si="3"/>
        <v>0.29772747724651272</v>
      </c>
      <c r="L31" s="55">
        <f t="shared" si="3"/>
        <v>0.30521275671000259</v>
      </c>
      <c r="M31" s="55">
        <f t="shared" si="3"/>
        <v>0.312715523041323</v>
      </c>
      <c r="N31" s="57">
        <f t="shared" si="3"/>
        <v>0.32022376818259313</v>
      </c>
      <c r="O31" s="55">
        <f t="shared" si="3"/>
        <v>0.31981301365543657</v>
      </c>
      <c r="P31" s="55">
        <f t="shared" si="3"/>
        <v>0.32147290925084809</v>
      </c>
      <c r="Q31" s="55">
        <f t="shared" si="3"/>
        <v>0.31580467496711884</v>
      </c>
      <c r="R31" s="55">
        <f t="shared" si="3"/>
        <v>0.32246609877975785</v>
      </c>
      <c r="S31" s="55">
        <f t="shared" si="3"/>
        <v>0.31825323799574329</v>
      </c>
      <c r="T31" s="55">
        <f t="shared" si="3"/>
        <v>0.32435217508562098</v>
      </c>
      <c r="U31" s="55">
        <f t="shared" si="3"/>
        <v>0.31547016797764443</v>
      </c>
      <c r="V31" s="55">
        <f t="shared" si="3"/>
        <v>0.32218552526271005</v>
      </c>
      <c r="W31" s="55">
        <f t="shared" si="3"/>
        <v>0.31811523623691706</v>
      </c>
      <c r="X31" s="55">
        <f t="shared" si="3"/>
        <v>0.3213288102250953</v>
      </c>
      <c r="Y31" s="55">
        <f t="shared" si="3"/>
        <v>0.32685351423616715</v>
      </c>
      <c r="Z31" s="55">
        <f t="shared" si="3"/>
        <v>0.31753780619697469</v>
      </c>
      <c r="AA31" s="55">
        <f t="shared" si="3"/>
        <v>0.30707942521262999</v>
      </c>
      <c r="AB31" s="55">
        <f t="shared" si="3"/>
        <v>0.29969215289178242</v>
      </c>
      <c r="AC31" s="55">
        <f t="shared" si="3"/>
        <v>0.29373834967208468</v>
      </c>
      <c r="AD31" s="55">
        <f t="shared" si="3"/>
        <v>0.27880728171479885</v>
      </c>
      <c r="AE31" s="55">
        <f t="shared" si="3"/>
        <v>0.28214563606909909</v>
      </c>
      <c r="AF31" s="55">
        <f t="shared" si="3"/>
        <v>0.28277877793300465</v>
      </c>
      <c r="AG31" s="55">
        <f t="shared" si="3"/>
        <v>0.27273626654277394</v>
      </c>
      <c r="AH31" s="55">
        <f t="shared" si="3"/>
        <v>0.27592387113514028</v>
      </c>
      <c r="AI31" s="55">
        <f t="shared" si="3"/>
        <v>0.2774965062536805</v>
      </c>
      <c r="AJ31" s="55">
        <f t="shared" si="3"/>
        <v>0.27367195023486957</v>
      </c>
      <c r="AK31" s="55">
        <f t="shared" si="3"/>
        <v>0.27400462083169652</v>
      </c>
      <c r="AL31" s="55">
        <f t="shared" si="3"/>
        <v>0.2716441430239529</v>
      </c>
      <c r="AM31" s="55">
        <f t="shared" si="3"/>
        <v>0.27516617025700901</v>
      </c>
      <c r="AN31" s="55">
        <f t="shared" si="3"/>
        <v>0.27881728414217677</v>
      </c>
      <c r="AO31" s="55">
        <f t="shared" si="3"/>
        <v>0.28446429813055563</v>
      </c>
      <c r="AP31" s="55">
        <f t="shared" si="3"/>
        <v>0.29486015000054244</v>
      </c>
      <c r="AQ31" s="55">
        <f t="shared" si="3"/>
        <v>0.3006503008099547</v>
      </c>
      <c r="AR31" s="55">
        <f t="shared" si="3"/>
        <v>0.30663847100017971</v>
      </c>
      <c r="AS31" s="55">
        <f t="shared" si="3"/>
        <v>0.31110730916121437</v>
      </c>
      <c r="AT31" s="55">
        <f t="shared" si="3"/>
        <v>0.31168966639384199</v>
      </c>
      <c r="AU31" s="55">
        <f t="shared" si="3"/>
        <v>0.3125541869499876</v>
      </c>
      <c r="AV31" s="55">
        <f t="shared" si="3"/>
        <v>0.31517484864195566</v>
      </c>
      <c r="AW31" s="55">
        <f t="shared" si="3"/>
        <v>0.31574386058042436</v>
      </c>
      <c r="AX31" s="55">
        <f t="shared" si="3"/>
        <v>0.31889139100080677</v>
      </c>
      <c r="AY31" s="55">
        <f t="shared" si="3"/>
        <v>0.32121776403190205</v>
      </c>
      <c r="AZ31" s="55">
        <f t="shared" si="3"/>
        <v>0.32649563966007622</v>
      </c>
      <c r="BA31" s="55">
        <f t="shared" si="3"/>
        <v>0.32709658782956652</v>
      </c>
      <c r="BB31" s="55">
        <f t="shared" si="3"/>
        <v>0.32880126944523108</v>
      </c>
      <c r="BC31" s="55">
        <f t="shared" si="3"/>
        <v>0.33227890152997136</v>
      </c>
      <c r="BD31" s="55">
        <f t="shared" si="3"/>
        <v>0.32784856340877605</v>
      </c>
      <c r="BE31" s="55">
        <f t="shared" si="3"/>
        <v>0.33188077472100103</v>
      </c>
      <c r="BF31" s="55">
        <f t="shared" si="3"/>
        <v>0.33278450495917666</v>
      </c>
      <c r="BG31" s="55">
        <f t="shared" si="3"/>
        <v>0.3325954996837448</v>
      </c>
      <c r="BH31" s="55">
        <f t="shared" si="3"/>
        <v>0.32860930519567033</v>
      </c>
      <c r="BI31" s="55">
        <f t="shared" si="3"/>
        <v>0.33742988730632784</v>
      </c>
      <c r="BJ31" s="57">
        <f t="shared" si="3"/>
        <v>0.34098705785836592</v>
      </c>
      <c r="BK31" s="56"/>
    </row>
    <row r="32" spans="1:63" s="53" customFormat="1">
      <c r="A32" s="58"/>
      <c r="B32" s="54" t="s">
        <v>74</v>
      </c>
      <c r="C32" s="54" t="s">
        <v>80</v>
      </c>
      <c r="D32" s="59">
        <f>D228/D240</f>
        <v>5.9111102147046922E-2</v>
      </c>
      <c r="E32" s="59">
        <f t="shared" ref="E32:BI32" si="4">E228/E240</f>
        <v>5.3828140846266644E-2</v>
      </c>
      <c r="F32" s="59">
        <f t="shared" si="4"/>
        <v>4.6276034635194911E-2</v>
      </c>
      <c r="G32" s="59">
        <f t="shared" si="4"/>
        <v>3.8332858477181583E-2</v>
      </c>
      <c r="H32" s="59">
        <f t="shared" si="4"/>
        <v>3.4797124128854988E-2</v>
      </c>
      <c r="I32" s="59">
        <f t="shared" si="4"/>
        <v>2.9130425413273524E-2</v>
      </c>
      <c r="J32" s="59">
        <f t="shared" si="4"/>
        <v>2.4458238009693139E-2</v>
      </c>
      <c r="K32" s="59">
        <f t="shared" si="4"/>
        <v>1.9916126934346166E-2</v>
      </c>
      <c r="L32" s="59">
        <f t="shared" si="4"/>
        <v>1.711249599718127E-2</v>
      </c>
      <c r="M32" s="59">
        <f t="shared" si="4"/>
        <v>1.4922715184102514E-2</v>
      </c>
      <c r="N32" s="59">
        <f t="shared" si="4"/>
        <v>1.4540494437851884E-2</v>
      </c>
      <c r="O32" s="59">
        <f t="shared" si="4"/>
        <v>1.3366381827831291E-2</v>
      </c>
      <c r="P32" s="59">
        <f t="shared" si="4"/>
        <v>1.1713105407023354E-2</v>
      </c>
      <c r="Q32" s="59">
        <f t="shared" si="4"/>
        <v>1.1703791408804736E-2</v>
      </c>
      <c r="R32" s="59">
        <f t="shared" si="4"/>
        <v>1.2931954815903127E-2</v>
      </c>
      <c r="S32" s="59">
        <f t="shared" si="4"/>
        <v>1.5318407806705568E-2</v>
      </c>
      <c r="T32" s="59">
        <f t="shared" si="4"/>
        <v>1.8311067300738958E-2</v>
      </c>
      <c r="U32" s="59">
        <f t="shared" si="4"/>
        <v>1.7583863710755161E-2</v>
      </c>
      <c r="V32" s="59">
        <f t="shared" si="4"/>
        <v>1.6731381270488642E-2</v>
      </c>
      <c r="W32" s="59">
        <f t="shared" si="4"/>
        <v>1.7497443712126106E-2</v>
      </c>
      <c r="X32" s="59">
        <f t="shared" si="4"/>
        <v>1.9699777236537108E-2</v>
      </c>
      <c r="Y32" s="59">
        <f t="shared" si="4"/>
        <v>2.2312776920056697E-2</v>
      </c>
      <c r="Z32" s="59">
        <f t="shared" si="4"/>
        <v>2.2532227453913905E-2</v>
      </c>
      <c r="AA32" s="59">
        <f t="shared" si="4"/>
        <v>2.0055227295953701E-2</v>
      </c>
      <c r="AB32" s="59">
        <f t="shared" si="4"/>
        <v>1.8720728601566514E-2</v>
      </c>
      <c r="AC32" s="59">
        <f t="shared" si="4"/>
        <v>1.6585034171572217E-2</v>
      </c>
      <c r="AD32" s="59">
        <f t="shared" si="4"/>
        <v>1.5101072781071444E-2</v>
      </c>
      <c r="AE32" s="59">
        <f t="shared" si="4"/>
        <v>1.3418005373636984E-2</v>
      </c>
      <c r="AF32" s="59">
        <f t="shared" si="4"/>
        <v>1.1305614934388196E-2</v>
      </c>
      <c r="AG32" s="59">
        <f t="shared" si="4"/>
        <v>1.0190456781626315E-2</v>
      </c>
      <c r="AH32" s="59">
        <f t="shared" si="4"/>
        <v>9.8410633098808681E-3</v>
      </c>
      <c r="AI32" s="59">
        <f t="shared" si="4"/>
        <v>9.6342957274321815E-3</v>
      </c>
      <c r="AJ32" s="59">
        <f t="shared" si="4"/>
        <v>8.2094086002820615E-3</v>
      </c>
      <c r="AK32" s="59">
        <f t="shared" si="4"/>
        <v>7.0357342470112137E-3</v>
      </c>
      <c r="AL32" s="59">
        <f t="shared" si="4"/>
        <v>7.1492027315629963E-3</v>
      </c>
      <c r="AM32" s="59">
        <f t="shared" si="4"/>
        <v>7.2803226610223719E-3</v>
      </c>
      <c r="AN32" s="59">
        <f t="shared" si="4"/>
        <v>7.4096485904656569E-3</v>
      </c>
      <c r="AO32" s="59">
        <f t="shared" si="4"/>
        <v>8.0017736074022398E-3</v>
      </c>
      <c r="AP32" s="59">
        <f t="shared" si="4"/>
        <v>8.3821383739626412E-3</v>
      </c>
      <c r="AQ32" s="59">
        <f t="shared" si="4"/>
        <v>9.3128466165864621E-3</v>
      </c>
      <c r="AR32" s="59">
        <f t="shared" si="4"/>
        <v>9.4705027702437373E-3</v>
      </c>
      <c r="AS32" s="59">
        <f t="shared" si="4"/>
        <v>9.9118027890171476E-3</v>
      </c>
      <c r="AT32" s="59">
        <f t="shared" si="4"/>
        <v>1.0412764828072726E-2</v>
      </c>
      <c r="AU32" s="59">
        <f t="shared" si="4"/>
        <v>1.1858031205587545E-2</v>
      </c>
      <c r="AV32" s="59">
        <f t="shared" si="4"/>
        <v>1.1103082322471725E-2</v>
      </c>
      <c r="AW32" s="59">
        <f t="shared" si="4"/>
        <v>1.2012733109810712E-2</v>
      </c>
      <c r="AX32" s="59">
        <f t="shared" si="4"/>
        <v>1.167171722270881E-2</v>
      </c>
      <c r="AY32" s="59">
        <f t="shared" si="4"/>
        <v>1.2798379778931701E-2</v>
      </c>
      <c r="AZ32" s="59">
        <f t="shared" si="4"/>
        <v>1.2490936838077076E-2</v>
      </c>
      <c r="BA32" s="59">
        <f t="shared" si="4"/>
        <v>1.2874135670446509E-2</v>
      </c>
      <c r="BB32" s="59">
        <f t="shared" si="4"/>
        <v>1.2182225859935659E-2</v>
      </c>
      <c r="BC32" s="59">
        <f t="shared" si="4"/>
        <v>1.2722022286882717E-2</v>
      </c>
      <c r="BD32" s="59">
        <f t="shared" si="4"/>
        <v>1.295051178262319E-2</v>
      </c>
      <c r="BE32" s="59">
        <f t="shared" si="4"/>
        <v>1.2940104971456427E-2</v>
      </c>
      <c r="BF32" s="59">
        <f t="shared" si="4"/>
        <v>1.3600777361050757E-2</v>
      </c>
      <c r="BG32" s="59">
        <f t="shared" si="4"/>
        <v>1.404351274525077E-2</v>
      </c>
      <c r="BH32" s="59">
        <f t="shared" si="4"/>
        <v>1.4355734571992032E-2</v>
      </c>
      <c r="BI32" s="59">
        <f t="shared" si="4"/>
        <v>1.4645837514514412E-2</v>
      </c>
      <c r="BJ32" s="59">
        <f>BJ228/BJ240</f>
        <v>1.4580228746185541E-2</v>
      </c>
      <c r="BK32" s="60">
        <f>BK228/BK240</f>
        <v>1.522430531344492E-2</v>
      </c>
    </row>
    <row r="33" spans="2:63" s="53" customFormat="1">
      <c r="B33" s="54" t="s">
        <v>74</v>
      </c>
      <c r="C33" s="54" t="s">
        <v>81</v>
      </c>
      <c r="D33" s="59">
        <f>1-D32</f>
        <v>0.94088889785295304</v>
      </c>
      <c r="E33" s="59">
        <f t="shared" ref="E33:BK33" si="5">1-E32</f>
        <v>0.94617185915373336</v>
      </c>
      <c r="F33" s="59">
        <f t="shared" si="5"/>
        <v>0.95372396536480508</v>
      </c>
      <c r="G33" s="59">
        <f t="shared" si="5"/>
        <v>0.9616671415228184</v>
      </c>
      <c r="H33" s="59">
        <f t="shared" si="5"/>
        <v>0.96520287587114506</v>
      </c>
      <c r="I33" s="59">
        <f t="shared" si="5"/>
        <v>0.97086957458672651</v>
      </c>
      <c r="J33" s="59">
        <f t="shared" si="5"/>
        <v>0.97554176199030684</v>
      </c>
      <c r="K33" s="59">
        <f t="shared" si="5"/>
        <v>0.98008387306565381</v>
      </c>
      <c r="L33" s="59">
        <f t="shared" si="5"/>
        <v>0.98288750400281877</v>
      </c>
      <c r="M33" s="59">
        <f t="shared" si="5"/>
        <v>0.98507728481589751</v>
      </c>
      <c r="N33" s="59">
        <f t="shared" si="5"/>
        <v>0.98545950556214812</v>
      </c>
      <c r="O33" s="59">
        <f t="shared" si="5"/>
        <v>0.98663361817216866</v>
      </c>
      <c r="P33" s="59">
        <f t="shared" si="5"/>
        <v>0.98828689459297669</v>
      </c>
      <c r="Q33" s="59">
        <f t="shared" si="5"/>
        <v>0.98829620859119527</v>
      </c>
      <c r="R33" s="59">
        <f t="shared" si="5"/>
        <v>0.98706804518409685</v>
      </c>
      <c r="S33" s="59">
        <f t="shared" si="5"/>
        <v>0.98468159219329443</v>
      </c>
      <c r="T33" s="59">
        <f t="shared" si="5"/>
        <v>0.98168893269926105</v>
      </c>
      <c r="U33" s="59">
        <f t="shared" si="5"/>
        <v>0.98241613628924485</v>
      </c>
      <c r="V33" s="59">
        <f t="shared" si="5"/>
        <v>0.98326861872951132</v>
      </c>
      <c r="W33" s="59">
        <f t="shared" si="5"/>
        <v>0.98250255628787386</v>
      </c>
      <c r="X33" s="59">
        <f t="shared" si="5"/>
        <v>0.98030022276346285</v>
      </c>
      <c r="Y33" s="59">
        <f t="shared" si="5"/>
        <v>0.97768722307994327</v>
      </c>
      <c r="Z33" s="59">
        <f t="shared" si="5"/>
        <v>0.97746777254608608</v>
      </c>
      <c r="AA33" s="59">
        <f t="shared" si="5"/>
        <v>0.97994477270404634</v>
      </c>
      <c r="AB33" s="59">
        <f t="shared" si="5"/>
        <v>0.98127927139843352</v>
      </c>
      <c r="AC33" s="59">
        <f t="shared" si="5"/>
        <v>0.9834149658284278</v>
      </c>
      <c r="AD33" s="59">
        <f t="shared" si="5"/>
        <v>0.98489892721892858</v>
      </c>
      <c r="AE33" s="59">
        <f t="shared" si="5"/>
        <v>0.98658199462636298</v>
      </c>
      <c r="AF33" s="59">
        <f t="shared" si="5"/>
        <v>0.9886943850656118</v>
      </c>
      <c r="AG33" s="59">
        <f t="shared" si="5"/>
        <v>0.98980954321837367</v>
      </c>
      <c r="AH33" s="59">
        <f t="shared" si="5"/>
        <v>0.99015893669011912</v>
      </c>
      <c r="AI33" s="59">
        <f t="shared" si="5"/>
        <v>0.99036570427256787</v>
      </c>
      <c r="AJ33" s="59">
        <f t="shared" si="5"/>
        <v>0.99179059139971792</v>
      </c>
      <c r="AK33" s="59">
        <f t="shared" si="5"/>
        <v>0.9929642657529888</v>
      </c>
      <c r="AL33" s="59">
        <f t="shared" si="5"/>
        <v>0.99285079726843706</v>
      </c>
      <c r="AM33" s="59">
        <f t="shared" si="5"/>
        <v>0.99271967733897759</v>
      </c>
      <c r="AN33" s="59">
        <f t="shared" si="5"/>
        <v>0.99259035140953433</v>
      </c>
      <c r="AO33" s="59">
        <f t="shared" si="5"/>
        <v>0.99199822639259772</v>
      </c>
      <c r="AP33" s="59">
        <f t="shared" si="5"/>
        <v>0.99161786162603738</v>
      </c>
      <c r="AQ33" s="59">
        <f t="shared" si="5"/>
        <v>0.99068715338341351</v>
      </c>
      <c r="AR33" s="59">
        <f t="shared" si="5"/>
        <v>0.99052949722975625</v>
      </c>
      <c r="AS33" s="59">
        <f t="shared" si="5"/>
        <v>0.99008819721098285</v>
      </c>
      <c r="AT33" s="59">
        <f t="shared" si="5"/>
        <v>0.98958723517192726</v>
      </c>
      <c r="AU33" s="59">
        <f t="shared" si="5"/>
        <v>0.98814196879441241</v>
      </c>
      <c r="AV33" s="59">
        <f t="shared" si="5"/>
        <v>0.9888969176775283</v>
      </c>
      <c r="AW33" s="59">
        <f t="shared" si="5"/>
        <v>0.98798726689018934</v>
      </c>
      <c r="AX33" s="59">
        <f t="shared" si="5"/>
        <v>0.98832828277729123</v>
      </c>
      <c r="AY33" s="59">
        <f t="shared" si="5"/>
        <v>0.98720162022106828</v>
      </c>
      <c r="AZ33" s="59">
        <f t="shared" si="5"/>
        <v>0.98750906316192288</v>
      </c>
      <c r="BA33" s="59">
        <f t="shared" si="5"/>
        <v>0.98712586432955352</v>
      </c>
      <c r="BB33" s="59">
        <f t="shared" si="5"/>
        <v>0.98781777414006433</v>
      </c>
      <c r="BC33" s="59">
        <f t="shared" si="5"/>
        <v>0.98727797771311732</v>
      </c>
      <c r="BD33" s="59">
        <f t="shared" si="5"/>
        <v>0.98704948821737681</v>
      </c>
      <c r="BE33" s="59">
        <f t="shared" si="5"/>
        <v>0.98705989502854352</v>
      </c>
      <c r="BF33" s="59">
        <f t="shared" si="5"/>
        <v>0.98639922263894919</v>
      </c>
      <c r="BG33" s="59">
        <f t="shared" si="5"/>
        <v>0.98595648725474927</v>
      </c>
      <c r="BH33" s="59">
        <f t="shared" si="5"/>
        <v>0.98564426542800798</v>
      </c>
      <c r="BI33" s="59">
        <f t="shared" si="5"/>
        <v>0.98535416248548557</v>
      </c>
      <c r="BJ33" s="59">
        <f t="shared" si="5"/>
        <v>0.98541977125381441</v>
      </c>
      <c r="BK33" s="60">
        <f t="shared" si="5"/>
        <v>0.98477569468655513</v>
      </c>
    </row>
    <row r="34" spans="2:63" s="53" customFormat="1">
      <c r="B34" s="54" t="s">
        <v>74</v>
      </c>
      <c r="C34" s="54" t="s">
        <v>82</v>
      </c>
      <c r="D34" s="59">
        <f>D218</f>
        <v>4.5435624158031776E-2</v>
      </c>
      <c r="E34" s="59">
        <f t="shared" ref="E34:M34" si="6">E218</f>
        <v>4.8435624158031779E-2</v>
      </c>
      <c r="F34" s="59">
        <f t="shared" si="6"/>
        <v>5.1435624158031781E-2</v>
      </c>
      <c r="G34" s="59">
        <f t="shared" si="6"/>
        <v>5.4435624158031784E-2</v>
      </c>
      <c r="H34" s="59">
        <f t="shared" si="6"/>
        <v>5.7435624158031787E-2</v>
      </c>
      <c r="I34" s="59">
        <f t="shared" si="6"/>
        <v>6.0435624158031789E-2</v>
      </c>
      <c r="J34" s="59">
        <f t="shared" si="6"/>
        <v>6.3435624158031792E-2</v>
      </c>
      <c r="K34" s="59">
        <f t="shared" si="6"/>
        <v>6.6435624158031795E-2</v>
      </c>
      <c r="L34" s="59">
        <f t="shared" si="6"/>
        <v>6.9435624158031797E-2</v>
      </c>
      <c r="M34" s="59">
        <f t="shared" si="6"/>
        <v>7.24356241580318E-2</v>
      </c>
      <c r="N34" s="59">
        <f t="shared" ref="N34:BK34" si="7">1-N36-N35</f>
        <v>7.5435624158031844E-2</v>
      </c>
      <c r="O34" s="59">
        <f t="shared" si="7"/>
        <v>7.8852475836911684E-2</v>
      </c>
      <c r="P34" s="59">
        <f t="shared" si="7"/>
        <v>8.3503023520661079E-2</v>
      </c>
      <c r="Q34" s="59">
        <f t="shared" si="7"/>
        <v>8.5789866466366216E-2</v>
      </c>
      <c r="R34" s="59">
        <f t="shared" si="7"/>
        <v>8.9376904871638518E-2</v>
      </c>
      <c r="S34" s="59">
        <f t="shared" si="7"/>
        <v>8.8697332608159818E-2</v>
      </c>
      <c r="T34" s="59">
        <f t="shared" si="7"/>
        <v>8.6549691534662743E-2</v>
      </c>
      <c r="U34" s="59">
        <f t="shared" si="7"/>
        <v>9.1094614457192469E-2</v>
      </c>
      <c r="V34" s="59">
        <f t="shared" si="7"/>
        <v>9.1805532966471759E-2</v>
      </c>
      <c r="W34" s="59">
        <f t="shared" si="7"/>
        <v>9.1053710147443567E-2</v>
      </c>
      <c r="X34" s="59">
        <f t="shared" si="7"/>
        <v>9.5357305719250829E-2</v>
      </c>
      <c r="Y34" s="59">
        <f t="shared" si="7"/>
        <v>0.10076975190374204</v>
      </c>
      <c r="Z34" s="59">
        <f t="shared" si="7"/>
        <v>0.10381737597207297</v>
      </c>
      <c r="AA34" s="59">
        <f t="shared" si="7"/>
        <v>0.10088066719290756</v>
      </c>
      <c r="AB34" s="59">
        <f t="shared" si="7"/>
        <v>0.10112060882338758</v>
      </c>
      <c r="AC34" s="59">
        <f t="shared" si="7"/>
        <v>0.10344298557106479</v>
      </c>
      <c r="AD34" s="59">
        <f t="shared" si="7"/>
        <v>0.10551876553928574</v>
      </c>
      <c r="AE34" s="59">
        <f t="shared" si="7"/>
        <v>0.11604319949188069</v>
      </c>
      <c r="AF34" s="59">
        <f t="shared" si="7"/>
        <v>0.13131077021998738</v>
      </c>
      <c r="AG34" s="59">
        <f t="shared" si="7"/>
        <v>0.18308705878705833</v>
      </c>
      <c r="AH34" s="59">
        <f t="shared" si="7"/>
        <v>0.22706424408819337</v>
      </c>
      <c r="AI34" s="59">
        <f t="shared" si="7"/>
        <v>0.25712849219513489</v>
      </c>
      <c r="AJ34" s="59">
        <f t="shared" si="7"/>
        <v>0.29123310372343347</v>
      </c>
      <c r="AK34" s="59">
        <f t="shared" si="7"/>
        <v>0.32501606863542298</v>
      </c>
      <c r="AL34" s="59">
        <f t="shared" si="7"/>
        <v>0.36632547502550672</v>
      </c>
      <c r="AM34" s="59">
        <f t="shared" si="7"/>
        <v>0.39770004236065887</v>
      </c>
      <c r="AN34" s="59">
        <f t="shared" si="7"/>
        <v>0.4219003351656605</v>
      </c>
      <c r="AO34" s="59">
        <f t="shared" si="7"/>
        <v>0.44456086233744463</v>
      </c>
      <c r="AP34" s="59">
        <f t="shared" si="7"/>
        <v>0.45826593465709747</v>
      </c>
      <c r="AQ34" s="59">
        <f t="shared" si="7"/>
        <v>0.48194075696589023</v>
      </c>
      <c r="AR34" s="59">
        <f t="shared" si="7"/>
        <v>0.49882365523973893</v>
      </c>
      <c r="AS34" s="59">
        <f t="shared" si="7"/>
        <v>0.51509572768953982</v>
      </c>
      <c r="AT34" s="59">
        <f t="shared" si="7"/>
        <v>0.53130430500482095</v>
      </c>
      <c r="AU34" s="59">
        <f t="shared" si="7"/>
        <v>0.54618037415692433</v>
      </c>
      <c r="AV34" s="59">
        <f t="shared" si="7"/>
        <v>0.56287817084313674</v>
      </c>
      <c r="AW34" s="59">
        <f t="shared" si="7"/>
        <v>0.57901174816904621</v>
      </c>
      <c r="AX34" s="59">
        <f t="shared" si="7"/>
        <v>0.59391252353197777</v>
      </c>
      <c r="AY34" s="59">
        <f t="shared" si="7"/>
        <v>0.60680427812644999</v>
      </c>
      <c r="AZ34" s="59">
        <f t="shared" si="7"/>
        <v>0.62808450125601145</v>
      </c>
      <c r="BA34" s="59">
        <f t="shared" si="7"/>
        <v>0.64644414458305</v>
      </c>
      <c r="BB34" s="59">
        <f t="shared" si="7"/>
        <v>0.64738521382653813</v>
      </c>
      <c r="BC34" s="59">
        <f t="shared" si="7"/>
        <v>0.66408863369380777</v>
      </c>
      <c r="BD34" s="59">
        <f t="shared" si="7"/>
        <v>0.6752181586659558</v>
      </c>
      <c r="BE34" s="59">
        <f t="shared" si="7"/>
        <v>0.67927440458788058</v>
      </c>
      <c r="BF34" s="59">
        <f t="shared" si="7"/>
        <v>0.6829891730757911</v>
      </c>
      <c r="BG34" s="59">
        <f t="shared" si="7"/>
        <v>0.68451219605605329</v>
      </c>
      <c r="BH34" s="59">
        <f t="shared" si="7"/>
        <v>0.69061723206623604</v>
      </c>
      <c r="BI34" s="59">
        <f t="shared" si="7"/>
        <v>0.69273636956892637</v>
      </c>
      <c r="BJ34" s="59">
        <f t="shared" si="7"/>
        <v>0.69236078823845881</v>
      </c>
      <c r="BK34" s="60">
        <f t="shared" si="7"/>
        <v>0.70488455433262587</v>
      </c>
    </row>
    <row r="35" spans="2:63" s="53" customFormat="1">
      <c r="B35" s="54" t="s">
        <v>74</v>
      </c>
      <c r="C35" s="54" t="s">
        <v>83</v>
      </c>
      <c r="D35" s="59">
        <f t="shared" ref="D35:M35" si="8">1-D34-D36</f>
        <v>0.68905691108964007</v>
      </c>
      <c r="E35" s="59">
        <f t="shared" si="8"/>
        <v>0.68935181264092316</v>
      </c>
      <c r="F35" s="59">
        <f t="shared" si="8"/>
        <v>0.69364142176594268</v>
      </c>
      <c r="G35" s="59">
        <f t="shared" si="8"/>
        <v>0.70129167237332113</v>
      </c>
      <c r="H35" s="59">
        <f t="shared" si="8"/>
        <v>0.71125802132223159</v>
      </c>
      <c r="I35" s="59">
        <f t="shared" si="8"/>
        <v>0.7208123108330875</v>
      </c>
      <c r="J35" s="59">
        <f t="shared" si="8"/>
        <v>0.71979681165961085</v>
      </c>
      <c r="K35" s="59">
        <f t="shared" si="8"/>
        <v>0.72067509789256456</v>
      </c>
      <c r="L35" s="59">
        <f t="shared" si="8"/>
        <v>0.72291798417076225</v>
      </c>
      <c r="M35" s="59">
        <f t="shared" si="8"/>
        <v>0.72090794734554642</v>
      </c>
      <c r="N35" s="59">
        <f t="shared" ref="N35:BK35" si="9">N221/N241</f>
        <v>0.72116702696372859</v>
      </c>
      <c r="O35" s="59">
        <f t="shared" si="9"/>
        <v>0.72358215748980481</v>
      </c>
      <c r="P35" s="59">
        <f t="shared" si="9"/>
        <v>0.72316033029043902</v>
      </c>
      <c r="Q35" s="59">
        <f t="shared" si="9"/>
        <v>0.72896863421398395</v>
      </c>
      <c r="R35" s="59">
        <f t="shared" si="9"/>
        <v>0.73562981770216018</v>
      </c>
      <c r="S35" s="59">
        <f t="shared" si="9"/>
        <v>0.73785991264121964</v>
      </c>
      <c r="T35" s="59">
        <f t="shared" si="9"/>
        <v>0.74305185340073276</v>
      </c>
      <c r="U35" s="59">
        <f t="shared" si="9"/>
        <v>0.74207864009368707</v>
      </c>
      <c r="V35" s="59">
        <f t="shared" si="9"/>
        <v>0.74416947218011464</v>
      </c>
      <c r="W35" s="59">
        <f t="shared" si="9"/>
        <v>0.74649995581704287</v>
      </c>
      <c r="X35" s="59">
        <f t="shared" si="9"/>
        <v>0.73192913051313357</v>
      </c>
      <c r="Y35" s="59">
        <f t="shared" si="9"/>
        <v>0.72242052773792209</v>
      </c>
      <c r="Z35" s="59">
        <f t="shared" si="9"/>
        <v>0.71628554426899937</v>
      </c>
      <c r="AA35" s="59">
        <f t="shared" si="9"/>
        <v>0.71495417618770574</v>
      </c>
      <c r="AB35" s="59">
        <f t="shared" si="9"/>
        <v>0.71609310862440179</v>
      </c>
      <c r="AC35" s="59">
        <f t="shared" si="9"/>
        <v>0.72465656101380627</v>
      </c>
      <c r="AD35" s="59">
        <f t="shared" si="9"/>
        <v>0.72635483910550169</v>
      </c>
      <c r="AE35" s="59">
        <f t="shared" si="9"/>
        <v>0.71747582929416054</v>
      </c>
      <c r="AF35" s="59">
        <f t="shared" si="9"/>
        <v>0.70691488949473169</v>
      </c>
      <c r="AG35" s="59">
        <f t="shared" si="9"/>
        <v>0.65282536419335935</v>
      </c>
      <c r="AH35" s="59">
        <f t="shared" si="9"/>
        <v>0.61456056532521119</v>
      </c>
      <c r="AI35" s="59">
        <f t="shared" si="9"/>
        <v>0.5812867458731148</v>
      </c>
      <c r="AJ35" s="59">
        <f t="shared" si="9"/>
        <v>0.55560881795094219</v>
      </c>
      <c r="AK35" s="59">
        <f t="shared" si="9"/>
        <v>0.53096802268368171</v>
      </c>
      <c r="AL35" s="59">
        <f t="shared" si="9"/>
        <v>0.50040137418509556</v>
      </c>
      <c r="AM35" s="59">
        <f t="shared" si="9"/>
        <v>0.47262346691767693</v>
      </c>
      <c r="AN35" s="59">
        <f t="shared" si="9"/>
        <v>0.45524406705975518</v>
      </c>
      <c r="AO35" s="59">
        <f t="shared" si="9"/>
        <v>0.43761435155889661</v>
      </c>
      <c r="AP35" s="59">
        <f t="shared" si="9"/>
        <v>0.42823910642246615</v>
      </c>
      <c r="AQ35" s="59">
        <f t="shared" si="9"/>
        <v>0.41071891872806088</v>
      </c>
      <c r="AR35" s="59">
        <f t="shared" si="9"/>
        <v>0.40122476668317586</v>
      </c>
      <c r="AS35" s="59">
        <f t="shared" si="9"/>
        <v>0.38998438674534647</v>
      </c>
      <c r="AT35" s="59">
        <f t="shared" si="9"/>
        <v>0.37899380907659602</v>
      </c>
      <c r="AU35" s="59">
        <f t="shared" si="9"/>
        <v>0.36588870067206647</v>
      </c>
      <c r="AV35" s="59">
        <f t="shared" si="9"/>
        <v>0.35665561129664175</v>
      </c>
      <c r="AW35" s="59">
        <f t="shared" si="9"/>
        <v>0.34441627306457206</v>
      </c>
      <c r="AX35" s="59">
        <f t="shared" si="9"/>
        <v>0.33149283385199096</v>
      </c>
      <c r="AY35" s="59">
        <f t="shared" si="9"/>
        <v>0.3204824722599911</v>
      </c>
      <c r="AZ35" s="59">
        <f t="shared" si="9"/>
        <v>0.30580792752653602</v>
      </c>
      <c r="BA35" s="59">
        <f t="shared" si="9"/>
        <v>0.28645544376964738</v>
      </c>
      <c r="BB35" s="59">
        <f t="shared" si="9"/>
        <v>0.28602395463645286</v>
      </c>
      <c r="BC35" s="59">
        <f t="shared" si="9"/>
        <v>0.27538060799928665</v>
      </c>
      <c r="BD35" s="59">
        <f t="shared" si="9"/>
        <v>0.26845326430809341</v>
      </c>
      <c r="BE35" s="59">
        <f t="shared" si="9"/>
        <v>0.26466651725893842</v>
      </c>
      <c r="BF35" s="59">
        <f t="shared" si="9"/>
        <v>0.26303559613927113</v>
      </c>
      <c r="BG35" s="59">
        <f t="shared" si="9"/>
        <v>0.26548912760329313</v>
      </c>
      <c r="BH35" s="59">
        <f t="shared" si="9"/>
        <v>0.2638190771865897</v>
      </c>
      <c r="BI35" s="59">
        <f t="shared" si="9"/>
        <v>0.26426123043848387</v>
      </c>
      <c r="BJ35" s="59">
        <f t="shared" si="9"/>
        <v>0.26661368529762924</v>
      </c>
      <c r="BK35" s="60">
        <f t="shared" si="9"/>
        <v>0.25547256811199875</v>
      </c>
    </row>
    <row r="36" spans="2:63" s="53" customFormat="1">
      <c r="B36" s="54" t="s">
        <v>74</v>
      </c>
      <c r="C36" s="54" t="s">
        <v>84</v>
      </c>
      <c r="D36" s="59">
        <f>D234/D241</f>
        <v>0.26550746475232806</v>
      </c>
      <c r="E36" s="59">
        <f t="shared" ref="E36:BI36" si="10">E234/E241</f>
        <v>0.26221256320104502</v>
      </c>
      <c r="F36" s="59">
        <f t="shared" si="10"/>
        <v>0.2549229540760255</v>
      </c>
      <c r="G36" s="59">
        <f t="shared" si="10"/>
        <v>0.24427270346864707</v>
      </c>
      <c r="H36" s="59">
        <f t="shared" si="10"/>
        <v>0.23130635451973658</v>
      </c>
      <c r="I36" s="59">
        <f t="shared" si="10"/>
        <v>0.21875206500888067</v>
      </c>
      <c r="J36" s="59">
        <f t="shared" si="10"/>
        <v>0.21676756418235729</v>
      </c>
      <c r="K36" s="59">
        <f t="shared" si="10"/>
        <v>0.21288927794940363</v>
      </c>
      <c r="L36" s="59">
        <f t="shared" si="10"/>
        <v>0.20764639167120597</v>
      </c>
      <c r="M36" s="59">
        <f t="shared" si="10"/>
        <v>0.20665642849642168</v>
      </c>
      <c r="N36" s="59">
        <f t="shared" si="10"/>
        <v>0.2033973488782396</v>
      </c>
      <c r="O36" s="59">
        <f t="shared" si="10"/>
        <v>0.19756536667328345</v>
      </c>
      <c r="P36" s="59">
        <f t="shared" si="10"/>
        <v>0.19333664618889995</v>
      </c>
      <c r="Q36" s="59">
        <f t="shared" si="10"/>
        <v>0.18524149931964984</v>
      </c>
      <c r="R36" s="59">
        <f t="shared" si="10"/>
        <v>0.17499327742620135</v>
      </c>
      <c r="S36" s="59">
        <f t="shared" si="10"/>
        <v>0.17344275475062049</v>
      </c>
      <c r="T36" s="59">
        <f t="shared" si="10"/>
        <v>0.17039845506460449</v>
      </c>
      <c r="U36" s="59">
        <f t="shared" si="10"/>
        <v>0.16682674544912049</v>
      </c>
      <c r="V36" s="59">
        <f t="shared" si="10"/>
        <v>0.1640249948534136</v>
      </c>
      <c r="W36" s="59">
        <f t="shared" si="10"/>
        <v>0.16244633403551351</v>
      </c>
      <c r="X36" s="59">
        <f t="shared" si="10"/>
        <v>0.17271356376761565</v>
      </c>
      <c r="Y36" s="59">
        <f t="shared" si="10"/>
        <v>0.17680972035833592</v>
      </c>
      <c r="Z36" s="59">
        <f t="shared" si="10"/>
        <v>0.17989707975892766</v>
      </c>
      <c r="AA36" s="59">
        <f t="shared" si="10"/>
        <v>0.18416515661938668</v>
      </c>
      <c r="AB36" s="59">
        <f t="shared" si="10"/>
        <v>0.18278628255221058</v>
      </c>
      <c r="AC36" s="59">
        <f t="shared" si="10"/>
        <v>0.17190045341512897</v>
      </c>
      <c r="AD36" s="59">
        <f t="shared" si="10"/>
        <v>0.16812639535521262</v>
      </c>
      <c r="AE36" s="59">
        <f t="shared" si="10"/>
        <v>0.16648097121395877</v>
      </c>
      <c r="AF36" s="59">
        <f t="shared" si="10"/>
        <v>0.16177434028528093</v>
      </c>
      <c r="AG36" s="59">
        <f t="shared" si="10"/>
        <v>0.16408757701958232</v>
      </c>
      <c r="AH36" s="59">
        <f t="shared" si="10"/>
        <v>0.15837519058659541</v>
      </c>
      <c r="AI36" s="59">
        <f t="shared" si="10"/>
        <v>0.16158476193175034</v>
      </c>
      <c r="AJ36" s="59">
        <f t="shared" si="10"/>
        <v>0.15315807832562428</v>
      </c>
      <c r="AK36" s="59">
        <f t="shared" si="10"/>
        <v>0.14401590868089531</v>
      </c>
      <c r="AL36" s="59">
        <f t="shared" si="10"/>
        <v>0.13327315078939772</v>
      </c>
      <c r="AM36" s="59">
        <f t="shared" si="10"/>
        <v>0.12967649072166423</v>
      </c>
      <c r="AN36" s="59">
        <f t="shared" si="10"/>
        <v>0.12285559777458431</v>
      </c>
      <c r="AO36" s="59">
        <f t="shared" si="10"/>
        <v>0.11782478610365882</v>
      </c>
      <c r="AP36" s="59">
        <f t="shared" si="10"/>
        <v>0.11349495892043633</v>
      </c>
      <c r="AQ36" s="59">
        <f t="shared" si="10"/>
        <v>0.10734032430604891</v>
      </c>
      <c r="AR36" s="59">
        <f t="shared" si="10"/>
        <v>9.995157807708524E-2</v>
      </c>
      <c r="AS36" s="59">
        <f t="shared" si="10"/>
        <v>9.4919885565113701E-2</v>
      </c>
      <c r="AT36" s="59">
        <f t="shared" si="10"/>
        <v>8.9701885918583107E-2</v>
      </c>
      <c r="AU36" s="59">
        <f t="shared" si="10"/>
        <v>8.7930925171009228E-2</v>
      </c>
      <c r="AV36" s="59">
        <f t="shared" si="10"/>
        <v>8.0466217860221623E-2</v>
      </c>
      <c r="AW36" s="59">
        <f t="shared" si="10"/>
        <v>7.6571978766381624E-2</v>
      </c>
      <c r="AX36" s="59">
        <f t="shared" si="10"/>
        <v>7.4594642616031326E-2</v>
      </c>
      <c r="AY36" s="59">
        <f t="shared" si="10"/>
        <v>7.2713249613559003E-2</v>
      </c>
      <c r="AZ36" s="59">
        <f t="shared" si="10"/>
        <v>6.6107571217452477E-2</v>
      </c>
      <c r="BA36" s="59">
        <f t="shared" si="10"/>
        <v>6.7100411647302613E-2</v>
      </c>
      <c r="BB36" s="59">
        <f t="shared" si="10"/>
        <v>6.659083153700901E-2</v>
      </c>
      <c r="BC36" s="59">
        <f t="shared" si="10"/>
        <v>6.0530758306905574E-2</v>
      </c>
      <c r="BD36" s="59">
        <f t="shared" si="10"/>
        <v>5.6328577025950718E-2</v>
      </c>
      <c r="BE36" s="59">
        <f t="shared" si="10"/>
        <v>5.6059078153181049E-2</v>
      </c>
      <c r="BF36" s="59">
        <f t="shared" si="10"/>
        <v>5.3975230784937871E-2</v>
      </c>
      <c r="BG36" s="59">
        <f t="shared" si="10"/>
        <v>4.9998676340653553E-2</v>
      </c>
      <c r="BH36" s="59">
        <f t="shared" si="10"/>
        <v>4.5563690747174208E-2</v>
      </c>
      <c r="BI36" s="59">
        <f t="shared" si="10"/>
        <v>4.3002399992589743E-2</v>
      </c>
      <c r="BJ36" s="59">
        <f>BJ234/BJ241</f>
        <v>4.1025526463911881E-2</v>
      </c>
      <c r="BK36" s="60">
        <f>BK234/BK241</f>
        <v>3.9642877555375294E-2</v>
      </c>
    </row>
    <row r="37" spans="2:63">
      <c r="C37" s="4" t="s">
        <v>85</v>
      </c>
      <c r="D37" s="9">
        <f t="shared" ref="D37:BB37" si="11">D25*D107/D109+D26*D108/D109</f>
        <v>0.1476323969983431</v>
      </c>
      <c r="E37" s="9">
        <f t="shared" si="11"/>
        <v>0.14737477549663264</v>
      </c>
      <c r="F37" s="9">
        <f t="shared" si="11"/>
        <v>0.14720665278984113</v>
      </c>
      <c r="G37" s="9">
        <f t="shared" si="11"/>
        <v>0.14693632282650526</v>
      </c>
      <c r="H37" s="9">
        <f t="shared" si="11"/>
        <v>0.14699474954390571</v>
      </c>
      <c r="I37" s="9">
        <f t="shared" si="11"/>
        <v>0.14712766261102131</v>
      </c>
      <c r="J37" s="9">
        <f t="shared" si="11"/>
        <v>0.14715526432209963</v>
      </c>
      <c r="K37" s="9">
        <f t="shared" si="11"/>
        <v>0.14721276536470468</v>
      </c>
      <c r="L37" s="9">
        <f t="shared" si="11"/>
        <v>0.14714253099884542</v>
      </c>
      <c r="M37" s="9">
        <f t="shared" si="11"/>
        <v>0.1470219170470678</v>
      </c>
      <c r="N37" s="9">
        <f t="shared" si="11"/>
        <v>0.14731448983110493</v>
      </c>
      <c r="O37" s="9">
        <f t="shared" si="11"/>
        <v>0.14826435389099227</v>
      </c>
      <c r="P37" s="9">
        <f t="shared" si="11"/>
        <v>0.1482838052638546</v>
      </c>
      <c r="Q37" s="9">
        <f t="shared" si="11"/>
        <v>0.14655603255932026</v>
      </c>
      <c r="R37" s="9">
        <f t="shared" si="11"/>
        <v>0.14742886447929587</v>
      </c>
      <c r="S37" s="9">
        <f t="shared" si="11"/>
        <v>0.15038395704616864</v>
      </c>
      <c r="T37" s="9">
        <f t="shared" si="11"/>
        <v>0.15097919176027386</v>
      </c>
      <c r="U37" s="9">
        <f t="shared" si="11"/>
        <v>0.14959403190149748</v>
      </c>
      <c r="V37" s="9">
        <f t="shared" si="11"/>
        <v>0.14839958180534024</v>
      </c>
      <c r="W37" s="9">
        <f t="shared" si="11"/>
        <v>0.14576692464765056</v>
      </c>
      <c r="X37" s="9">
        <f t="shared" si="11"/>
        <v>0.15103438421765719</v>
      </c>
      <c r="Y37" s="9">
        <f t="shared" si="11"/>
        <v>0.15624280973589752</v>
      </c>
      <c r="Z37" s="9">
        <f t="shared" si="11"/>
        <v>0.15560588612679752</v>
      </c>
      <c r="AA37" s="9">
        <f t="shared" si="11"/>
        <v>0.15353979730006817</v>
      </c>
      <c r="AB37" s="9">
        <f t="shared" si="11"/>
        <v>0.1536492079551918</v>
      </c>
      <c r="AC37" s="9">
        <f t="shared" si="11"/>
        <v>0.15373765628213434</v>
      </c>
      <c r="AD37" s="9">
        <f t="shared" si="11"/>
        <v>0.15150021822975207</v>
      </c>
      <c r="AE37" s="9">
        <f t="shared" si="11"/>
        <v>0.15544832173340575</v>
      </c>
      <c r="AF37" s="9">
        <f t="shared" si="11"/>
        <v>0.15666457792038513</v>
      </c>
      <c r="AG37" s="9">
        <f t="shared" si="11"/>
        <v>0.1620630073876142</v>
      </c>
      <c r="AH37" s="9">
        <f t="shared" si="11"/>
        <v>0.16188834975884048</v>
      </c>
      <c r="AI37" s="9">
        <f t="shared" si="11"/>
        <v>0.16380333004182024</v>
      </c>
      <c r="AJ37" s="9">
        <f t="shared" si="11"/>
        <v>0.16341799076027963</v>
      </c>
      <c r="AK37" s="9">
        <f t="shared" si="11"/>
        <v>0.16363943196063907</v>
      </c>
      <c r="AL37" s="9">
        <f t="shared" si="11"/>
        <v>0.16761797735091172</v>
      </c>
      <c r="AM37" s="9">
        <f t="shared" si="11"/>
        <v>0.17280925964951135</v>
      </c>
      <c r="AN37" s="9">
        <f t="shared" si="11"/>
        <v>0.17235572056943183</v>
      </c>
      <c r="AO37" s="9">
        <f t="shared" si="11"/>
        <v>0.17449822558383216</v>
      </c>
      <c r="AP37" s="9">
        <f t="shared" si="11"/>
        <v>0.17826846659643902</v>
      </c>
      <c r="AQ37" s="9">
        <f t="shared" si="11"/>
        <v>0.18046989220059995</v>
      </c>
      <c r="AR37" s="9">
        <f t="shared" si="11"/>
        <v>0.18181702415271833</v>
      </c>
      <c r="AS37" s="9">
        <f t="shared" si="11"/>
        <v>0.18471155931589189</v>
      </c>
      <c r="AT37" s="9">
        <f t="shared" si="11"/>
        <v>0.18622494512141635</v>
      </c>
      <c r="AU37" s="9">
        <f t="shared" si="11"/>
        <v>0.18886851144236205</v>
      </c>
      <c r="AV37" s="9">
        <f t="shared" si="11"/>
        <v>0.19103382672555214</v>
      </c>
      <c r="AW37" s="9">
        <f t="shared" si="11"/>
        <v>0.19160348473924482</v>
      </c>
      <c r="AX37" s="9">
        <f t="shared" si="11"/>
        <v>0.19488977526536094</v>
      </c>
      <c r="AY37" s="9">
        <f t="shared" si="11"/>
        <v>0.19610847920359231</v>
      </c>
      <c r="AZ37" s="9">
        <f t="shared" si="11"/>
        <v>0.20164895615601192</v>
      </c>
      <c r="BA37" s="9">
        <f t="shared" si="11"/>
        <v>0.2059314386862432</v>
      </c>
      <c r="BB37" s="9">
        <f t="shared" si="11"/>
        <v>0.20793225118918743</v>
      </c>
    </row>
    <row r="38" spans="2:63">
      <c r="N38" s="61" t="s">
        <v>86</v>
      </c>
    </row>
    <row r="39" spans="2:63">
      <c r="C39" s="4" t="s">
        <v>87</v>
      </c>
      <c r="D39" s="62">
        <f>D230*0.833</f>
        <v>36.842289298057942</v>
      </c>
      <c r="E39" s="62">
        <f t="shared" ref="E39:BJ39" si="12">E230*0.833</f>
        <v>37.021741402625537</v>
      </c>
      <c r="F39" s="62">
        <f t="shared" si="12"/>
        <v>37.202067585825247</v>
      </c>
      <c r="G39" s="62">
        <f t="shared" si="12"/>
        <v>37.383272105135454</v>
      </c>
      <c r="H39" s="62">
        <f t="shared" si="12"/>
        <v>37.56535923877194</v>
      </c>
      <c r="I39" s="62">
        <f t="shared" si="12"/>
        <v>37.748333285788902</v>
      </c>
      <c r="J39" s="62">
        <f t="shared" si="12"/>
        <v>37.932198566180439</v>
      </c>
      <c r="K39" s="62">
        <f t="shared" si="12"/>
        <v>38.116959420982582</v>
      </c>
      <c r="L39" s="62">
        <f t="shared" si="12"/>
        <v>38.302620212375736</v>
      </c>
      <c r="M39" s="62">
        <f t="shared" si="12"/>
        <v>38.489185323787709</v>
      </c>
      <c r="N39" s="62">
        <f t="shared" si="12"/>
        <v>38.676659159997172</v>
      </c>
      <c r="O39" s="62">
        <f t="shared" si="12"/>
        <v>38.394054479955557</v>
      </c>
      <c r="P39" s="62">
        <f t="shared" si="12"/>
        <v>39.49341048322448</v>
      </c>
      <c r="Q39" s="62">
        <f t="shared" si="12"/>
        <v>38.735642322421498</v>
      </c>
      <c r="R39" s="62">
        <f t="shared" si="12"/>
        <v>39.012097582422754</v>
      </c>
      <c r="S39" s="62">
        <f t="shared" si="12"/>
        <v>41.427793009543315</v>
      </c>
      <c r="T39" s="62">
        <f t="shared" si="12"/>
        <v>40.333289452088614</v>
      </c>
      <c r="U39" s="62">
        <f t="shared" si="12"/>
        <v>40.887712092300085</v>
      </c>
      <c r="V39" s="62">
        <f t="shared" si="12"/>
        <v>39.533905485625638</v>
      </c>
      <c r="W39" s="62">
        <f t="shared" si="12"/>
        <v>39.066854547769907</v>
      </c>
      <c r="X39" s="62">
        <f t="shared" si="12"/>
        <v>40.602361912875097</v>
      </c>
      <c r="Y39" s="62">
        <f t="shared" si="12"/>
        <v>42.009503309890619</v>
      </c>
      <c r="Z39" s="62">
        <f t="shared" si="12"/>
        <v>41.917504258121447</v>
      </c>
      <c r="AA39" s="62">
        <f t="shared" si="12"/>
        <v>42.264778727947892</v>
      </c>
      <c r="AB39" s="62">
        <f t="shared" si="12"/>
        <v>42.113126164620013</v>
      </c>
      <c r="AC39" s="62">
        <f t="shared" si="12"/>
        <v>43.36164369277369</v>
      </c>
      <c r="AD39" s="62">
        <f t="shared" si="12"/>
        <v>43.270207272474195</v>
      </c>
      <c r="AE39" s="62">
        <f t="shared" si="12"/>
        <v>44.98848135119669</v>
      </c>
      <c r="AF39" s="62">
        <f t="shared" si="12"/>
        <v>44.88320463064823</v>
      </c>
      <c r="AG39" s="62">
        <f t="shared" si="12"/>
        <v>48.390424014731835</v>
      </c>
      <c r="AH39" s="62">
        <f t="shared" si="12"/>
        <v>46.638535384763237</v>
      </c>
      <c r="AI39" s="62">
        <f t="shared" si="12"/>
        <v>46.834199676593983</v>
      </c>
      <c r="AJ39" s="62">
        <f t="shared" si="12"/>
        <v>45.225979182650917</v>
      </c>
      <c r="AK39" s="62">
        <f t="shared" si="12"/>
        <v>43.87052777854587</v>
      </c>
      <c r="AL39" s="62">
        <f t="shared" si="12"/>
        <v>44.961811518680442</v>
      </c>
      <c r="AM39" s="62">
        <f t="shared" si="12"/>
        <v>45.978794676115783</v>
      </c>
      <c r="AN39" s="62">
        <f t="shared" si="12"/>
        <v>44.250921320229658</v>
      </c>
      <c r="AO39" s="62">
        <f t="shared" si="12"/>
        <v>44.866048502259829</v>
      </c>
      <c r="AP39" s="62">
        <f t="shared" si="12"/>
        <v>45.382699384827625</v>
      </c>
      <c r="AQ39" s="62">
        <f t="shared" si="12"/>
        <v>44.120798660082109</v>
      </c>
      <c r="AR39" s="62">
        <f t="shared" si="12"/>
        <v>44.183011040342457</v>
      </c>
      <c r="AS39" s="62">
        <f t="shared" si="12"/>
        <v>46.253986589410268</v>
      </c>
      <c r="AT39" s="62">
        <f t="shared" si="12"/>
        <v>45.799268429708434</v>
      </c>
      <c r="AU39" s="62">
        <f t="shared" si="12"/>
        <v>46.123635374405055</v>
      </c>
      <c r="AV39" s="62">
        <f t="shared" si="12"/>
        <v>47.462710243417945</v>
      </c>
      <c r="AW39" s="62">
        <f t="shared" si="12"/>
        <v>46.785440531078372</v>
      </c>
      <c r="AX39" s="62">
        <f t="shared" si="12"/>
        <v>48.72140022508998</v>
      </c>
      <c r="AY39" s="62">
        <f t="shared" si="12"/>
        <v>48.543118242963835</v>
      </c>
      <c r="AZ39" s="62">
        <f t="shared" si="12"/>
        <v>48.342308546737108</v>
      </c>
      <c r="BA39" s="62">
        <f t="shared" si="12"/>
        <v>51.311568369941547</v>
      </c>
      <c r="BB39" s="62">
        <f t="shared" si="12"/>
        <v>52.701054157591898</v>
      </c>
      <c r="BC39" s="62">
        <f t="shared" si="12"/>
        <v>53.118328731768031</v>
      </c>
      <c r="BD39" s="62">
        <f t="shared" si="12"/>
        <v>54.813228705998398</v>
      </c>
      <c r="BE39" s="62">
        <f t="shared" si="12"/>
        <v>55.830317132075869</v>
      </c>
      <c r="BF39" s="62">
        <f t="shared" si="12"/>
        <v>56.251896640260547</v>
      </c>
      <c r="BG39" s="62">
        <f t="shared" si="12"/>
        <v>55.702452556410535</v>
      </c>
      <c r="BH39" s="62">
        <f t="shared" si="12"/>
        <v>57.106005338595267</v>
      </c>
      <c r="BI39" s="62">
        <f t="shared" si="12"/>
        <v>56.837838708832763</v>
      </c>
      <c r="BJ39" s="62">
        <f t="shared" si="12"/>
        <v>58.182234104263387</v>
      </c>
    </row>
    <row r="40" spans="2:63">
      <c r="C40" s="4" t="s">
        <v>88</v>
      </c>
      <c r="D40" s="62">
        <f t="shared" ref="D40:BJ41" si="13">((D191*D185+D203*D197)/(D185+D197))*0.833</f>
        <v>14.709429528290427</v>
      </c>
      <c r="E40" s="62">
        <f t="shared" si="13"/>
        <v>14.742581135975286</v>
      </c>
      <c r="F40" s="62">
        <f t="shared" si="13"/>
        <v>14.776948300353766</v>
      </c>
      <c r="G40" s="62">
        <f t="shared" si="13"/>
        <v>14.811242599871257</v>
      </c>
      <c r="H40" s="62">
        <f t="shared" si="13"/>
        <v>14.842634609472167</v>
      </c>
      <c r="I40" s="62">
        <f t="shared" si="13"/>
        <v>14.875099776695219</v>
      </c>
      <c r="J40" s="62">
        <f t="shared" si="13"/>
        <v>14.906800221787208</v>
      </c>
      <c r="K40" s="62">
        <f t="shared" si="13"/>
        <v>14.938252931406481</v>
      </c>
      <c r="L40" s="62">
        <f t="shared" si="13"/>
        <v>14.968633824030668</v>
      </c>
      <c r="M40" s="62">
        <f t="shared" si="13"/>
        <v>14.998590001475048</v>
      </c>
      <c r="N40" s="62">
        <f t="shared" si="13"/>
        <v>15.027561382146922</v>
      </c>
      <c r="O40" s="62">
        <f t="shared" si="13"/>
        <v>15.160498980810456</v>
      </c>
      <c r="P40" s="62">
        <f t="shared" si="13"/>
        <v>15.042179977295124</v>
      </c>
      <c r="Q40" s="62">
        <f t="shared" si="13"/>
        <v>14.849090647009419</v>
      </c>
      <c r="R40" s="62">
        <f t="shared" si="13"/>
        <v>14.982255194494078</v>
      </c>
      <c r="S40" s="62">
        <f t="shared" si="13"/>
        <v>15.457813814048457</v>
      </c>
      <c r="T40" s="62">
        <f t="shared" si="13"/>
        <v>15.505291185471133</v>
      </c>
      <c r="U40" s="62">
        <f t="shared" si="13"/>
        <v>15.346189694855832</v>
      </c>
      <c r="V40" s="62">
        <f t="shared" si="13"/>
        <v>15.091448334134808</v>
      </c>
      <c r="W40" s="62">
        <f t="shared" si="13"/>
        <v>14.750744237830176</v>
      </c>
      <c r="X40" s="62">
        <f t="shared" si="13"/>
        <v>15.339679492024993</v>
      </c>
      <c r="Y40" s="62">
        <f t="shared" si="13"/>
        <v>16.023349395410882</v>
      </c>
      <c r="Z40" s="62">
        <f t="shared" si="13"/>
        <v>16.046084413099472</v>
      </c>
      <c r="AA40" s="62">
        <f t="shared" si="13"/>
        <v>15.980930712481216</v>
      </c>
      <c r="AB40" s="62">
        <f t="shared" si="13"/>
        <v>16.260010137517199</v>
      </c>
      <c r="AC40" s="62">
        <f t="shared" si="13"/>
        <v>16.506808673316264</v>
      </c>
      <c r="AD40" s="62">
        <f t="shared" si="13"/>
        <v>16.467979845894682</v>
      </c>
      <c r="AE40" s="62">
        <f t="shared" si="13"/>
        <v>17.033069402519796</v>
      </c>
      <c r="AF40" s="62">
        <f t="shared" si="13"/>
        <v>17.326799330503768</v>
      </c>
      <c r="AG40" s="62">
        <f t="shared" si="13"/>
        <v>17.94517631644803</v>
      </c>
      <c r="AH40" s="62">
        <f t="shared" si="13"/>
        <v>17.422390447652823</v>
      </c>
      <c r="AI40" s="62">
        <f t="shared" si="13"/>
        <v>17.437117983540073</v>
      </c>
      <c r="AJ40" s="62">
        <f t="shared" si="13"/>
        <v>17.175418268987745</v>
      </c>
      <c r="AK40" s="62">
        <f t="shared" si="13"/>
        <v>16.950433181219175</v>
      </c>
      <c r="AL40" s="62">
        <f t="shared" si="13"/>
        <v>17.359164580000726</v>
      </c>
      <c r="AM40" s="62">
        <f t="shared" si="13"/>
        <v>17.857660448759002</v>
      </c>
      <c r="AN40" s="62">
        <f t="shared" si="13"/>
        <v>17.559502209250862</v>
      </c>
      <c r="AO40" s="62">
        <f t="shared" si="13"/>
        <v>17.665086728577673</v>
      </c>
      <c r="AP40" s="62">
        <f t="shared" si="13"/>
        <v>18.062030635226431</v>
      </c>
      <c r="AQ40" s="62">
        <f t="shared" si="13"/>
        <v>18.07934608084949</v>
      </c>
      <c r="AR40" s="62">
        <f t="shared" si="13"/>
        <v>18.088656550384844</v>
      </c>
      <c r="AS40" s="62">
        <f t="shared" si="13"/>
        <v>18.345795036702551</v>
      </c>
      <c r="AT40" s="62">
        <f t="shared" si="13"/>
        <v>18.397569385277862</v>
      </c>
      <c r="AU40" s="62">
        <f t="shared" si="13"/>
        <v>18.620757164169181</v>
      </c>
      <c r="AV40" s="62">
        <f t="shared" si="13"/>
        <v>18.685330438495477</v>
      </c>
      <c r="AW40" s="62">
        <f t="shared" si="13"/>
        <v>18.563373718479255</v>
      </c>
      <c r="AX40" s="62">
        <f t="shared" si="13"/>
        <v>18.835611011436097</v>
      </c>
      <c r="AY40" s="62">
        <f t="shared" si="13"/>
        <v>18.768516467732717</v>
      </c>
      <c r="AZ40" s="62">
        <f t="shared" si="13"/>
        <v>19.132486362702362</v>
      </c>
      <c r="BA40" s="62">
        <f t="shared" si="13"/>
        <v>19.645593248105957</v>
      </c>
      <c r="BB40" s="62">
        <f t="shared" si="13"/>
        <v>19.9964698743144</v>
      </c>
      <c r="BC40" s="62">
        <f t="shared" si="13"/>
        <v>20.389619604405148</v>
      </c>
      <c r="BD40" s="62">
        <f t="shared" si="13"/>
        <v>20.554386219529412</v>
      </c>
      <c r="BE40" s="62">
        <f t="shared" si="13"/>
        <v>20.995364359626457</v>
      </c>
      <c r="BF40" s="62">
        <f t="shared" si="13"/>
        <v>21.505725500055355</v>
      </c>
      <c r="BG40" s="62">
        <f t="shared" si="13"/>
        <v>21.728988407632173</v>
      </c>
      <c r="BH40" s="62">
        <f t="shared" si="13"/>
        <v>21.917104259731357</v>
      </c>
      <c r="BI40" s="62">
        <f t="shared" si="13"/>
        <v>22.379546908946459</v>
      </c>
      <c r="BJ40" s="62">
        <f t="shared" si="13"/>
        <v>23.065942536267727</v>
      </c>
    </row>
    <row r="41" spans="2:63">
      <c r="C41" s="4" t="s">
        <v>89</v>
      </c>
      <c r="D41" s="62">
        <f t="shared" si="13"/>
        <v>15.312895913868758</v>
      </c>
      <c r="E41" s="62">
        <f t="shared" si="13"/>
        <v>15.390431701135549</v>
      </c>
      <c r="F41" s="62">
        <f t="shared" si="13"/>
        <v>15.467989429284135</v>
      </c>
      <c r="G41" s="62">
        <f t="shared" si="13"/>
        <v>15.54559980320705</v>
      </c>
      <c r="H41" s="62">
        <f t="shared" si="13"/>
        <v>15.623291021297378</v>
      </c>
      <c r="I41" s="62">
        <f t="shared" si="13"/>
        <v>15.701089054920404</v>
      </c>
      <c r="J41" s="62">
        <f t="shared" si="13"/>
        <v>15.779017891607111</v>
      </c>
      <c r="K41" s="62">
        <f t="shared" si="13"/>
        <v>15.85709974734996</v>
      </c>
      <c r="L41" s="62">
        <f t="shared" si="13"/>
        <v>15.935355252488325</v>
      </c>
      <c r="M41" s="62">
        <f t="shared" si="13"/>
        <v>16.013803614941278</v>
      </c>
      <c r="N41" s="62">
        <f t="shared" si="13"/>
        <v>16.089937701515094</v>
      </c>
      <c r="O41" s="62">
        <f t="shared" si="13"/>
        <v>16.275378053821044</v>
      </c>
      <c r="P41" s="62">
        <f t="shared" si="13"/>
        <v>16.233974217997389</v>
      </c>
      <c r="Q41" s="62">
        <f t="shared" si="13"/>
        <v>16.05476408681033</v>
      </c>
      <c r="R41" s="62">
        <f t="shared" si="13"/>
        <v>16.120630052831771</v>
      </c>
      <c r="S41" s="62">
        <f t="shared" si="13"/>
        <v>16.670221758222681</v>
      </c>
      <c r="T41" s="62">
        <f t="shared" si="13"/>
        <v>16.795684087055822</v>
      </c>
      <c r="U41" s="62">
        <f t="shared" si="13"/>
        <v>16.58908968480446</v>
      </c>
      <c r="V41" s="62">
        <f t="shared" si="13"/>
        <v>16.447669537175859</v>
      </c>
      <c r="W41" s="62">
        <f t="shared" si="13"/>
        <v>16.109025771619642</v>
      </c>
      <c r="X41" s="62">
        <f t="shared" si="13"/>
        <v>16.81574949401406</v>
      </c>
      <c r="Y41" s="62">
        <f t="shared" si="13"/>
        <v>17.505538837331851</v>
      </c>
      <c r="Z41" s="62">
        <f t="shared" si="13"/>
        <v>17.461610434723948</v>
      </c>
      <c r="AA41" s="62">
        <f t="shared" si="13"/>
        <v>17.34075522389745</v>
      </c>
      <c r="AB41" s="62">
        <f t="shared" si="13"/>
        <v>17.483726296180148</v>
      </c>
      <c r="AC41" s="62">
        <f t="shared" si="13"/>
        <v>17.752162179000472</v>
      </c>
      <c r="AD41" s="62">
        <f t="shared" si="13"/>
        <v>17.478067999663452</v>
      </c>
      <c r="AE41" s="62">
        <f t="shared" si="13"/>
        <v>18.475010780330653</v>
      </c>
      <c r="AF41" s="62">
        <f t="shared" si="13"/>
        <v>18.586604760918842</v>
      </c>
      <c r="AG41" s="62">
        <f t="shared" si="13"/>
        <v>17.622274507833385</v>
      </c>
      <c r="AH41" s="62">
        <f t="shared" si="13"/>
        <v>18.245582142285496</v>
      </c>
      <c r="AI41" s="62">
        <f t="shared" si="13"/>
        <v>18.236098026694094</v>
      </c>
      <c r="AJ41" s="62">
        <f t="shared" si="13"/>
        <v>18.016786513321406</v>
      </c>
      <c r="AK41" s="62">
        <f t="shared" si="13"/>
        <v>17.982927877264139</v>
      </c>
      <c r="AL41" s="62">
        <f t="shared" si="13"/>
        <v>18.37562354342322</v>
      </c>
      <c r="AM41" s="62">
        <f t="shared" si="13"/>
        <v>18.94171495307695</v>
      </c>
      <c r="AN41" s="62">
        <f t="shared" si="13"/>
        <v>18.627510171157461</v>
      </c>
      <c r="AO41" s="62">
        <f t="shared" si="13"/>
        <v>18.662804506017586</v>
      </c>
      <c r="AP41" s="62">
        <f t="shared" si="13"/>
        <v>19.017103636387176</v>
      </c>
      <c r="AQ41" s="62">
        <f t="shared" si="13"/>
        <v>19.108437320280547</v>
      </c>
      <c r="AR41" s="62">
        <f t="shared" si="13"/>
        <v>19.102782313144527</v>
      </c>
      <c r="AS41" s="62">
        <f t="shared" si="13"/>
        <v>19.418843679405644</v>
      </c>
      <c r="AT41" s="62">
        <f t="shared" si="13"/>
        <v>19.563363313945722</v>
      </c>
      <c r="AU41" s="62">
        <f t="shared" si="13"/>
        <v>19.825174926281289</v>
      </c>
      <c r="AV41" s="62">
        <f t="shared" si="13"/>
        <v>19.995285313781395</v>
      </c>
      <c r="AW41" s="62">
        <f t="shared" si="13"/>
        <v>19.914279491443068</v>
      </c>
      <c r="AX41" s="62">
        <f t="shared" si="13"/>
        <v>20.256499718926268</v>
      </c>
      <c r="AY41" s="62">
        <f t="shared" si="13"/>
        <v>20.273977905996535</v>
      </c>
      <c r="AZ41" s="62">
        <f t="shared" si="13"/>
        <v>20.912175168749837</v>
      </c>
      <c r="BA41" s="62">
        <f t="shared" si="13"/>
        <v>21.256464742402901</v>
      </c>
      <c r="BB41" s="62">
        <f t="shared" si="13"/>
        <v>21.44479939195627</v>
      </c>
      <c r="BC41" s="62">
        <f t="shared" si="13"/>
        <v>21.801312827017352</v>
      </c>
      <c r="BD41" s="62">
        <f t="shared" si="13"/>
        <v>21.888173922785459</v>
      </c>
      <c r="BE41" s="62">
        <f t="shared" si="13"/>
        <v>22.324752971596872</v>
      </c>
      <c r="BF41" s="62">
        <f t="shared" si="13"/>
        <v>22.758894418604587</v>
      </c>
      <c r="BG41" s="62">
        <f t="shared" si="13"/>
        <v>22.84771442379753</v>
      </c>
      <c r="BH41" s="62">
        <f t="shared" si="13"/>
        <v>22.860780965199687</v>
      </c>
      <c r="BI41" s="62">
        <f t="shared" si="13"/>
        <v>23.304537062629201</v>
      </c>
      <c r="BJ41" s="62">
        <f t="shared" si="13"/>
        <v>23.932839674517066</v>
      </c>
    </row>
    <row r="42" spans="2:63">
      <c r="C42" s="4" t="s">
        <v>90</v>
      </c>
      <c r="D42" s="62">
        <f t="shared" ref="D42:BJ42" si="14">D225*0.833</f>
        <v>4.0914856360835028</v>
      </c>
      <c r="E42" s="62">
        <f t="shared" si="14"/>
        <v>4.3068269853510559</v>
      </c>
      <c r="F42" s="62">
        <f t="shared" si="14"/>
        <v>4.5335020898432168</v>
      </c>
      <c r="G42" s="62">
        <f t="shared" si="14"/>
        <v>4.772107462992861</v>
      </c>
      <c r="H42" s="62">
        <f t="shared" si="14"/>
        <v>5.0232710136766956</v>
      </c>
      <c r="I42" s="62">
        <f t="shared" si="14"/>
        <v>5.2876536986070484</v>
      </c>
      <c r="J42" s="62">
        <f t="shared" si="14"/>
        <v>5.5659512616916302</v>
      </c>
      <c r="K42" s="62">
        <f t="shared" si="14"/>
        <v>5.8588960649385582</v>
      </c>
      <c r="L42" s="62">
        <f t="shared" si="14"/>
        <v>6.1672590157247988</v>
      </c>
      <c r="M42" s="62">
        <f t="shared" si="14"/>
        <v>6.4918515954997886</v>
      </c>
      <c r="N42" s="62">
        <f t="shared" si="14"/>
        <v>6.8335279952629353</v>
      </c>
      <c r="O42" s="62">
        <f t="shared" si="14"/>
        <v>6.7823468470603432</v>
      </c>
      <c r="P42" s="62">
        <f t="shared" si="14"/>
        <v>6.8209334858184993</v>
      </c>
      <c r="Q42" s="62">
        <f t="shared" si="14"/>
        <v>6.6173653664958501</v>
      </c>
      <c r="R42" s="62">
        <f t="shared" si="14"/>
        <v>6.5047260307195867</v>
      </c>
      <c r="S42" s="62">
        <f t="shared" si="14"/>
        <v>6.4823959824513944</v>
      </c>
      <c r="T42" s="62">
        <f t="shared" si="14"/>
        <v>6.4991903247828757</v>
      </c>
      <c r="U42" s="62">
        <f t="shared" si="14"/>
        <v>6.267277425006978</v>
      </c>
      <c r="V42" s="62">
        <f t="shared" si="14"/>
        <v>6.2772538238660642</v>
      </c>
      <c r="W42" s="62">
        <f t="shared" si="14"/>
        <v>6.1118581399322727</v>
      </c>
      <c r="X42" s="62">
        <f t="shared" si="14"/>
        <v>6.4377817325770978</v>
      </c>
      <c r="Y42" s="62">
        <f t="shared" si="14"/>
        <v>6.5990023270418643</v>
      </c>
      <c r="Z42" s="62">
        <f t="shared" si="14"/>
        <v>6.2720466852603387</v>
      </c>
      <c r="AA42" s="62">
        <f t="shared" si="14"/>
        <v>5.9658885658252654</v>
      </c>
      <c r="AB42" s="62">
        <f t="shared" si="14"/>
        <v>5.6744920132185834</v>
      </c>
      <c r="AC42" s="62">
        <f t="shared" si="14"/>
        <v>5.3265696274782277</v>
      </c>
      <c r="AD42" s="62">
        <f t="shared" si="14"/>
        <v>4.9049330795939916</v>
      </c>
      <c r="AE42" s="62">
        <f t="shared" si="14"/>
        <v>5.1241217602173217</v>
      </c>
      <c r="AF42" s="62">
        <f t="shared" si="14"/>
        <v>4.999730520479801</v>
      </c>
      <c r="AG42" s="62">
        <f t="shared" si="14"/>
        <v>5.3466080818839998</v>
      </c>
      <c r="AH42" s="62">
        <f t="shared" si="14"/>
        <v>5.285279468659958</v>
      </c>
      <c r="AI42" s="62">
        <f t="shared" si="14"/>
        <v>5.4517815198295638</v>
      </c>
      <c r="AJ42" s="62">
        <f t="shared" si="14"/>
        <v>5.330912489705443</v>
      </c>
      <c r="AK42" s="62">
        <f t="shared" si="14"/>
        <v>5.3615865537257621</v>
      </c>
      <c r="AL42" s="62">
        <f t="shared" si="14"/>
        <v>5.2990614706725125</v>
      </c>
      <c r="AM42" s="62">
        <f t="shared" si="14"/>
        <v>5.5215771977841808</v>
      </c>
      <c r="AN42" s="62">
        <f t="shared" si="14"/>
        <v>5.5330486286734635</v>
      </c>
      <c r="AO42" s="62">
        <f t="shared" si="14"/>
        <v>5.6527110934124547</v>
      </c>
      <c r="AP42" s="62">
        <f t="shared" si="14"/>
        <v>5.8835871854110211</v>
      </c>
      <c r="AQ42" s="62">
        <f t="shared" si="14"/>
        <v>6.0928023705212899</v>
      </c>
      <c r="AR42" s="62">
        <f t="shared" si="14"/>
        <v>6.1877881676044231</v>
      </c>
      <c r="AS42" s="62">
        <f t="shared" si="14"/>
        <v>6.1590559286174189</v>
      </c>
      <c r="AT42" s="62">
        <f t="shared" si="14"/>
        <v>6.0773250316512932</v>
      </c>
      <c r="AU42" s="62">
        <f t="shared" si="14"/>
        <v>6.0460808106709658</v>
      </c>
      <c r="AV42" s="62">
        <f t="shared" si="14"/>
        <v>6.1051448025314672</v>
      </c>
      <c r="AW42" s="62">
        <f t="shared" si="14"/>
        <v>5.9684594891207041</v>
      </c>
      <c r="AX42" s="62">
        <f t="shared" si="14"/>
        <v>5.9590547897806925</v>
      </c>
      <c r="AY42" s="62">
        <f t="shared" si="14"/>
        <v>5.9714683363230581</v>
      </c>
      <c r="AZ42" s="62">
        <f t="shared" si="14"/>
        <v>6.2807774888508776</v>
      </c>
      <c r="BA42" s="62">
        <f t="shared" si="14"/>
        <v>6.2527059173137607</v>
      </c>
      <c r="BB42" s="62">
        <f t="shared" si="14"/>
        <v>6.1138304240198007</v>
      </c>
      <c r="BC42" s="62">
        <f t="shared" si="14"/>
        <v>6.1219004412551516</v>
      </c>
      <c r="BD42" s="62">
        <f t="shared" si="14"/>
        <v>5.9590854230105768</v>
      </c>
      <c r="BE42" s="62">
        <f t="shared" si="14"/>
        <v>6.0132203686139203</v>
      </c>
      <c r="BF42" s="62">
        <f t="shared" si="14"/>
        <v>6.0026150939890615</v>
      </c>
      <c r="BG42" s="62">
        <f t="shared" si="14"/>
        <v>5.9109647462284363</v>
      </c>
      <c r="BH42" s="62">
        <f t="shared" si="14"/>
        <v>5.7801807589722669</v>
      </c>
      <c r="BI42" s="62">
        <f t="shared" si="14"/>
        <v>5.7821257023022676</v>
      </c>
      <c r="BJ42" s="62">
        <f t="shared" si="14"/>
        <v>5.8320328077306662</v>
      </c>
    </row>
    <row r="43" spans="2:63">
      <c r="C43" s="4" t="s">
        <v>91</v>
      </c>
      <c r="D43" s="62">
        <f>D236*0.833</f>
        <v>5.2311853628854328</v>
      </c>
      <c r="E43" s="62">
        <f t="shared" ref="E43:BJ43" si="15">E236*0.833</f>
        <v>5.4491514196723259</v>
      </c>
      <c r="F43" s="62">
        <f t="shared" si="15"/>
        <v>5.6761993954920058</v>
      </c>
      <c r="G43" s="62">
        <f t="shared" si="15"/>
        <v>5.9127077036375066</v>
      </c>
      <c r="H43" s="62">
        <f t="shared" si="15"/>
        <v>6.1590705246224031</v>
      </c>
      <c r="I43" s="62">
        <f t="shared" si="15"/>
        <v>6.4156984631483365</v>
      </c>
      <c r="J43" s="62">
        <f t="shared" si="15"/>
        <v>6.6830192324461848</v>
      </c>
      <c r="K43" s="62">
        <f t="shared" si="15"/>
        <v>6.9614783671314431</v>
      </c>
      <c r="L43" s="62">
        <f t="shared" si="15"/>
        <v>7.2515399657619186</v>
      </c>
      <c r="M43" s="62">
        <f t="shared" si="15"/>
        <v>7.553687464335332</v>
      </c>
      <c r="N43" s="62">
        <f t="shared" si="15"/>
        <v>7.8684244420159724</v>
      </c>
      <c r="O43" s="62">
        <f t="shared" si="15"/>
        <v>7.8508690284576801</v>
      </c>
      <c r="P43" s="62">
        <f t="shared" si="15"/>
        <v>7.9220595370416991</v>
      </c>
      <c r="Q43" s="62">
        <f t="shared" si="15"/>
        <v>7.681625805894357</v>
      </c>
      <c r="R43" s="62">
        <f t="shared" si="15"/>
        <v>7.9649731919494249</v>
      </c>
      <c r="S43" s="62">
        <f t="shared" si="15"/>
        <v>7.7845676755747952</v>
      </c>
      <c r="T43" s="62">
        <f t="shared" si="15"/>
        <v>8.0471315604113158</v>
      </c>
      <c r="U43" s="62">
        <f t="shared" si="15"/>
        <v>7.6676688987241581</v>
      </c>
      <c r="V43" s="62">
        <f t="shared" si="15"/>
        <v>7.9528259110387785</v>
      </c>
      <c r="W43" s="62">
        <f t="shared" si="15"/>
        <v>7.7787290616664126</v>
      </c>
      <c r="X43" s="62">
        <f t="shared" si="15"/>
        <v>7.915853157197108</v>
      </c>
      <c r="Y43" s="62">
        <f t="shared" si="15"/>
        <v>8.1574624898921151</v>
      </c>
      <c r="Z43" s="62">
        <f t="shared" si="15"/>
        <v>7.7543469546412931</v>
      </c>
      <c r="AA43" s="62">
        <f t="shared" si="15"/>
        <v>7.3256117216766903</v>
      </c>
      <c r="AB43" s="62">
        <f t="shared" si="15"/>
        <v>7.0365590749375757</v>
      </c>
      <c r="AC43" s="62">
        <f t="shared" si="15"/>
        <v>6.8112506797255614</v>
      </c>
      <c r="AD43" s="62">
        <f t="shared" si="15"/>
        <v>6.2736442189270702</v>
      </c>
      <c r="AE43" s="62">
        <f t="shared" si="15"/>
        <v>6.390625494187387</v>
      </c>
      <c r="AF43" s="62">
        <f t="shared" si="15"/>
        <v>6.4130139049592829</v>
      </c>
      <c r="AG43" s="62">
        <f t="shared" si="15"/>
        <v>6.0653610302730687</v>
      </c>
      <c r="AH43" s="62">
        <f t="shared" si="15"/>
        <v>6.1740172561767928</v>
      </c>
      <c r="AI43" s="62">
        <f t="shared" si="15"/>
        <v>6.2281945746809706</v>
      </c>
      <c r="AJ43" s="62">
        <f t="shared" si="15"/>
        <v>6.0970969537961075</v>
      </c>
      <c r="AK43" s="62">
        <f t="shared" si="15"/>
        <v>6.1084118885913883</v>
      </c>
      <c r="AL43" s="62">
        <f t="shared" si="15"/>
        <v>6.0284839230948304</v>
      </c>
      <c r="AM43" s="62">
        <f t="shared" si="15"/>
        <v>6.1480500272638547</v>
      </c>
      <c r="AN43" s="62">
        <f t="shared" si="15"/>
        <v>6.2739920761683896</v>
      </c>
      <c r="AO43" s="62">
        <f t="shared" si="15"/>
        <v>6.4729348667101538</v>
      </c>
      <c r="AP43" s="62">
        <f t="shared" si="15"/>
        <v>6.853201205798416</v>
      </c>
      <c r="AQ43" s="62">
        <f t="shared" si="15"/>
        <v>7.0734425657679978</v>
      </c>
      <c r="AR43" s="62">
        <f t="shared" si="15"/>
        <v>7.3080496502243237</v>
      </c>
      <c r="AS43" s="62">
        <f t="shared" si="15"/>
        <v>7.487915522666361</v>
      </c>
      <c r="AT43" s="62">
        <f t="shared" si="15"/>
        <v>7.5116675834353224</v>
      </c>
      <c r="AU43" s="62">
        <f t="shared" si="15"/>
        <v>7.5470637834309722</v>
      </c>
      <c r="AV43" s="62">
        <f t="shared" si="15"/>
        <v>7.6553680619470175</v>
      </c>
      <c r="AW43" s="62">
        <f t="shared" si="15"/>
        <v>7.6790865136186923</v>
      </c>
      <c r="AX43" s="62">
        <f t="shared" si="15"/>
        <v>7.8116245953454886</v>
      </c>
      <c r="AY43" s="62">
        <f t="shared" si="15"/>
        <v>7.9110737848254171</v>
      </c>
      <c r="AZ43" s="62">
        <f t="shared" si="15"/>
        <v>8.1415797516066171</v>
      </c>
      <c r="BA43" s="62">
        <f t="shared" si="15"/>
        <v>8.1682690076283357</v>
      </c>
      <c r="BB43" s="62">
        <f t="shared" si="15"/>
        <v>8.2444849978912895</v>
      </c>
      <c r="BC43" s="62">
        <f t="shared" si="15"/>
        <v>8.4023509747176064</v>
      </c>
      <c r="BD43" s="62">
        <f t="shared" si="15"/>
        <v>8.2017966436579535</v>
      </c>
      <c r="BE43" s="62">
        <f t="shared" si="15"/>
        <v>8.3841130495299439</v>
      </c>
      <c r="BF43" s="62">
        <f t="shared" si="15"/>
        <v>8.4255748336645908</v>
      </c>
      <c r="BG43" s="62">
        <f t="shared" si="15"/>
        <v>8.4168850547578913</v>
      </c>
      <c r="BH43" s="62">
        <f t="shared" si="15"/>
        <v>8.2358644852964282</v>
      </c>
      <c r="BI43" s="62">
        <f t="shared" si="15"/>
        <v>8.6422978998106768</v>
      </c>
      <c r="BJ43" s="62">
        <f t="shared" si="15"/>
        <v>8.8124807876717739</v>
      </c>
    </row>
    <row r="44" spans="2:63">
      <c r="N44" s="61"/>
    </row>
    <row r="45" spans="2:63">
      <c r="C45" s="63" t="s">
        <v>92</v>
      </c>
      <c r="D45" s="62">
        <f>D258*0.833</f>
        <v>24.347128647335342</v>
      </c>
      <c r="E45" s="62">
        <f t="shared" ref="E45:BB46" si="16">E258*0.833</f>
        <v>24.347128647335342</v>
      </c>
      <c r="F45" s="62">
        <f t="shared" si="16"/>
        <v>24.347128647335342</v>
      </c>
      <c r="G45" s="62">
        <f t="shared" si="16"/>
        <v>24.347128647335346</v>
      </c>
      <c r="H45" s="62">
        <f t="shared" si="16"/>
        <v>24.347128647335342</v>
      </c>
      <c r="I45" s="62">
        <f t="shared" si="16"/>
        <v>24.347128647335346</v>
      </c>
      <c r="J45" s="62">
        <f t="shared" si="16"/>
        <v>24.347128647335339</v>
      </c>
      <c r="K45" s="62">
        <f t="shared" si="16"/>
        <v>24.347128647335346</v>
      </c>
      <c r="L45" s="62">
        <f t="shared" si="16"/>
        <v>24.347128647335346</v>
      </c>
      <c r="M45" s="62">
        <f t="shared" si="16"/>
        <v>24.347128647335342</v>
      </c>
      <c r="N45" s="62">
        <f t="shared" si="16"/>
        <v>24.389723096224674</v>
      </c>
      <c r="O45" s="62">
        <f t="shared" si="16"/>
        <v>24.579942711639184</v>
      </c>
      <c r="P45" s="62">
        <f t="shared" si="16"/>
        <v>24.381538053385796</v>
      </c>
      <c r="Q45" s="62">
        <f t="shared" si="16"/>
        <v>24.065463701973837</v>
      </c>
      <c r="R45" s="62">
        <f t="shared" si="16"/>
        <v>24.298760379662383</v>
      </c>
      <c r="S45" s="62">
        <f t="shared" si="16"/>
        <v>25.124752450780576</v>
      </c>
      <c r="T45" s="62">
        <f t="shared" si="16"/>
        <v>25.229262917550663</v>
      </c>
      <c r="U45" s="62">
        <f t="shared" si="16"/>
        <v>24.976311737413486</v>
      </c>
      <c r="V45" s="62">
        <f t="shared" si="16"/>
        <v>24.536868744702616</v>
      </c>
      <c r="W45" s="62">
        <f t="shared" si="16"/>
        <v>24.001796572986244</v>
      </c>
      <c r="X45" s="62">
        <f t="shared" si="16"/>
        <v>24.994722678410817</v>
      </c>
      <c r="Y45" s="62">
        <f t="shared" si="16"/>
        <v>26.143164815462505</v>
      </c>
      <c r="Z45" s="62">
        <f t="shared" si="16"/>
        <v>26.18035560764589</v>
      </c>
      <c r="AA45" s="62">
        <f t="shared" si="16"/>
        <v>26.04466174654647</v>
      </c>
      <c r="AB45" s="62">
        <f t="shared" si="16"/>
        <v>26.460273819310615</v>
      </c>
      <c r="AC45" s="62">
        <f t="shared" si="16"/>
        <v>26.837321046440191</v>
      </c>
      <c r="AD45" s="62">
        <f t="shared" si="16"/>
        <v>26.749333198586132</v>
      </c>
      <c r="AE45" s="62">
        <f t="shared" si="16"/>
        <v>27.640147817488227</v>
      </c>
      <c r="AF45" s="62">
        <f t="shared" si="16"/>
        <v>28.068450623389431</v>
      </c>
      <c r="AG45" s="62">
        <f t="shared" si="16"/>
        <v>29.067526166181828</v>
      </c>
      <c r="AH45" s="62">
        <f t="shared" si="16"/>
        <v>28.203443922872211</v>
      </c>
      <c r="AI45" s="62">
        <f t="shared" si="16"/>
        <v>28.221380102458159</v>
      </c>
      <c r="AJ45" s="62">
        <f t="shared" si="16"/>
        <v>27.755596675844458</v>
      </c>
      <c r="AK45" s="62">
        <f t="shared" si="16"/>
        <v>27.35197797960133</v>
      </c>
      <c r="AL45" s="62">
        <f t="shared" si="16"/>
        <v>27.984624966159632</v>
      </c>
      <c r="AM45" s="62">
        <f t="shared" si="16"/>
        <v>28.760223101920349</v>
      </c>
      <c r="AN45" s="62">
        <f t="shared" si="16"/>
        <v>28.253844439487217</v>
      </c>
      <c r="AO45" s="62">
        <f t="shared" si="16"/>
        <v>28.415287416716836</v>
      </c>
      <c r="AP45" s="62">
        <f t="shared" si="16"/>
        <v>29.044222145508229</v>
      </c>
      <c r="AQ45" s="62">
        <f t="shared" si="16"/>
        <v>29.051069883871421</v>
      </c>
      <c r="AR45" s="62">
        <f t="shared" si="16"/>
        <v>29.051320874445679</v>
      </c>
      <c r="AS45" s="62">
        <f t="shared" si="16"/>
        <v>29.452889360275293</v>
      </c>
      <c r="AT45" s="62">
        <f t="shared" si="16"/>
        <v>29.491364738959959</v>
      </c>
      <c r="AU45" s="62">
        <f t="shared" si="16"/>
        <v>29.80871192160188</v>
      </c>
      <c r="AV45" s="62">
        <f t="shared" si="16"/>
        <v>29.849582828793796</v>
      </c>
      <c r="AW45" s="62">
        <f t="shared" si="16"/>
        <v>29.584495819091718</v>
      </c>
      <c r="AX45" s="62">
        <f t="shared" si="16"/>
        <v>29.927161554212031</v>
      </c>
      <c r="AY45" s="62">
        <f t="shared" si="16"/>
        <v>29.753572946088987</v>
      </c>
      <c r="AZ45" s="62">
        <f t="shared" si="16"/>
        <v>30.209038159503105</v>
      </c>
      <c r="BA45" s="62">
        <f t="shared" si="16"/>
        <v>30.964751059898713</v>
      </c>
      <c r="BB45" s="62">
        <f t="shared" si="16"/>
        <v>31.389051755395037</v>
      </c>
    </row>
    <row r="46" spans="2:63">
      <c r="C46" s="63" t="s">
        <v>93</v>
      </c>
      <c r="D46" s="62">
        <f>D259*0.833</f>
        <v>11.731942135377595</v>
      </c>
      <c r="E46" s="62">
        <f t="shared" si="16"/>
        <v>11.731942135377594</v>
      </c>
      <c r="F46" s="62">
        <f t="shared" si="16"/>
        <v>11.731942135377595</v>
      </c>
      <c r="G46" s="62">
        <f t="shared" si="16"/>
        <v>11.731942135377594</v>
      </c>
      <c r="H46" s="62">
        <f t="shared" si="16"/>
        <v>11.731942135377594</v>
      </c>
      <c r="I46" s="62">
        <f t="shared" si="16"/>
        <v>11.731942135377594</v>
      </c>
      <c r="J46" s="62">
        <f t="shared" si="16"/>
        <v>11.731942135377594</v>
      </c>
      <c r="K46" s="62">
        <f t="shared" si="16"/>
        <v>11.731942135377594</v>
      </c>
      <c r="L46" s="62">
        <f t="shared" si="16"/>
        <v>11.731942135377594</v>
      </c>
      <c r="M46" s="62">
        <f t="shared" si="16"/>
        <v>11.731942135377592</v>
      </c>
      <c r="N46" s="62">
        <f t="shared" si="16"/>
        <v>11.695893332884566</v>
      </c>
      <c r="O46" s="62">
        <f t="shared" si="16"/>
        <v>11.737715085838184</v>
      </c>
      <c r="P46" s="62">
        <f t="shared" si="16"/>
        <v>11.887484158707693</v>
      </c>
      <c r="Q46" s="62">
        <f t="shared" si="16"/>
        <v>11.642610482887317</v>
      </c>
      <c r="R46" s="62">
        <f t="shared" si="16"/>
        <v>11.664355155757891</v>
      </c>
      <c r="S46" s="62">
        <f t="shared" si="16"/>
        <v>11.684991270968906</v>
      </c>
      <c r="T46" s="62">
        <f t="shared" si="16"/>
        <v>11.735750211941186</v>
      </c>
      <c r="U46" s="62">
        <f t="shared" si="16"/>
        <v>11.459267084013385</v>
      </c>
      <c r="V46" s="62">
        <f t="shared" si="16"/>
        <v>11.515463406102089</v>
      </c>
      <c r="W46" s="62">
        <f t="shared" si="16"/>
        <v>11.222407285995692</v>
      </c>
      <c r="X46" s="62">
        <f t="shared" si="16"/>
        <v>11.810494203353596</v>
      </c>
      <c r="Y46" s="62">
        <f t="shared" si="16"/>
        <v>12.261023807565262</v>
      </c>
      <c r="Z46" s="62">
        <f t="shared" si="16"/>
        <v>11.858805189064498</v>
      </c>
      <c r="AA46" s="62">
        <f t="shared" si="16"/>
        <v>11.334039723927097</v>
      </c>
      <c r="AB46" s="62">
        <f t="shared" si="16"/>
        <v>10.979518176247975</v>
      </c>
      <c r="AC46" s="62">
        <f t="shared" si="16"/>
        <v>10.658727505184617</v>
      </c>
      <c r="AD46" s="62">
        <f t="shared" si="16"/>
        <v>10.078569807519022</v>
      </c>
      <c r="AE46" s="62">
        <f t="shared" si="16"/>
        <v>10.805431237776515</v>
      </c>
      <c r="AF46" s="62">
        <f t="shared" si="16"/>
        <v>11.079965082236285</v>
      </c>
      <c r="AG46" s="62">
        <f t="shared" si="16"/>
        <v>12.369352922065119</v>
      </c>
      <c r="AH46" s="62">
        <f t="shared" si="16"/>
        <v>13.597747053005456</v>
      </c>
      <c r="AI46" s="62">
        <f t="shared" si="16"/>
        <v>14.473688877810913</v>
      </c>
      <c r="AJ46" s="62">
        <f t="shared" si="16"/>
        <v>15.063783880916496</v>
      </c>
      <c r="AK46" s="62">
        <f t="shared" si="16"/>
        <v>15.891136242190377</v>
      </c>
      <c r="AL46" s="62">
        <f t="shared" si="16"/>
        <v>17.083320200948112</v>
      </c>
      <c r="AM46" s="62">
        <f t="shared" si="16"/>
        <v>18.440209391947096</v>
      </c>
      <c r="AN46" s="62">
        <f t="shared" si="16"/>
        <v>18.849246549741469</v>
      </c>
      <c r="AO46" s="62">
        <f t="shared" si="16"/>
        <v>19.549752680508487</v>
      </c>
      <c r="AP46" s="62">
        <f t="shared" si="16"/>
        <v>20.384931423718694</v>
      </c>
      <c r="AQ46" s="62">
        <f t="shared" si="16"/>
        <v>21.220851832908281</v>
      </c>
      <c r="AR46" s="62">
        <f t="shared" si="16"/>
        <v>21.730990674780301</v>
      </c>
      <c r="AS46" s="62">
        <f t="shared" si="16"/>
        <v>22.426644858442717</v>
      </c>
      <c r="AT46" s="62">
        <f t="shared" si="16"/>
        <v>22.929706478396007</v>
      </c>
      <c r="AU46" s="62">
        <f t="shared" si="16"/>
        <v>23.547557297078644</v>
      </c>
      <c r="AV46" s="62">
        <f t="shared" si="16"/>
        <v>24.205680996957302</v>
      </c>
      <c r="AW46" s="62">
        <f t="shared" si="16"/>
        <v>24.473726675026349</v>
      </c>
      <c r="AX46" s="62">
        <f t="shared" si="16"/>
        <v>25.231613056762665</v>
      </c>
      <c r="AY46" s="62">
        <f t="shared" si="16"/>
        <v>25.609957336449988</v>
      </c>
      <c r="AZ46" s="62">
        <f t="shared" si="16"/>
        <v>27.06946815800643</v>
      </c>
      <c r="BA46" s="62">
        <f t="shared" si="16"/>
        <v>27.953235900908961</v>
      </c>
      <c r="BB46" s="62">
        <f t="shared" si="16"/>
        <v>28.139190345714404</v>
      </c>
    </row>
    <row r="47" spans="2:63">
      <c r="C47" s="63" t="s">
        <v>8</v>
      </c>
      <c r="D47" s="13">
        <f>35*(1-EXP(-0.025*D45))/100</f>
        <v>0.15957566228914821</v>
      </c>
      <c r="E47" s="13">
        <f>35*(1-EXP(-0.025*E45))/100</f>
        <v>0.15957566228914821</v>
      </c>
      <c r="F47" s="13">
        <f t="shared" ref="F47:BB47" si="17">35*(1-EXP(-0.025*F45))/100</f>
        <v>0.15957566228914821</v>
      </c>
      <c r="G47" s="13">
        <f t="shared" si="17"/>
        <v>0.15957566228914824</v>
      </c>
      <c r="H47" s="13">
        <f t="shared" si="17"/>
        <v>0.15957566228914821</v>
      </c>
      <c r="I47" s="13">
        <f t="shared" si="17"/>
        <v>0.15957566228914824</v>
      </c>
      <c r="J47" s="13">
        <f t="shared" si="17"/>
        <v>0.15957566228914821</v>
      </c>
      <c r="K47" s="13">
        <f t="shared" si="17"/>
        <v>0.15957566228914824</v>
      </c>
      <c r="L47" s="13">
        <f t="shared" si="17"/>
        <v>0.15957566228914824</v>
      </c>
      <c r="M47" s="13">
        <f t="shared" si="17"/>
        <v>0.15957566228914821</v>
      </c>
      <c r="N47" s="13">
        <f t="shared" si="17"/>
        <v>0.15977832985657828</v>
      </c>
      <c r="O47" s="13">
        <f t="shared" si="17"/>
        <v>0.16068077968357733</v>
      </c>
      <c r="P47" s="13">
        <f t="shared" si="17"/>
        <v>0.15973940156086686</v>
      </c>
      <c r="Q47" s="13">
        <f t="shared" si="17"/>
        <v>0.15823003362711793</v>
      </c>
      <c r="R47" s="13">
        <f t="shared" si="17"/>
        <v>0.15934526063216348</v>
      </c>
      <c r="S47" s="13">
        <f t="shared" si="17"/>
        <v>0.16324187261236239</v>
      </c>
      <c r="T47" s="13">
        <f t="shared" si="17"/>
        <v>0.16372919018945534</v>
      </c>
      <c r="U47" s="13">
        <f t="shared" si="17"/>
        <v>0.16254752229460565</v>
      </c>
      <c r="V47" s="13">
        <f t="shared" si="17"/>
        <v>0.16047680163058048</v>
      </c>
      <c r="W47" s="13">
        <f t="shared" si="17"/>
        <v>0.1579245544997479</v>
      </c>
      <c r="X47" s="13">
        <f t="shared" si="17"/>
        <v>0.16263378185425792</v>
      </c>
      <c r="Y47" s="13">
        <f t="shared" si="17"/>
        <v>0.16793677186192457</v>
      </c>
      <c r="Z47" s="13">
        <f t="shared" si="17"/>
        <v>0.16810597008408468</v>
      </c>
      <c r="AA47" s="13">
        <f t="shared" si="17"/>
        <v>0.16748787469921694</v>
      </c>
      <c r="AB47" s="13">
        <f t="shared" si="17"/>
        <v>0.16937441294359271</v>
      </c>
      <c r="AC47" s="13">
        <f t="shared" si="17"/>
        <v>0.17106902296461737</v>
      </c>
      <c r="AD47" s="13">
        <f t="shared" si="17"/>
        <v>0.17067499596405628</v>
      </c>
      <c r="AE47" s="13">
        <f t="shared" si="17"/>
        <v>0.17462448779488315</v>
      </c>
      <c r="AF47" s="13">
        <f t="shared" si="17"/>
        <v>0.1764923155995331</v>
      </c>
      <c r="AG47" s="13">
        <f t="shared" si="17"/>
        <v>0.18077232454272851</v>
      </c>
      <c r="AH47" s="13">
        <f t="shared" si="17"/>
        <v>0.17707688799781174</v>
      </c>
      <c r="AI47" s="13">
        <f t="shared" si="17"/>
        <v>0.17715441011566577</v>
      </c>
      <c r="AJ47" s="13">
        <f t="shared" si="17"/>
        <v>0.17512993060076679</v>
      </c>
      <c r="AK47" s="13">
        <f t="shared" si="17"/>
        <v>0.17335647742683125</v>
      </c>
      <c r="AL47" s="13">
        <f t="shared" si="17"/>
        <v>0.17612832444328919</v>
      </c>
      <c r="AM47" s="13">
        <f t="shared" si="17"/>
        <v>0.17946721307183686</v>
      </c>
      <c r="AN47" s="13">
        <f t="shared" si="17"/>
        <v>0.17729463614075647</v>
      </c>
      <c r="AO47" s="13">
        <f t="shared" si="17"/>
        <v>0.17799028305817796</v>
      </c>
      <c r="AP47" s="13">
        <f t="shared" si="17"/>
        <v>0.18067370368605196</v>
      </c>
      <c r="AQ47" s="13">
        <f t="shared" si="17"/>
        <v>0.18070268875933287</v>
      </c>
      <c r="AR47" s="13">
        <f t="shared" si="17"/>
        <v>0.1807037510567342</v>
      </c>
      <c r="AS47" s="13">
        <f t="shared" si="17"/>
        <v>0.18239484916581919</v>
      </c>
      <c r="AT47" s="13">
        <f t="shared" si="17"/>
        <v>0.1825559884459059</v>
      </c>
      <c r="AU47" s="13">
        <f t="shared" si="17"/>
        <v>0.18387917975043055</v>
      </c>
      <c r="AV47" s="13">
        <f t="shared" si="17"/>
        <v>0.18404883077895423</v>
      </c>
      <c r="AW47" s="13">
        <f t="shared" si="17"/>
        <v>0.18294539099294047</v>
      </c>
      <c r="AX47" s="13">
        <f t="shared" si="17"/>
        <v>0.18437037586967936</v>
      </c>
      <c r="AY47" s="13">
        <f t="shared" si="17"/>
        <v>0.18365002855118884</v>
      </c>
      <c r="AZ47" s="13">
        <f t="shared" si="17"/>
        <v>0.18553345091565329</v>
      </c>
      <c r="BA47" s="13">
        <f t="shared" si="17"/>
        <v>0.18861151997382652</v>
      </c>
      <c r="BB47" s="13">
        <f t="shared" si="17"/>
        <v>0.19031440343162881</v>
      </c>
    </row>
    <row r="48" spans="2:63">
      <c r="C48" s="63" t="s">
        <v>3</v>
      </c>
      <c r="D48" s="13">
        <f t="shared" ref="D48:BB48" si="18">43.75*(1-EXP(-0.025*D46))/100</f>
        <v>0.11121274215320702</v>
      </c>
      <c r="E48" s="13">
        <f t="shared" si="18"/>
        <v>0.11121274215320696</v>
      </c>
      <c r="F48" s="13">
        <f t="shared" si="18"/>
        <v>0.11121274215320702</v>
      </c>
      <c r="G48" s="13">
        <f t="shared" si="18"/>
        <v>0.11121274215320696</v>
      </c>
      <c r="H48" s="13">
        <f t="shared" si="18"/>
        <v>0.11121274215320696</v>
      </c>
      <c r="I48" s="13">
        <f t="shared" si="18"/>
        <v>0.11121274215320696</v>
      </c>
      <c r="J48" s="13">
        <f t="shared" si="18"/>
        <v>0.11121274215320696</v>
      </c>
      <c r="K48" s="13">
        <f t="shared" si="18"/>
        <v>0.11121274215320696</v>
      </c>
      <c r="L48" s="13">
        <f t="shared" si="18"/>
        <v>0.11121274215320696</v>
      </c>
      <c r="M48" s="13">
        <f t="shared" si="18"/>
        <v>0.11121274215320696</v>
      </c>
      <c r="N48" s="13">
        <f t="shared" si="18"/>
        <v>0.11091855298567591</v>
      </c>
      <c r="O48" s="13">
        <f t="shared" si="18"/>
        <v>0.1112598297595818</v>
      </c>
      <c r="P48" s="13">
        <f t="shared" si="18"/>
        <v>0.11247906298805355</v>
      </c>
      <c r="Q48" s="13">
        <f t="shared" si="18"/>
        <v>0.11048323335533489</v>
      </c>
      <c r="R48" s="13">
        <f t="shared" si="18"/>
        <v>0.11066095685956194</v>
      </c>
      <c r="S48" s="13">
        <f t="shared" si="18"/>
        <v>0.11082953057573279</v>
      </c>
      <c r="T48" s="13">
        <f t="shared" si="18"/>
        <v>0.11124380384610733</v>
      </c>
      <c r="U48" s="13">
        <f t="shared" si="18"/>
        <v>0.1089808837749896</v>
      </c>
      <c r="V48" s="13">
        <f t="shared" si="18"/>
        <v>0.10944209886842129</v>
      </c>
      <c r="W48" s="13">
        <f t="shared" si="18"/>
        <v>0.10702978848780774</v>
      </c>
      <c r="X48" s="13">
        <f t="shared" si="18"/>
        <v>0.11185287687011244</v>
      </c>
      <c r="Y48" s="13">
        <f t="shared" si="18"/>
        <v>0.11550014004931991</v>
      </c>
      <c r="Z48" s="13">
        <f t="shared" si="18"/>
        <v>0.11224594778959419</v>
      </c>
      <c r="AA48" s="13">
        <f t="shared" si="18"/>
        <v>0.10795078261415936</v>
      </c>
      <c r="AB48" s="13">
        <f t="shared" si="18"/>
        <v>0.10501699320997183</v>
      </c>
      <c r="AC48" s="13">
        <f t="shared" si="18"/>
        <v>0.10233983630011806</v>
      </c>
      <c r="AD48" s="13">
        <f t="shared" si="18"/>
        <v>9.7443268647691705E-2</v>
      </c>
      <c r="AE48" s="13">
        <f t="shared" si="18"/>
        <v>0.10356681606912473</v>
      </c>
      <c r="AF48" s="13">
        <f t="shared" si="18"/>
        <v>0.10585086800312826</v>
      </c>
      <c r="AG48" s="13">
        <f t="shared" si="18"/>
        <v>0.11637100925335452</v>
      </c>
      <c r="AH48" s="13">
        <f t="shared" si="18"/>
        <v>0.12608294413231028</v>
      </c>
      <c r="AI48" s="13">
        <f t="shared" si="18"/>
        <v>0.13282839736846638</v>
      </c>
      <c r="AJ48" s="13">
        <f t="shared" si="18"/>
        <v>0.13729003632412218</v>
      </c>
      <c r="AK48" s="13">
        <f t="shared" si="18"/>
        <v>0.143435744452453</v>
      </c>
      <c r="AL48" s="13">
        <f t="shared" si="18"/>
        <v>0.15207088893372989</v>
      </c>
      <c r="AM48" s="13">
        <f t="shared" si="18"/>
        <v>0.16159089797073409</v>
      </c>
      <c r="AN48" s="13">
        <f t="shared" si="18"/>
        <v>0.16439794803510263</v>
      </c>
      <c r="AO48" s="13">
        <f t="shared" si="18"/>
        <v>0.16913905373674695</v>
      </c>
      <c r="AP48" s="13">
        <f t="shared" si="18"/>
        <v>0.17468419641627367</v>
      </c>
      <c r="AQ48" s="13">
        <f t="shared" si="18"/>
        <v>0.18011953210604217</v>
      </c>
      <c r="AR48" s="13">
        <f t="shared" si="18"/>
        <v>0.18338118355356364</v>
      </c>
      <c r="AS48" s="13">
        <f t="shared" si="18"/>
        <v>0.18776244552961463</v>
      </c>
      <c r="AT48" s="13">
        <f t="shared" si="18"/>
        <v>0.19088361211917754</v>
      </c>
      <c r="AU48" s="13">
        <f t="shared" si="18"/>
        <v>0.19466364667455832</v>
      </c>
      <c r="AV48" s="13">
        <f t="shared" si="18"/>
        <v>0.1986263667640005</v>
      </c>
      <c r="AW48" s="13">
        <f t="shared" si="18"/>
        <v>0.20022174150248401</v>
      </c>
      <c r="AX48" s="13">
        <f t="shared" si="18"/>
        <v>0.20467516740789446</v>
      </c>
      <c r="AY48" s="13">
        <f t="shared" si="18"/>
        <v>0.20686698389112135</v>
      </c>
      <c r="AZ48" s="13">
        <f t="shared" si="18"/>
        <v>0.21513059135750168</v>
      </c>
      <c r="BA48" s="13">
        <f t="shared" si="18"/>
        <v>0.2199897864503994</v>
      </c>
      <c r="BB48" s="13">
        <f t="shared" si="18"/>
        <v>0.2209986144578612</v>
      </c>
    </row>
    <row r="49" spans="3:54">
      <c r="C49" s="6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3:54">
      <c r="C50" s="63" t="s">
        <v>94</v>
      </c>
      <c r="D50" s="64">
        <f t="shared" ref="D50:AI50" si="19">D45*D$243/D$245+D46*D$244/D$245</f>
        <v>23.478427268870355</v>
      </c>
      <c r="E50" s="64">
        <f t="shared" si="19"/>
        <v>23.006506303856494</v>
      </c>
      <c r="F50" s="64">
        <f t="shared" si="19"/>
        <v>23.108329666134455</v>
      </c>
      <c r="G50" s="64">
        <f t="shared" si="19"/>
        <v>23.032909068193181</v>
      </c>
      <c r="H50" s="64">
        <f t="shared" si="19"/>
        <v>22.794662134534597</v>
      </c>
      <c r="I50" s="64">
        <f t="shared" si="19"/>
        <v>22.880546718264217</v>
      </c>
      <c r="J50" s="64">
        <f t="shared" si="19"/>
        <v>22.704395141888025</v>
      </c>
      <c r="K50" s="64">
        <f t="shared" si="19"/>
        <v>23.268529360508555</v>
      </c>
      <c r="L50" s="64">
        <f t="shared" si="19"/>
        <v>23.658360451878419</v>
      </c>
      <c r="M50" s="64">
        <f t="shared" si="19"/>
        <v>23.830014699056644</v>
      </c>
      <c r="N50" s="64">
        <f t="shared" si="19"/>
        <v>22.750468797521485</v>
      </c>
      <c r="O50" s="64">
        <f t="shared" si="19"/>
        <v>22.955283896529775</v>
      </c>
      <c r="P50" s="64">
        <f t="shared" si="19"/>
        <v>22.838979904524315</v>
      </c>
      <c r="Q50" s="64">
        <f t="shared" si="19"/>
        <v>22.527526646754993</v>
      </c>
      <c r="R50" s="64">
        <f t="shared" si="19"/>
        <v>22.743865833392739</v>
      </c>
      <c r="S50" s="64">
        <f t="shared" si="19"/>
        <v>23.509290304185523</v>
      </c>
      <c r="T50" s="64">
        <f t="shared" si="19"/>
        <v>23.625291486176163</v>
      </c>
      <c r="U50" s="64">
        <f t="shared" si="19"/>
        <v>23.397558705009107</v>
      </c>
      <c r="V50" s="64">
        <f t="shared" si="19"/>
        <v>23.023424673303364</v>
      </c>
      <c r="W50" s="64">
        <f t="shared" si="19"/>
        <v>22.50374528903393</v>
      </c>
      <c r="X50" s="64">
        <f t="shared" si="19"/>
        <v>23.512086501867884</v>
      </c>
      <c r="Y50" s="64">
        <f t="shared" si="19"/>
        <v>24.634600692847787</v>
      </c>
      <c r="Z50" s="64">
        <f t="shared" si="19"/>
        <v>24.664535164528573</v>
      </c>
      <c r="AA50" s="64">
        <f t="shared" si="19"/>
        <v>24.45758965533113</v>
      </c>
      <c r="AB50" s="64">
        <f t="shared" si="19"/>
        <v>24.775923509587518</v>
      </c>
      <c r="AC50" s="64">
        <f t="shared" si="19"/>
        <v>25.078531845126697</v>
      </c>
      <c r="AD50" s="64">
        <f t="shared" si="19"/>
        <v>24.936490463387958</v>
      </c>
      <c r="AE50" s="64">
        <f t="shared" si="19"/>
        <v>25.676690230438638</v>
      </c>
      <c r="AF50" s="64">
        <f t="shared" si="19"/>
        <v>25.970486211682438</v>
      </c>
      <c r="AG50" s="64">
        <f t="shared" si="19"/>
        <v>26.769829009475384</v>
      </c>
      <c r="AH50" s="64">
        <f t="shared" si="19"/>
        <v>25.897167514278749</v>
      </c>
      <c r="AI50" s="64">
        <f t="shared" si="19"/>
        <v>25.902559543886468</v>
      </c>
      <c r="AJ50" s="64">
        <f t="shared" ref="AJ50:BB50" si="20">AJ45*AJ$243/AJ$245+AJ46*AJ$244/AJ$245</f>
        <v>25.437224565792668</v>
      </c>
      <c r="AK50" s="64">
        <f t="shared" si="20"/>
        <v>25.008550294898658</v>
      </c>
      <c r="AL50" s="64">
        <f t="shared" si="20"/>
        <v>25.417999555816259</v>
      </c>
      <c r="AM50" s="64">
        <f t="shared" si="20"/>
        <v>26.078231127793721</v>
      </c>
      <c r="AN50" s="64">
        <f t="shared" si="20"/>
        <v>25.651849532938392</v>
      </c>
      <c r="AO50" s="64">
        <f t="shared" si="20"/>
        <v>25.817190268531142</v>
      </c>
      <c r="AP50" s="64">
        <f t="shared" si="20"/>
        <v>26.41643247790881</v>
      </c>
      <c r="AQ50" s="64">
        <f t="shared" si="20"/>
        <v>26.562444844897268</v>
      </c>
      <c r="AR50" s="64">
        <f t="shared" si="20"/>
        <v>26.644906168445836</v>
      </c>
      <c r="AS50" s="64">
        <f t="shared" si="20"/>
        <v>27.037342572628869</v>
      </c>
      <c r="AT50" s="64">
        <f t="shared" si="20"/>
        <v>27.114331958364513</v>
      </c>
      <c r="AU50" s="64">
        <f t="shared" si="20"/>
        <v>27.384264436441466</v>
      </c>
      <c r="AV50" s="64">
        <f t="shared" si="20"/>
        <v>27.537897616726589</v>
      </c>
      <c r="AW50" s="64">
        <f t="shared" si="20"/>
        <v>27.366503546228586</v>
      </c>
      <c r="AX50" s="64">
        <f t="shared" si="20"/>
        <v>27.771814730730803</v>
      </c>
      <c r="AY50" s="64">
        <f t="shared" si="20"/>
        <v>27.757336122113824</v>
      </c>
      <c r="AZ50" s="64">
        <f t="shared" si="20"/>
        <v>28.635086768387637</v>
      </c>
      <c r="BA50" s="64">
        <f t="shared" si="20"/>
        <v>29.419383034468524</v>
      </c>
      <c r="BB50" s="64">
        <f t="shared" si="20"/>
        <v>29.64599726007539</v>
      </c>
    </row>
    <row r="51" spans="3:54">
      <c r="C51" s="4" t="s">
        <v>85</v>
      </c>
      <c r="D51" s="13">
        <f t="shared" ref="D51:AI51" si="21">D47*D$240/D$242+D48*D$241/D$242</f>
        <v>0.14763239699834313</v>
      </c>
      <c r="E51" s="13">
        <f t="shared" si="21"/>
        <v>0.14737477549663267</v>
      </c>
      <c r="F51" s="13">
        <f t="shared" si="21"/>
        <v>0.14720665278984113</v>
      </c>
      <c r="G51" s="13">
        <f t="shared" si="21"/>
        <v>0.14693632282650526</v>
      </c>
      <c r="H51" s="13">
        <f t="shared" si="21"/>
        <v>0.14699474954390571</v>
      </c>
      <c r="I51" s="13">
        <f t="shared" si="21"/>
        <v>0.14712766261102131</v>
      </c>
      <c r="J51" s="13">
        <f t="shared" si="21"/>
        <v>0.14715526432209963</v>
      </c>
      <c r="K51" s="13">
        <f t="shared" si="21"/>
        <v>0.14721276536470465</v>
      </c>
      <c r="L51" s="13">
        <f t="shared" si="21"/>
        <v>0.14714253099884539</v>
      </c>
      <c r="M51" s="13">
        <f t="shared" si="21"/>
        <v>0.1470219170470678</v>
      </c>
      <c r="N51" s="13">
        <f t="shared" si="21"/>
        <v>0.1472999835144928</v>
      </c>
      <c r="O51" s="13">
        <f t="shared" si="21"/>
        <v>0.14824039505250283</v>
      </c>
      <c r="P51" s="13">
        <f t="shared" si="21"/>
        <v>0.14827057812020003</v>
      </c>
      <c r="Q51" s="13">
        <f t="shared" si="21"/>
        <v>0.1465475622730712</v>
      </c>
      <c r="R51" s="13">
        <f t="shared" si="21"/>
        <v>0.14742415452486934</v>
      </c>
      <c r="S51" s="13">
        <f t="shared" si="21"/>
        <v>0.15036117931815446</v>
      </c>
      <c r="T51" s="13">
        <f t="shared" si="21"/>
        <v>0.15095490304223652</v>
      </c>
      <c r="U51" s="13">
        <f t="shared" si="21"/>
        <v>0.14957088708385496</v>
      </c>
      <c r="V51" s="13">
        <f t="shared" si="21"/>
        <v>0.14837559578494805</v>
      </c>
      <c r="W51" s="13">
        <f t="shared" si="21"/>
        <v>0.14573275997339308</v>
      </c>
      <c r="X51" s="13">
        <f t="shared" si="21"/>
        <v>0.15099280477989488</v>
      </c>
      <c r="Y51" s="13">
        <f t="shared" si="21"/>
        <v>0.15620118045906745</v>
      </c>
      <c r="Z51" s="13">
        <f t="shared" si="21"/>
        <v>0.15555323110656968</v>
      </c>
      <c r="AA51" s="13">
        <f t="shared" si="21"/>
        <v>0.15346033732743328</v>
      </c>
      <c r="AB51" s="13">
        <f t="shared" si="21"/>
        <v>0.15353937333856801</v>
      </c>
      <c r="AC51" s="13">
        <f t="shared" si="21"/>
        <v>0.15360602548156096</v>
      </c>
      <c r="AD51" s="13">
        <f t="shared" si="21"/>
        <v>0.15132249723278485</v>
      </c>
      <c r="AE51" s="13">
        <f t="shared" si="21"/>
        <v>0.15526003751409223</v>
      </c>
      <c r="AF51" s="13">
        <f t="shared" si="21"/>
        <v>0.15645783431187543</v>
      </c>
      <c r="AG51" s="13">
        <f t="shared" si="21"/>
        <v>0.16185575659230395</v>
      </c>
      <c r="AH51" s="13">
        <f t="shared" si="21"/>
        <v>0.1617086296199047</v>
      </c>
      <c r="AI51" s="13">
        <f t="shared" si="21"/>
        <v>0.16363611561162922</v>
      </c>
      <c r="AJ51" s="13">
        <f t="shared" ref="AJ51:BB51" si="22">AJ47*AJ$240/AJ$242+AJ48*AJ$241/AJ$242</f>
        <v>0.16326563603009445</v>
      </c>
      <c r="AK51" s="13">
        <f t="shared" si="22"/>
        <v>0.16350738722587371</v>
      </c>
      <c r="AL51" s="13">
        <f t="shared" si="22"/>
        <v>0.16749700833758235</v>
      </c>
      <c r="AM51" s="13">
        <f t="shared" si="22"/>
        <v>0.17271189074931081</v>
      </c>
      <c r="AN51" s="13">
        <f t="shared" si="22"/>
        <v>0.17228131062597363</v>
      </c>
      <c r="AO51" s="13">
        <f t="shared" si="22"/>
        <v>0.17444457123391371</v>
      </c>
      <c r="AP51" s="13">
        <f t="shared" si="22"/>
        <v>0.17823139444533692</v>
      </c>
      <c r="AQ51" s="13">
        <f t="shared" si="22"/>
        <v>0.1804610713795789</v>
      </c>
      <c r="AR51" s="13">
        <f t="shared" si="22"/>
        <v>0.18183008634988565</v>
      </c>
      <c r="AS51" s="13">
        <f t="shared" si="22"/>
        <v>0.18471812966039275</v>
      </c>
      <c r="AT51" s="13">
        <f t="shared" si="22"/>
        <v>0.18628361331338614</v>
      </c>
      <c r="AU51" s="13">
        <f t="shared" si="22"/>
        <v>0.18894929588073028</v>
      </c>
      <c r="AV51" s="13">
        <f t="shared" si="22"/>
        <v>0.19114645023909277</v>
      </c>
      <c r="AW51" s="13">
        <f t="shared" si="22"/>
        <v>0.19170298586136666</v>
      </c>
      <c r="AX51" s="13">
        <f t="shared" si="22"/>
        <v>0.19508055161389612</v>
      </c>
      <c r="AY51" s="13">
        <f t="shared" si="22"/>
        <v>0.19630390684006505</v>
      </c>
      <c r="AZ51" s="13">
        <f t="shared" si="22"/>
        <v>0.20194351987759496</v>
      </c>
      <c r="BA51" s="13">
        <f t="shared" si="22"/>
        <v>0.20631768793228805</v>
      </c>
      <c r="BB51" s="13">
        <f t="shared" si="22"/>
        <v>0.20837792754899609</v>
      </c>
    </row>
    <row r="52" spans="3:54">
      <c r="C52" s="4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93" spans="3:56">
      <c r="C93" s="4"/>
      <c r="D93" s="5">
        <v>0.83299999999999996</v>
      </c>
    </row>
    <row r="94" spans="3:56">
      <c r="C94" s="4" t="s">
        <v>4</v>
      </c>
      <c r="D94" s="5" t="s">
        <v>5</v>
      </c>
      <c r="E94" s="3">
        <v>0</v>
      </c>
      <c r="F94" s="3">
        <v>10</v>
      </c>
      <c r="G94" s="3">
        <v>20</v>
      </c>
      <c r="H94" s="3">
        <v>30</v>
      </c>
      <c r="I94" s="3">
        <v>40</v>
      </c>
      <c r="J94" s="3">
        <v>50</v>
      </c>
      <c r="K94" s="3">
        <v>60</v>
      </c>
      <c r="L94" s="3">
        <v>70</v>
      </c>
      <c r="M94" s="3">
        <v>80</v>
      </c>
      <c r="N94" s="3">
        <v>90</v>
      </c>
      <c r="O94" s="3">
        <v>100</v>
      </c>
      <c r="P94" s="3">
        <v>110</v>
      </c>
      <c r="Q94" s="3">
        <v>120</v>
      </c>
      <c r="R94" s="3">
        <v>130</v>
      </c>
      <c r="S94" s="3">
        <v>140</v>
      </c>
      <c r="T94" s="3">
        <v>150</v>
      </c>
      <c r="U94" s="3">
        <v>160</v>
      </c>
      <c r="V94" s="3">
        <v>170</v>
      </c>
      <c r="W94" s="3">
        <v>180</v>
      </c>
      <c r="X94" s="3">
        <v>190</v>
      </c>
      <c r="Y94" s="3">
        <v>200</v>
      </c>
      <c r="Z94" s="3">
        <v>210</v>
      </c>
      <c r="AA94" s="3">
        <v>220</v>
      </c>
      <c r="AB94" s="3">
        <v>230</v>
      </c>
      <c r="AC94" s="3">
        <v>240</v>
      </c>
      <c r="AD94" s="3">
        <v>250</v>
      </c>
      <c r="AE94" s="3">
        <v>260</v>
      </c>
      <c r="AF94" s="3">
        <v>270</v>
      </c>
      <c r="AG94" s="3">
        <v>280</v>
      </c>
      <c r="AH94" s="3">
        <v>290</v>
      </c>
      <c r="AI94" s="3">
        <v>300</v>
      </c>
      <c r="AJ94" s="3">
        <v>310</v>
      </c>
      <c r="AK94" s="3">
        <v>320</v>
      </c>
      <c r="AL94" s="3">
        <v>330</v>
      </c>
      <c r="AM94" s="3">
        <v>340</v>
      </c>
      <c r="AN94" s="3">
        <v>350</v>
      </c>
      <c r="AO94" s="3">
        <v>360</v>
      </c>
      <c r="AP94" s="3">
        <v>370</v>
      </c>
      <c r="AQ94" s="3">
        <v>380</v>
      </c>
      <c r="AR94" s="3">
        <v>390</v>
      </c>
      <c r="AS94" s="3">
        <v>400</v>
      </c>
      <c r="AT94" s="3">
        <v>410</v>
      </c>
      <c r="AU94" s="3">
        <v>420</v>
      </c>
      <c r="AV94" s="3">
        <v>430</v>
      </c>
      <c r="AW94" s="3">
        <v>440</v>
      </c>
      <c r="AX94" s="3">
        <v>450</v>
      </c>
      <c r="AY94" s="3">
        <v>460</v>
      </c>
      <c r="AZ94" s="3">
        <v>470</v>
      </c>
      <c r="BA94" s="3">
        <v>480</v>
      </c>
      <c r="BB94" s="3">
        <v>490</v>
      </c>
    </row>
    <row r="95" spans="3:56">
      <c r="C95" s="4" t="s">
        <v>95</v>
      </c>
      <c r="D95" s="5" t="s">
        <v>6</v>
      </c>
      <c r="E95" s="3">
        <v>0</v>
      </c>
      <c r="F95" s="9">
        <f t="shared" ref="F95:BB95" si="23">10*LOG(0.416*F94)/100</f>
        <v>6.1909333062674279E-2</v>
      </c>
      <c r="G95" s="65">
        <f t="shared" si="23"/>
        <v>9.2012332629072394E-2</v>
      </c>
      <c r="H95" s="9">
        <f t="shared" si="23"/>
        <v>0.1096214585346405</v>
      </c>
      <c r="I95" s="9">
        <f t="shared" si="23"/>
        <v>0.12211533219547049</v>
      </c>
      <c r="J95" s="9">
        <f t="shared" si="23"/>
        <v>0.13180633349627616</v>
      </c>
      <c r="K95" s="9">
        <f t="shared" si="23"/>
        <v>0.13972445810103865</v>
      </c>
      <c r="L95" s="9">
        <f t="shared" si="23"/>
        <v>0.14641913706409995</v>
      </c>
      <c r="M95" s="9">
        <f t="shared" si="23"/>
        <v>0.15221833176186864</v>
      </c>
      <c r="N95" s="9">
        <f t="shared" si="23"/>
        <v>0.15733358400660674</v>
      </c>
      <c r="O95" s="9">
        <f t="shared" si="23"/>
        <v>0.1619093330626743</v>
      </c>
      <c r="P95" s="9">
        <f t="shared" si="23"/>
        <v>0.1660486015784968</v>
      </c>
      <c r="Q95" s="9">
        <f t="shared" si="23"/>
        <v>0.16982745766743676</v>
      </c>
      <c r="R95" s="9">
        <f t="shared" si="23"/>
        <v>0.17330366829335794</v>
      </c>
      <c r="S95" s="9">
        <f t="shared" si="23"/>
        <v>0.17652213663049807</v>
      </c>
      <c r="T95" s="9">
        <f t="shared" si="23"/>
        <v>0.17951845896824239</v>
      </c>
      <c r="U95" s="9">
        <f t="shared" si="23"/>
        <v>0.18232133132826675</v>
      </c>
      <c r="V95" s="9">
        <f t="shared" si="23"/>
        <v>0.18495422520050167</v>
      </c>
      <c r="W95" s="9">
        <f t="shared" si="23"/>
        <v>0.18743658357300488</v>
      </c>
      <c r="X95" s="9">
        <f t="shared" si="23"/>
        <v>0.18978469315795718</v>
      </c>
      <c r="Y95" s="9">
        <f t="shared" si="23"/>
        <v>0.19201233262907241</v>
      </c>
      <c r="Z95" s="9">
        <f t="shared" si="23"/>
        <v>0.19413126253606619</v>
      </c>
      <c r="AA95" s="9">
        <f t="shared" si="23"/>
        <v>0.19615160114489491</v>
      </c>
      <c r="AB95" s="9">
        <f t="shared" si="23"/>
        <v>0.19808211666443357</v>
      </c>
      <c r="AC95" s="9">
        <f t="shared" si="23"/>
        <v>0.19993045723383487</v>
      </c>
      <c r="AD95" s="9">
        <f t="shared" si="23"/>
        <v>0.20170333392987805</v>
      </c>
      <c r="AE95" s="9">
        <f t="shared" si="23"/>
        <v>0.20340666785975606</v>
      </c>
      <c r="AF95" s="9">
        <f t="shared" si="23"/>
        <v>0.20504570947857303</v>
      </c>
      <c r="AG95" s="9">
        <f t="shared" si="23"/>
        <v>0.20662513619689618</v>
      </c>
      <c r="AH95" s="9">
        <f t="shared" si="23"/>
        <v>0.20814913285256989</v>
      </c>
      <c r="AI95" s="9">
        <f t="shared" si="23"/>
        <v>0.20962145853464054</v>
      </c>
      <c r="AJ95" s="9">
        <f t="shared" si="23"/>
        <v>0.21104550244610151</v>
      </c>
      <c r="AK95" s="9">
        <f t="shared" si="23"/>
        <v>0.21242433089466486</v>
      </c>
      <c r="AL95" s="9">
        <f t="shared" si="23"/>
        <v>0.21376072705046303</v>
      </c>
      <c r="AM95" s="9">
        <f t="shared" si="23"/>
        <v>0.21505722476689976</v>
      </c>
      <c r="AN95" s="9">
        <f t="shared" si="23"/>
        <v>0.21631613749770184</v>
      </c>
      <c r="AO95" s="9">
        <f t="shared" si="23"/>
        <v>0.21753958313940303</v>
      </c>
      <c r="AP95" s="9">
        <f t="shared" si="23"/>
        <v>0.21872950546937378</v>
      </c>
      <c r="AQ95" s="9">
        <f t="shared" si="23"/>
        <v>0.21988769272435529</v>
      </c>
      <c r="AR95" s="9">
        <f t="shared" si="23"/>
        <v>0.22101579376532421</v>
      </c>
      <c r="AS95" s="9">
        <f t="shared" si="23"/>
        <v>0.22211533219547053</v>
      </c>
      <c r="AT95" s="9">
        <f t="shared" si="23"/>
        <v>0.22318771873464782</v>
      </c>
      <c r="AU95" s="9">
        <f t="shared" si="23"/>
        <v>0.22423426210246433</v>
      </c>
      <c r="AV95" s="9">
        <f t="shared" si="23"/>
        <v>0.22525617862063294</v>
      </c>
      <c r="AW95" s="9">
        <f t="shared" si="23"/>
        <v>0.22625460071129302</v>
      </c>
      <c r="AX95" s="9">
        <f t="shared" si="23"/>
        <v>0.22723058444020863</v>
      </c>
      <c r="AY95" s="9">
        <f t="shared" si="23"/>
        <v>0.22818511623083168</v>
      </c>
      <c r="AZ95" s="9">
        <f t="shared" si="23"/>
        <v>0.22911911885624606</v>
      </c>
      <c r="BA95" s="9">
        <f t="shared" si="23"/>
        <v>0.23003345680023302</v>
      </c>
      <c r="BB95" s="9">
        <f t="shared" si="23"/>
        <v>0.23092894106552567</v>
      </c>
      <c r="BC95" s="10"/>
      <c r="BD95" s="9"/>
    </row>
    <row r="96" spans="3:56">
      <c r="C96" s="4" t="s">
        <v>96</v>
      </c>
      <c r="D96" s="5" t="s">
        <v>7</v>
      </c>
      <c r="E96" s="3">
        <v>0</v>
      </c>
      <c r="F96" s="9">
        <f>12.5*LOG(0.416*F94)/100</f>
        <v>7.7386666328342846E-2</v>
      </c>
      <c r="G96" s="65">
        <f>12.5*LOG(0.416*G94)/100</f>
        <v>0.11501541578634049</v>
      </c>
      <c r="H96" s="9">
        <f>12.5*LOG(0.416*H94)/100</f>
        <v>0.13702682316830064</v>
      </c>
      <c r="I96" s="9">
        <f t="shared" ref="I96:BB96" si="24">12.5*LOG(0.416*I94)/100</f>
        <v>0.15264416524433813</v>
      </c>
      <c r="J96" s="9">
        <f t="shared" si="24"/>
        <v>0.16475791687034519</v>
      </c>
      <c r="K96" s="9">
        <f t="shared" si="24"/>
        <v>0.1746555726262983</v>
      </c>
      <c r="L96" s="9">
        <f t="shared" si="24"/>
        <v>0.18302392133012493</v>
      </c>
      <c r="M96" s="9">
        <f t="shared" si="24"/>
        <v>0.19027291470233579</v>
      </c>
      <c r="N96" s="9">
        <f t="shared" si="24"/>
        <v>0.19666698000825844</v>
      </c>
      <c r="O96" s="9">
        <f t="shared" si="24"/>
        <v>0.20238666632834285</v>
      </c>
      <c r="P96" s="9">
        <f t="shared" si="24"/>
        <v>0.20756075197312096</v>
      </c>
      <c r="Q96" s="9">
        <f t="shared" si="24"/>
        <v>0.21228432208429593</v>
      </c>
      <c r="R96" s="9">
        <f t="shared" si="24"/>
        <v>0.21662958536669744</v>
      </c>
      <c r="S96" s="9">
        <f t="shared" si="24"/>
        <v>0.22065267078812259</v>
      </c>
      <c r="T96" s="9">
        <f t="shared" si="24"/>
        <v>0.22439807371030299</v>
      </c>
      <c r="U96" s="9">
        <f t="shared" si="24"/>
        <v>0.22790166416033344</v>
      </c>
      <c r="V96" s="9">
        <f t="shared" si="24"/>
        <v>0.23119278150062708</v>
      </c>
      <c r="W96" s="9">
        <f t="shared" si="24"/>
        <v>0.2342957294662561</v>
      </c>
      <c r="X96" s="9">
        <f t="shared" si="24"/>
        <v>0.23723086644744643</v>
      </c>
      <c r="Y96" s="9">
        <f t="shared" si="24"/>
        <v>0.2400154157863405</v>
      </c>
      <c r="Z96" s="9">
        <f t="shared" si="24"/>
        <v>0.24266407817008276</v>
      </c>
      <c r="AA96" s="9">
        <f t="shared" si="24"/>
        <v>0.24518950143111862</v>
      </c>
      <c r="AB96" s="9">
        <f t="shared" si="24"/>
        <v>0.24760264583054195</v>
      </c>
      <c r="AC96" s="9">
        <f t="shared" si="24"/>
        <v>0.24991307154229359</v>
      </c>
      <c r="AD96" s="9">
        <f t="shared" si="24"/>
        <v>0.25212916741234753</v>
      </c>
      <c r="AE96" s="9">
        <f t="shared" si="24"/>
        <v>0.25425833482469506</v>
      </c>
      <c r="AF96" s="9">
        <f t="shared" si="24"/>
        <v>0.25630713684821627</v>
      </c>
      <c r="AG96" s="9">
        <f t="shared" si="24"/>
        <v>0.25828142024612022</v>
      </c>
      <c r="AH96" s="9">
        <f t="shared" si="24"/>
        <v>0.26018641606571236</v>
      </c>
      <c r="AI96" s="9">
        <f t="shared" si="24"/>
        <v>0.26202682316830067</v>
      </c>
      <c r="AJ96" s="9">
        <f t="shared" si="24"/>
        <v>0.26380687805762693</v>
      </c>
      <c r="AK96" s="9">
        <f t="shared" si="24"/>
        <v>0.26553041361833107</v>
      </c>
      <c r="AL96" s="9">
        <f t="shared" si="24"/>
        <v>0.26720090881307879</v>
      </c>
      <c r="AM96" s="9">
        <f t="shared" si="24"/>
        <v>0.26882153095862471</v>
      </c>
      <c r="AN96" s="9">
        <f t="shared" si="24"/>
        <v>0.2703951718721273</v>
      </c>
      <c r="AO96" s="9">
        <f t="shared" si="24"/>
        <v>0.27192447892425375</v>
      </c>
      <c r="AP96" s="9">
        <f t="shared" si="24"/>
        <v>0.27341188183671722</v>
      </c>
      <c r="AQ96" s="9">
        <f t="shared" si="24"/>
        <v>0.27485961590544411</v>
      </c>
      <c r="AR96" s="9">
        <f t="shared" si="24"/>
        <v>0.27626974220665523</v>
      </c>
      <c r="AS96" s="9">
        <f t="shared" si="24"/>
        <v>0.27764416524433816</v>
      </c>
      <c r="AT96" s="9">
        <f t="shared" si="24"/>
        <v>0.27898464841830978</v>
      </c>
      <c r="AU96" s="9">
        <f t="shared" si="24"/>
        <v>0.28029282762808039</v>
      </c>
      <c r="AV96" s="9">
        <f t="shared" si="24"/>
        <v>0.28157022327579118</v>
      </c>
      <c r="AW96" s="9">
        <f t="shared" si="24"/>
        <v>0.28281825088911627</v>
      </c>
      <c r="AX96" s="9">
        <f t="shared" si="24"/>
        <v>0.28403823055026078</v>
      </c>
      <c r="AY96" s="9">
        <f t="shared" si="24"/>
        <v>0.28523139528853958</v>
      </c>
      <c r="AZ96" s="9">
        <f t="shared" si="24"/>
        <v>0.28639889857030754</v>
      </c>
      <c r="BA96" s="9">
        <f t="shared" si="24"/>
        <v>0.28754182100029124</v>
      </c>
      <c r="BB96" s="9">
        <f t="shared" si="24"/>
        <v>0.28866117633190708</v>
      </c>
      <c r="BC96" s="10"/>
      <c r="BD96" s="9"/>
    </row>
    <row r="97" spans="1:62">
      <c r="A97" s="11"/>
      <c r="B97" s="11"/>
      <c r="C97" s="4" t="s">
        <v>97</v>
      </c>
      <c r="D97" s="5" t="s">
        <v>7</v>
      </c>
      <c r="E97" s="3">
        <v>0</v>
      </c>
      <c r="F97" s="9">
        <f>8*LOG(F94*1.25)/100</f>
        <v>8.7752801040644521E-2</v>
      </c>
      <c r="G97" s="9">
        <f t="shared" ref="G97:BB97" si="25">8*LOG(G94*1.25)/100</f>
        <v>0.11183520069376301</v>
      </c>
      <c r="H97" s="9">
        <f t="shared" si="25"/>
        <v>0.12592250141821751</v>
      </c>
      <c r="I97" s="9">
        <f t="shared" si="25"/>
        <v>0.1359176003468815</v>
      </c>
      <c r="J97" s="9">
        <f t="shared" si="25"/>
        <v>0.14367040138752601</v>
      </c>
      <c r="K97" s="9">
        <f t="shared" si="25"/>
        <v>0.15000490107133602</v>
      </c>
      <c r="L97" s="9">
        <f t="shared" si="25"/>
        <v>0.15536064424178506</v>
      </c>
      <c r="M97" s="9">
        <f t="shared" si="25"/>
        <v>0.16</v>
      </c>
      <c r="N97" s="9">
        <f t="shared" si="25"/>
        <v>0.16409220179579051</v>
      </c>
      <c r="O97" s="9">
        <f t="shared" si="25"/>
        <v>0.16775280104064449</v>
      </c>
      <c r="P97" s="9">
        <f t="shared" si="25"/>
        <v>0.17106421585330253</v>
      </c>
      <c r="Q97" s="9">
        <f t="shared" si="25"/>
        <v>0.1740873007244545</v>
      </c>
      <c r="R97" s="9">
        <f t="shared" si="25"/>
        <v>0.17686826922519144</v>
      </c>
      <c r="S97" s="9">
        <f t="shared" si="25"/>
        <v>0.17944304389490356</v>
      </c>
      <c r="T97" s="9">
        <f t="shared" si="25"/>
        <v>0.18184010176509902</v>
      </c>
      <c r="U97" s="9">
        <f t="shared" si="25"/>
        <v>0.18408239965311851</v>
      </c>
      <c r="V97" s="9">
        <f t="shared" si="25"/>
        <v>0.18618871475090643</v>
      </c>
      <c r="W97" s="9">
        <f t="shared" si="25"/>
        <v>0.18817460144890902</v>
      </c>
      <c r="X97" s="9">
        <f t="shared" si="25"/>
        <v>0.19005308911687085</v>
      </c>
      <c r="Y97" s="9">
        <f t="shared" si="25"/>
        <v>0.191835200693763</v>
      </c>
      <c r="Z97" s="9">
        <f t="shared" si="25"/>
        <v>0.19353034461935806</v>
      </c>
      <c r="AA97" s="9">
        <f t="shared" si="25"/>
        <v>0.19514661550642104</v>
      </c>
      <c r="AB97" s="9">
        <f t="shared" si="25"/>
        <v>0.19669102792205195</v>
      </c>
      <c r="AC97" s="9">
        <f t="shared" si="25"/>
        <v>0.198169700377573</v>
      </c>
      <c r="AD97" s="9">
        <f t="shared" si="25"/>
        <v>0.19958800173440752</v>
      </c>
      <c r="AE97" s="9">
        <f t="shared" si="25"/>
        <v>0.20095066887830995</v>
      </c>
      <c r="AF97" s="9">
        <f t="shared" si="25"/>
        <v>0.20226190217336348</v>
      </c>
      <c r="AG97" s="9">
        <f t="shared" si="25"/>
        <v>0.20352544354802204</v>
      </c>
      <c r="AH97" s="9">
        <f t="shared" si="25"/>
        <v>0.20474464087256097</v>
      </c>
      <c r="AI97" s="9">
        <f t="shared" si="25"/>
        <v>0.2059225014182175</v>
      </c>
      <c r="AJ97" s="9">
        <f t="shared" si="25"/>
        <v>0.2070617365473863</v>
      </c>
      <c r="AK97" s="9">
        <f t="shared" si="25"/>
        <v>0.20816479930623699</v>
      </c>
      <c r="AL97" s="9">
        <f t="shared" si="25"/>
        <v>0.20923391623087551</v>
      </c>
      <c r="AM97" s="9">
        <f t="shared" si="25"/>
        <v>0.21027111440402493</v>
      </c>
      <c r="AN97" s="9">
        <f t="shared" si="25"/>
        <v>0.21127824458866656</v>
      </c>
      <c r="AO97" s="9">
        <f t="shared" si="25"/>
        <v>0.21225700110202747</v>
      </c>
      <c r="AP97" s="9">
        <f t="shared" si="25"/>
        <v>0.2132089389660041</v>
      </c>
      <c r="AQ97" s="9">
        <f t="shared" si="25"/>
        <v>0.21413548876998931</v>
      </c>
      <c r="AR97" s="9">
        <f t="shared" si="25"/>
        <v>0.21503796960276447</v>
      </c>
      <c r="AS97" s="9">
        <f t="shared" si="25"/>
        <v>0.21591760034688151</v>
      </c>
      <c r="AT97" s="9">
        <f t="shared" si="25"/>
        <v>0.21677550957822334</v>
      </c>
      <c r="AU97" s="9">
        <f t="shared" si="25"/>
        <v>0.21761274427247657</v>
      </c>
      <c r="AV97" s="9">
        <f t="shared" si="25"/>
        <v>0.21843027748701144</v>
      </c>
      <c r="AW97" s="9">
        <f t="shared" si="25"/>
        <v>0.21922901515953949</v>
      </c>
      <c r="AX97" s="9">
        <f t="shared" si="25"/>
        <v>0.22000980214267202</v>
      </c>
      <c r="AY97" s="9">
        <f t="shared" si="25"/>
        <v>0.22077342757517043</v>
      </c>
      <c r="AZ97" s="9">
        <f t="shared" si="25"/>
        <v>0.2215206296755019</v>
      </c>
      <c r="BA97" s="9">
        <f t="shared" si="25"/>
        <v>0.22225210003069149</v>
      </c>
      <c r="BB97" s="9">
        <f t="shared" si="25"/>
        <v>0.22296848744292561</v>
      </c>
      <c r="BC97" s="10"/>
      <c r="BD97" s="9"/>
    </row>
    <row r="98" spans="1:62">
      <c r="A98" s="12"/>
      <c r="B98" s="12"/>
      <c r="C98" s="4" t="s">
        <v>98</v>
      </c>
      <c r="D98" s="5" t="s">
        <v>6</v>
      </c>
      <c r="E98" s="3">
        <v>0</v>
      </c>
      <c r="F98" s="65">
        <f>16.8*LOG(0.1916*F94)/100</f>
        <v>4.744244479674431E-2</v>
      </c>
      <c r="G98" s="65">
        <f>16.8*LOG(0.1916*G94)/100</f>
        <v>9.8015484068293135E-2</v>
      </c>
      <c r="H98" s="12">
        <f>16.8*LOG(0.1916*H94)/100</f>
        <v>0.12759881558964759</v>
      </c>
      <c r="I98" s="12">
        <f t="shared" ref="I98:T98" si="26">16.8*LOG(0.1916*I94)/100</f>
        <v>0.14858852333984199</v>
      </c>
      <c r="J98" s="12">
        <f t="shared" si="26"/>
        <v>0.16486940552519549</v>
      </c>
      <c r="K98" s="12">
        <f t="shared" si="26"/>
        <v>0.17817185486119641</v>
      </c>
      <c r="L98" s="12">
        <f t="shared" si="26"/>
        <v>0.18941891551913945</v>
      </c>
      <c r="M98" s="12">
        <f t="shared" si="26"/>
        <v>0.19916156261139084</v>
      </c>
      <c r="N98" s="12">
        <f t="shared" si="26"/>
        <v>0.20775518638255089</v>
      </c>
      <c r="O98" s="12">
        <f t="shared" si="26"/>
        <v>0.21544244479674429</v>
      </c>
      <c r="P98" s="12">
        <f t="shared" si="26"/>
        <v>0.22239641590332609</v>
      </c>
      <c r="Q98" s="12">
        <f t="shared" si="26"/>
        <v>0.22874489413274529</v>
      </c>
      <c r="R98" s="12">
        <f t="shared" si="26"/>
        <v>0.2345849279842929</v>
      </c>
      <c r="S98" s="12">
        <f t="shared" si="26"/>
        <v>0.2399919547906883</v>
      </c>
      <c r="T98" s="12">
        <f t="shared" si="26"/>
        <v>0.24502577631809877</v>
      </c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0"/>
      <c r="BD98" s="9"/>
    </row>
    <row r="99" spans="1:62">
      <c r="A99" s="12"/>
      <c r="B99" s="12"/>
      <c r="C99" s="4" t="s">
        <v>99</v>
      </c>
      <c r="D99" s="5" t="s">
        <v>7</v>
      </c>
      <c r="E99" s="3">
        <v>0</v>
      </c>
      <c r="F99" s="65">
        <f>21*LOG(0.1916*F94)/100</f>
        <v>5.930305599593038E-2</v>
      </c>
      <c r="G99" s="65">
        <f>21*LOG(0.1916*G94)/100</f>
        <v>0.12251935508536642</v>
      </c>
      <c r="H99" s="12">
        <f>21*LOG(0.1916*H94)/100</f>
        <v>0.15949851948705948</v>
      </c>
      <c r="I99" s="12">
        <f t="shared" ref="I99:T99" si="27">21*LOG(0.1916*I94)/100</f>
        <v>0.18573565417480251</v>
      </c>
      <c r="J99" s="12">
        <f t="shared" si="27"/>
        <v>0.20608675690649433</v>
      </c>
      <c r="K99" s="12">
        <f t="shared" si="27"/>
        <v>0.2227148185764955</v>
      </c>
      <c r="L99" s="12">
        <f t="shared" si="27"/>
        <v>0.23677364439892432</v>
      </c>
      <c r="M99" s="12">
        <f t="shared" si="27"/>
        <v>0.24895195326423855</v>
      </c>
      <c r="N99" s="12">
        <f t="shared" si="27"/>
        <v>0.25969398297818858</v>
      </c>
      <c r="O99" s="12">
        <f t="shared" si="27"/>
        <v>0.26930305599593035</v>
      </c>
      <c r="P99" s="12">
        <f t="shared" si="27"/>
        <v>0.2779955198791576</v>
      </c>
      <c r="Q99" s="12">
        <f t="shared" si="27"/>
        <v>0.2859311176659316</v>
      </c>
      <c r="R99" s="12">
        <f t="shared" si="27"/>
        <v>0.29323115998036614</v>
      </c>
      <c r="S99" s="12">
        <f t="shared" si="27"/>
        <v>0.29998994348836039</v>
      </c>
      <c r="T99" s="12">
        <f t="shared" si="27"/>
        <v>0.30628222039762343</v>
      </c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0"/>
      <c r="BD99" s="9"/>
    </row>
    <row r="100" spans="1:62">
      <c r="C100" s="5" t="s">
        <v>12</v>
      </c>
      <c r="E100" s="13">
        <f t="shared" ref="E100:O100" si="28">E94*0.52%</f>
        <v>0</v>
      </c>
      <c r="F100" s="13">
        <f t="shared" si="28"/>
        <v>5.1999999999999998E-2</v>
      </c>
      <c r="G100" s="57">
        <f t="shared" si="28"/>
        <v>0.104</v>
      </c>
      <c r="H100" s="13">
        <f t="shared" si="28"/>
        <v>0.156</v>
      </c>
      <c r="I100" s="13">
        <f t="shared" si="28"/>
        <v>0.20799999999999999</v>
      </c>
      <c r="J100" s="13">
        <f t="shared" si="28"/>
        <v>0.26</v>
      </c>
      <c r="K100" s="13">
        <f t="shared" si="28"/>
        <v>0.312</v>
      </c>
      <c r="L100" s="13">
        <f t="shared" si="28"/>
        <v>0.36399999999999999</v>
      </c>
      <c r="M100" s="13">
        <f t="shared" si="28"/>
        <v>0.41599999999999998</v>
      </c>
      <c r="N100" s="13">
        <f t="shared" si="28"/>
        <v>0.46799999999999997</v>
      </c>
      <c r="O100" s="13">
        <f t="shared" si="28"/>
        <v>0.52</v>
      </c>
    </row>
    <row r="105" spans="1:62">
      <c r="A105" s="3" t="s">
        <v>100</v>
      </c>
    </row>
    <row r="106" spans="1:62">
      <c r="A106" s="3" t="s">
        <v>101</v>
      </c>
      <c r="D106" s="3">
        <v>1960</v>
      </c>
      <c r="E106" s="3">
        <v>1961</v>
      </c>
      <c r="F106" s="3">
        <v>1962</v>
      </c>
      <c r="G106" s="3">
        <v>1963</v>
      </c>
      <c r="H106" s="3">
        <v>1964</v>
      </c>
      <c r="I106" s="3">
        <v>1965</v>
      </c>
      <c r="J106" s="3">
        <v>1966</v>
      </c>
      <c r="K106" s="3">
        <v>1967</v>
      </c>
      <c r="L106" s="3">
        <v>1968</v>
      </c>
      <c r="M106" s="3">
        <v>1969</v>
      </c>
      <c r="N106" s="3">
        <v>1970</v>
      </c>
      <c r="O106" s="3">
        <v>1971</v>
      </c>
      <c r="P106" s="3">
        <v>1972</v>
      </c>
      <c r="Q106" s="3">
        <v>1973</v>
      </c>
      <c r="R106" s="3">
        <v>1974</v>
      </c>
      <c r="S106" s="3">
        <v>1975</v>
      </c>
      <c r="T106" s="3">
        <v>1976</v>
      </c>
      <c r="U106" s="3">
        <v>1977</v>
      </c>
      <c r="V106" s="3">
        <v>1978</v>
      </c>
      <c r="W106" s="3">
        <v>1979</v>
      </c>
      <c r="X106" s="3">
        <v>1980</v>
      </c>
      <c r="Y106" s="3">
        <v>1981</v>
      </c>
      <c r="Z106" s="3">
        <v>1982</v>
      </c>
      <c r="AA106" s="3">
        <v>1983</v>
      </c>
      <c r="AB106" s="3">
        <v>1984</v>
      </c>
      <c r="AC106" s="3">
        <v>1985</v>
      </c>
      <c r="AD106" s="3">
        <v>1986</v>
      </c>
      <c r="AE106" s="3">
        <v>1987</v>
      </c>
      <c r="AF106" s="3">
        <v>1988</v>
      </c>
      <c r="AG106" s="3">
        <v>1989</v>
      </c>
      <c r="AH106" s="3">
        <v>1990</v>
      </c>
      <c r="AI106" s="3">
        <v>1991</v>
      </c>
      <c r="AJ106" s="3">
        <v>1992</v>
      </c>
      <c r="AK106" s="3">
        <v>1993</v>
      </c>
      <c r="AL106" s="3">
        <v>1994</v>
      </c>
      <c r="AM106" s="3">
        <v>1995</v>
      </c>
      <c r="AN106" s="3">
        <v>1996</v>
      </c>
      <c r="AO106" s="3">
        <v>1997</v>
      </c>
      <c r="AP106" s="3">
        <v>1998</v>
      </c>
      <c r="AQ106" s="3">
        <v>1999</v>
      </c>
      <c r="AR106" s="3">
        <v>2000</v>
      </c>
      <c r="AS106" s="3">
        <v>2001</v>
      </c>
      <c r="AT106" s="3">
        <v>2002</v>
      </c>
      <c r="AU106" s="3">
        <v>2003</v>
      </c>
      <c r="AV106" s="3">
        <v>2004</v>
      </c>
      <c r="AW106" s="3">
        <v>2005</v>
      </c>
      <c r="AX106" s="3">
        <v>2006</v>
      </c>
      <c r="AY106" s="3">
        <v>2007</v>
      </c>
      <c r="AZ106" s="3">
        <v>2008</v>
      </c>
      <c r="BA106" s="3">
        <v>2009</v>
      </c>
      <c r="BB106" s="3">
        <v>2010</v>
      </c>
    </row>
    <row r="107" spans="1:62">
      <c r="A107" s="66">
        <v>4463</v>
      </c>
      <c r="B107" s="66"/>
      <c r="C107" s="66" t="s">
        <v>102</v>
      </c>
      <c r="D107" s="67">
        <v>8141.4920000000002</v>
      </c>
      <c r="E107" s="67">
        <v>8694.277</v>
      </c>
      <c r="F107" s="67">
        <v>9146.1740000000009</v>
      </c>
      <c r="G107" s="67">
        <v>9656.9220000000005</v>
      </c>
      <c r="H107" s="67">
        <v>10689.977999999999</v>
      </c>
      <c r="I107" s="67">
        <v>11466.609</v>
      </c>
      <c r="J107" s="67">
        <v>12089.806</v>
      </c>
      <c r="K107" s="67">
        <v>12903.22</v>
      </c>
      <c r="L107" s="67">
        <v>13675.647000000001</v>
      </c>
      <c r="M107" s="67">
        <v>14128.594999999999</v>
      </c>
      <c r="N107" s="67">
        <v>14959.874</v>
      </c>
      <c r="O107" s="67">
        <v>15725.995999999999</v>
      </c>
      <c r="P107" s="67">
        <v>16708.608</v>
      </c>
      <c r="Q107" s="67">
        <v>17788.955999999998</v>
      </c>
      <c r="R107" s="67">
        <v>17323.397000000001</v>
      </c>
      <c r="S107" s="67">
        <v>16946.116000000002</v>
      </c>
      <c r="T107" s="67">
        <v>17738.511999999999</v>
      </c>
      <c r="U107" s="67">
        <v>18218.782999999999</v>
      </c>
      <c r="V107" s="67">
        <v>19282.315999999999</v>
      </c>
      <c r="W107" s="67">
        <v>19636.476999999999</v>
      </c>
      <c r="X107" s="67">
        <v>20119.901000000002</v>
      </c>
      <c r="Y107" s="67">
        <v>19671.156999999999</v>
      </c>
      <c r="Z107" s="67">
        <v>20227.095000000001</v>
      </c>
      <c r="AA107" s="67">
        <v>20562.339</v>
      </c>
      <c r="AB107" s="67">
        <v>21255.947</v>
      </c>
      <c r="AC107" s="67">
        <v>21441.96</v>
      </c>
      <c r="AD107" s="67">
        <v>22563.294000000002</v>
      </c>
      <c r="AE107" s="67">
        <v>23313.651999999998</v>
      </c>
      <c r="AF107" s="67">
        <v>24432.883999999998</v>
      </c>
      <c r="AG107" s="67">
        <v>25142.257000000001</v>
      </c>
      <c r="AH107" s="67">
        <v>25550.013999999999</v>
      </c>
      <c r="AI107" s="67">
        <v>25244.196</v>
      </c>
      <c r="AJ107" s="67">
        <v>25268.366999999998</v>
      </c>
      <c r="AK107" s="67">
        <v>24976.210999999999</v>
      </c>
      <c r="AL107" s="67">
        <v>24006.21</v>
      </c>
      <c r="AM107" s="67">
        <v>23070.888999999999</v>
      </c>
      <c r="AN107" s="67">
        <v>23550.11</v>
      </c>
      <c r="AO107" s="67">
        <v>23385.115000000002</v>
      </c>
      <c r="AP107" s="67">
        <v>22960.543000000001</v>
      </c>
      <c r="AQ107" s="67">
        <v>23747.683000000001</v>
      </c>
      <c r="AR107" s="67">
        <v>22703.066999999999</v>
      </c>
      <c r="AS107" s="67">
        <v>21998.949000000001</v>
      </c>
      <c r="AT107" s="67">
        <v>21867.583999999999</v>
      </c>
      <c r="AU107" s="67">
        <v>20932.262999999999</v>
      </c>
      <c r="AV107" s="67">
        <v>20476.163</v>
      </c>
      <c r="AW107" s="67">
        <v>19684.819</v>
      </c>
      <c r="AX107" s="67">
        <v>19067.928</v>
      </c>
      <c r="AY107" s="67">
        <v>18486.768</v>
      </c>
      <c r="AZ107" s="67">
        <v>17511.511999999999</v>
      </c>
      <c r="BA107" s="68">
        <v>16564.632000000001</v>
      </c>
      <c r="BB107" s="68">
        <v>15751.218000000001</v>
      </c>
      <c r="BC107" s="69"/>
    </row>
    <row r="108" spans="1:62">
      <c r="A108" s="66">
        <v>4468</v>
      </c>
      <c r="B108" s="66"/>
      <c r="C108" s="66" t="s">
        <v>103</v>
      </c>
      <c r="D108" s="67">
        <v>2669.877</v>
      </c>
      <c r="E108" s="67">
        <v>2933.4050000000002</v>
      </c>
      <c r="F108" s="67">
        <v>3143.0070000000001</v>
      </c>
      <c r="G108" s="67">
        <v>3416.71</v>
      </c>
      <c r="H108" s="67">
        <v>3758.5839999999998</v>
      </c>
      <c r="I108" s="67">
        <v>3974.2910000000002</v>
      </c>
      <c r="J108" s="67">
        <v>4177.7870000000003</v>
      </c>
      <c r="K108" s="67">
        <v>4431.1409999999996</v>
      </c>
      <c r="L108" s="67">
        <v>4732.3159999999998</v>
      </c>
      <c r="M108" s="67">
        <v>4953.1099999999997</v>
      </c>
      <c r="N108" s="67">
        <v>5123.03</v>
      </c>
      <c r="O108" s="67">
        <v>5276.67</v>
      </c>
      <c r="P108" s="67">
        <v>5345.8580000000002</v>
      </c>
      <c r="Q108" s="67">
        <v>5756.9219999999996</v>
      </c>
      <c r="R108" s="67">
        <v>5614.4740000000002</v>
      </c>
      <c r="S108" s="67">
        <v>5508.6559999999999</v>
      </c>
      <c r="T108" s="67">
        <v>5691.8029999999999</v>
      </c>
      <c r="U108" s="67">
        <v>5810.848</v>
      </c>
      <c r="V108" s="67">
        <v>5977.7160000000003</v>
      </c>
      <c r="W108" s="67">
        <v>6162.8980000000001</v>
      </c>
      <c r="X108" s="67">
        <v>5956.3490000000002</v>
      </c>
      <c r="Y108" s="67">
        <v>5646.0159999999996</v>
      </c>
      <c r="Z108" s="67">
        <v>5831.1980000000003</v>
      </c>
      <c r="AA108" s="67">
        <v>6291.1009999999997</v>
      </c>
      <c r="AB108" s="67">
        <v>6873.1009999999997</v>
      </c>
      <c r="AC108" s="67">
        <v>7230.2380000000003</v>
      </c>
      <c r="AD108" s="67">
        <v>8003.5249999999996</v>
      </c>
      <c r="AE108" s="67">
        <v>8617.0679999999993</v>
      </c>
      <c r="AF108" s="67">
        <v>9533.8209999999999</v>
      </c>
      <c r="AG108" s="67">
        <v>10294.897999999999</v>
      </c>
      <c r="AH108" s="67">
        <v>10838.234</v>
      </c>
      <c r="AI108" s="67">
        <v>10880.968999999999</v>
      </c>
      <c r="AJ108" s="67">
        <v>11326.627</v>
      </c>
      <c r="AK108" s="67">
        <v>12012.41</v>
      </c>
      <c r="AL108" s="67">
        <v>13140.8</v>
      </c>
      <c r="AM108" s="67">
        <v>13692.276</v>
      </c>
      <c r="AN108" s="67">
        <v>14616.151</v>
      </c>
      <c r="AO108" s="67">
        <v>15237.833000000001</v>
      </c>
      <c r="AP108" s="67">
        <v>15407.753000000001</v>
      </c>
      <c r="AQ108" s="67">
        <v>15779.134</v>
      </c>
      <c r="AR108" s="67">
        <v>16158.656000000001</v>
      </c>
      <c r="AS108" s="67">
        <v>16705.044000000002</v>
      </c>
      <c r="AT108" s="67">
        <v>17221.925999999999</v>
      </c>
      <c r="AU108" s="67">
        <v>18021.668000000001</v>
      </c>
      <c r="AV108" s="67">
        <v>18837.689999999999</v>
      </c>
      <c r="AW108" s="67">
        <v>19775.810000000001</v>
      </c>
      <c r="AX108" s="67">
        <v>20498.223000000002</v>
      </c>
      <c r="AY108" s="67">
        <v>21407.852999999999</v>
      </c>
      <c r="AZ108" s="67">
        <v>20932.687999999998</v>
      </c>
      <c r="BA108" s="68">
        <v>20407.667000000001</v>
      </c>
      <c r="BB108" s="68">
        <v>21237.934000000001</v>
      </c>
      <c r="BC108" s="69"/>
    </row>
    <row r="109" spans="1:62">
      <c r="C109" s="70" t="s">
        <v>104</v>
      </c>
      <c r="D109" s="68">
        <f t="shared" ref="D109:AI109" si="29">SUM(D107:D108)</f>
        <v>10811.369000000001</v>
      </c>
      <c r="E109" s="68">
        <f t="shared" si="29"/>
        <v>11627.682000000001</v>
      </c>
      <c r="F109" s="68">
        <f t="shared" si="29"/>
        <v>12289.181</v>
      </c>
      <c r="G109" s="68">
        <f t="shared" si="29"/>
        <v>13073.632000000001</v>
      </c>
      <c r="H109" s="68">
        <f t="shared" si="29"/>
        <v>14448.561999999998</v>
      </c>
      <c r="I109" s="68">
        <f t="shared" si="29"/>
        <v>15440.900000000001</v>
      </c>
      <c r="J109" s="68">
        <f t="shared" si="29"/>
        <v>16267.593000000001</v>
      </c>
      <c r="K109" s="68">
        <f t="shared" si="29"/>
        <v>17334.360999999997</v>
      </c>
      <c r="L109" s="68">
        <f t="shared" si="29"/>
        <v>18407.963</v>
      </c>
      <c r="M109" s="68">
        <f t="shared" si="29"/>
        <v>19081.704999999998</v>
      </c>
      <c r="N109" s="68">
        <f t="shared" si="29"/>
        <v>20082.903999999999</v>
      </c>
      <c r="O109" s="68">
        <f t="shared" si="29"/>
        <v>21002.665999999997</v>
      </c>
      <c r="P109" s="68">
        <f t="shared" si="29"/>
        <v>22054.466</v>
      </c>
      <c r="Q109" s="68">
        <f t="shared" si="29"/>
        <v>23545.877999999997</v>
      </c>
      <c r="R109" s="68">
        <f t="shared" si="29"/>
        <v>22937.870999999999</v>
      </c>
      <c r="S109" s="68">
        <f t="shared" si="29"/>
        <v>22454.772000000001</v>
      </c>
      <c r="T109" s="68">
        <f t="shared" si="29"/>
        <v>23430.314999999999</v>
      </c>
      <c r="U109" s="68">
        <f t="shared" si="29"/>
        <v>24029.631000000001</v>
      </c>
      <c r="V109" s="68">
        <f t="shared" si="29"/>
        <v>25260.031999999999</v>
      </c>
      <c r="W109" s="68">
        <f t="shared" si="29"/>
        <v>25799.375</v>
      </c>
      <c r="X109" s="68">
        <f t="shared" si="29"/>
        <v>26076.25</v>
      </c>
      <c r="Y109" s="68">
        <f t="shared" si="29"/>
        <v>25317.172999999999</v>
      </c>
      <c r="Z109" s="68">
        <f t="shared" si="29"/>
        <v>26058.293000000001</v>
      </c>
      <c r="AA109" s="68">
        <f t="shared" si="29"/>
        <v>26853.439999999999</v>
      </c>
      <c r="AB109" s="68">
        <f t="shared" si="29"/>
        <v>28129.047999999999</v>
      </c>
      <c r="AC109" s="68">
        <f t="shared" si="29"/>
        <v>28672.198</v>
      </c>
      <c r="AD109" s="68">
        <f t="shared" si="29"/>
        <v>30566.819000000003</v>
      </c>
      <c r="AE109" s="68">
        <f t="shared" si="29"/>
        <v>31930.719999999998</v>
      </c>
      <c r="AF109" s="68">
        <f t="shared" si="29"/>
        <v>33966.705000000002</v>
      </c>
      <c r="AG109" s="68">
        <f t="shared" si="29"/>
        <v>35437.154999999999</v>
      </c>
      <c r="AH109" s="68">
        <f t="shared" si="29"/>
        <v>36388.248</v>
      </c>
      <c r="AI109" s="68">
        <f t="shared" si="29"/>
        <v>36125.165000000001</v>
      </c>
      <c r="AJ109" s="68">
        <f t="shared" ref="AJ109:BB109" si="30">SUM(AJ107:AJ108)</f>
        <v>36594.993999999999</v>
      </c>
      <c r="AK109" s="68">
        <f t="shared" si="30"/>
        <v>36988.620999999999</v>
      </c>
      <c r="AL109" s="68">
        <f t="shared" si="30"/>
        <v>37147.009999999995</v>
      </c>
      <c r="AM109" s="68">
        <f t="shared" si="30"/>
        <v>36763.165000000001</v>
      </c>
      <c r="AN109" s="68">
        <f t="shared" si="30"/>
        <v>38166.260999999999</v>
      </c>
      <c r="AO109" s="68">
        <f t="shared" si="30"/>
        <v>38622.948000000004</v>
      </c>
      <c r="AP109" s="68">
        <f t="shared" si="30"/>
        <v>38368.296000000002</v>
      </c>
      <c r="AQ109" s="68">
        <f t="shared" si="30"/>
        <v>39526.817000000003</v>
      </c>
      <c r="AR109" s="68">
        <f t="shared" si="30"/>
        <v>38861.722999999998</v>
      </c>
      <c r="AS109" s="68">
        <f t="shared" si="30"/>
        <v>38703.993000000002</v>
      </c>
      <c r="AT109" s="68">
        <f t="shared" si="30"/>
        <v>39089.509999999995</v>
      </c>
      <c r="AU109" s="68">
        <f t="shared" si="30"/>
        <v>38953.930999999997</v>
      </c>
      <c r="AV109" s="68">
        <f t="shared" si="30"/>
        <v>39313.853000000003</v>
      </c>
      <c r="AW109" s="68">
        <f t="shared" si="30"/>
        <v>39460.629000000001</v>
      </c>
      <c r="AX109" s="68">
        <f t="shared" si="30"/>
        <v>39566.150999999998</v>
      </c>
      <c r="AY109" s="68">
        <f t="shared" si="30"/>
        <v>39894.620999999999</v>
      </c>
      <c r="AZ109" s="68">
        <f t="shared" si="30"/>
        <v>38444.199999999997</v>
      </c>
      <c r="BA109" s="68">
        <f t="shared" si="30"/>
        <v>36972.298999999999</v>
      </c>
      <c r="BB109" s="68">
        <f t="shared" si="30"/>
        <v>36989.152000000002</v>
      </c>
      <c r="BC109" s="69"/>
    </row>
    <row r="111" spans="1:62">
      <c r="A111" s="3" t="s">
        <v>100</v>
      </c>
    </row>
    <row r="112" spans="1:62">
      <c r="A112" s="3" t="s">
        <v>105</v>
      </c>
      <c r="D112" s="3">
        <v>1960</v>
      </c>
      <c r="E112" s="3">
        <v>1961</v>
      </c>
      <c r="F112" s="3">
        <v>1962</v>
      </c>
      <c r="G112" s="3">
        <v>1963</v>
      </c>
      <c r="H112" s="3">
        <v>1964</v>
      </c>
      <c r="I112" s="3">
        <v>1965</v>
      </c>
      <c r="J112" s="3">
        <v>1966</v>
      </c>
      <c r="K112" s="3">
        <v>1967</v>
      </c>
      <c r="L112" s="3">
        <v>1968</v>
      </c>
      <c r="M112" s="3">
        <v>1969</v>
      </c>
      <c r="N112" s="3">
        <v>1970</v>
      </c>
      <c r="O112" s="3">
        <v>1971</v>
      </c>
      <c r="P112" s="3">
        <v>1972</v>
      </c>
      <c r="Q112" s="3">
        <v>1973</v>
      </c>
      <c r="R112" s="3">
        <v>1974</v>
      </c>
      <c r="S112" s="3">
        <v>1975</v>
      </c>
      <c r="T112" s="3">
        <v>1976</v>
      </c>
      <c r="U112" s="3">
        <v>1977</v>
      </c>
      <c r="V112" s="3">
        <v>1978</v>
      </c>
      <c r="W112" s="3">
        <v>1979</v>
      </c>
      <c r="X112" s="3">
        <v>1980</v>
      </c>
      <c r="Y112" s="3">
        <v>1981</v>
      </c>
      <c r="Z112" s="3">
        <v>1982</v>
      </c>
      <c r="AA112" s="3">
        <v>1983</v>
      </c>
      <c r="AB112" s="3">
        <v>1984</v>
      </c>
      <c r="AC112" s="3">
        <v>1985</v>
      </c>
      <c r="AD112" s="3">
        <v>1986</v>
      </c>
      <c r="AE112" s="3">
        <v>1987</v>
      </c>
      <c r="AF112" s="3">
        <v>1988</v>
      </c>
      <c r="AG112" s="3">
        <v>1989</v>
      </c>
      <c r="AH112" s="3">
        <v>1990</v>
      </c>
      <c r="AI112" s="3">
        <v>1991</v>
      </c>
      <c r="AJ112" s="3">
        <v>1992</v>
      </c>
      <c r="AK112" s="3">
        <v>1993</v>
      </c>
      <c r="AL112" s="3">
        <v>1994</v>
      </c>
      <c r="AM112" s="3">
        <v>1995</v>
      </c>
      <c r="AN112" s="3">
        <v>1996</v>
      </c>
      <c r="AO112" s="3">
        <v>1997</v>
      </c>
      <c r="AP112" s="3">
        <v>1998</v>
      </c>
      <c r="AQ112" s="3">
        <v>1999</v>
      </c>
      <c r="AR112" s="3">
        <v>2000</v>
      </c>
      <c r="AS112" s="3">
        <v>2001</v>
      </c>
      <c r="AT112" s="3">
        <v>2002</v>
      </c>
      <c r="AU112" s="3">
        <v>2003</v>
      </c>
      <c r="AV112" s="3">
        <v>2004</v>
      </c>
      <c r="AW112" s="3">
        <v>2005</v>
      </c>
      <c r="AX112" s="3">
        <v>2006</v>
      </c>
      <c r="AY112" s="3">
        <v>2007</v>
      </c>
      <c r="AZ112" s="3">
        <v>2008</v>
      </c>
      <c r="BA112" s="3">
        <v>2009</v>
      </c>
      <c r="BB112" s="3">
        <v>2010</v>
      </c>
      <c r="BC112" s="3">
        <v>2011</v>
      </c>
      <c r="BD112" s="3">
        <v>2012</v>
      </c>
      <c r="BE112" s="3">
        <v>2013</v>
      </c>
      <c r="BF112" s="3">
        <v>2014</v>
      </c>
      <c r="BG112" s="3">
        <v>2015</v>
      </c>
      <c r="BH112" s="3">
        <v>2016</v>
      </c>
      <c r="BI112" s="3">
        <v>2017</v>
      </c>
      <c r="BJ112" s="3">
        <v>2018</v>
      </c>
    </row>
    <row r="113" spans="1:63">
      <c r="A113" s="66">
        <v>4463</v>
      </c>
      <c r="B113" s="66"/>
      <c r="C113" s="66" t="s">
        <v>106</v>
      </c>
      <c r="D113" s="71">
        <f>D107/1000</f>
        <v>8.1414919999999995</v>
      </c>
      <c r="E113" s="71">
        <f t="shared" ref="E113:BB114" si="31">E107/1000</f>
        <v>8.6942769999999996</v>
      </c>
      <c r="F113" s="71">
        <f t="shared" si="31"/>
        <v>9.1461740000000002</v>
      </c>
      <c r="G113" s="71">
        <f t="shared" si="31"/>
        <v>9.6569219999999998</v>
      </c>
      <c r="H113" s="71">
        <f t="shared" si="31"/>
        <v>10.689978</v>
      </c>
      <c r="I113" s="71">
        <f t="shared" si="31"/>
        <v>11.466609</v>
      </c>
      <c r="J113" s="71">
        <f t="shared" si="31"/>
        <v>12.089806000000001</v>
      </c>
      <c r="K113" s="71">
        <f t="shared" si="31"/>
        <v>12.903219999999999</v>
      </c>
      <c r="L113" s="71">
        <f t="shared" si="31"/>
        <v>13.675647000000001</v>
      </c>
      <c r="M113" s="71">
        <f t="shared" si="31"/>
        <v>14.128594999999999</v>
      </c>
      <c r="N113" s="71">
        <f t="shared" si="31"/>
        <v>14.959873999999999</v>
      </c>
      <c r="O113" s="71">
        <f t="shared" si="31"/>
        <v>15.725995999999999</v>
      </c>
      <c r="P113" s="71">
        <f t="shared" si="31"/>
        <v>16.708608000000002</v>
      </c>
      <c r="Q113" s="71">
        <f t="shared" si="31"/>
        <v>17.788955999999999</v>
      </c>
      <c r="R113" s="71">
        <f t="shared" si="31"/>
        <v>17.323397</v>
      </c>
      <c r="S113" s="71">
        <f t="shared" si="31"/>
        <v>16.946116000000004</v>
      </c>
      <c r="T113" s="71">
        <f t="shared" si="31"/>
        <v>17.738512</v>
      </c>
      <c r="U113" s="71">
        <f t="shared" si="31"/>
        <v>18.218782999999998</v>
      </c>
      <c r="V113" s="71">
        <f t="shared" si="31"/>
        <v>19.282315999999998</v>
      </c>
      <c r="W113" s="71">
        <f t="shared" si="31"/>
        <v>19.636476999999999</v>
      </c>
      <c r="X113" s="71">
        <f t="shared" si="31"/>
        <v>20.119901000000002</v>
      </c>
      <c r="Y113" s="71">
        <f t="shared" si="31"/>
        <v>19.671157000000001</v>
      </c>
      <c r="Z113" s="71">
        <f t="shared" si="31"/>
        <v>20.227095000000002</v>
      </c>
      <c r="AA113" s="71">
        <f t="shared" si="31"/>
        <v>20.562339000000001</v>
      </c>
      <c r="AB113" s="71">
        <f t="shared" si="31"/>
        <v>21.255946999999999</v>
      </c>
      <c r="AC113" s="71">
        <f t="shared" si="31"/>
        <v>21.441959999999998</v>
      </c>
      <c r="AD113" s="71">
        <f t="shared" si="31"/>
        <v>22.563294000000003</v>
      </c>
      <c r="AE113" s="71">
        <f t="shared" si="31"/>
        <v>23.313651999999998</v>
      </c>
      <c r="AF113" s="71">
        <f t="shared" si="31"/>
        <v>24.432883999999998</v>
      </c>
      <c r="AG113" s="71">
        <f t="shared" si="31"/>
        <v>25.142257000000001</v>
      </c>
      <c r="AH113" s="71">
        <f t="shared" si="31"/>
        <v>25.550014000000001</v>
      </c>
      <c r="AI113" s="71">
        <f t="shared" si="31"/>
        <v>25.244195999999999</v>
      </c>
      <c r="AJ113" s="71">
        <f t="shared" si="31"/>
        <v>25.268366999999998</v>
      </c>
      <c r="AK113" s="71">
        <f t="shared" si="31"/>
        <v>24.976210999999999</v>
      </c>
      <c r="AL113" s="71">
        <f t="shared" si="31"/>
        <v>24.006209999999999</v>
      </c>
      <c r="AM113" s="71">
        <f t="shared" si="31"/>
        <v>23.070888999999998</v>
      </c>
      <c r="AN113" s="71">
        <f t="shared" si="31"/>
        <v>23.55011</v>
      </c>
      <c r="AO113" s="71">
        <f t="shared" si="31"/>
        <v>23.385115000000003</v>
      </c>
      <c r="AP113" s="71">
        <f t="shared" si="31"/>
        <v>22.960543000000001</v>
      </c>
      <c r="AQ113" s="71">
        <f t="shared" si="31"/>
        <v>23.747683000000002</v>
      </c>
      <c r="AR113" s="71">
        <f t="shared" si="31"/>
        <v>22.703067000000001</v>
      </c>
      <c r="AS113" s="71">
        <f t="shared" si="31"/>
        <v>21.998949</v>
      </c>
      <c r="AT113" s="71">
        <f t="shared" si="31"/>
        <v>21.867583999999997</v>
      </c>
      <c r="AU113" s="71">
        <f t="shared" si="31"/>
        <v>20.932262999999999</v>
      </c>
      <c r="AV113" s="71">
        <f t="shared" si="31"/>
        <v>20.476163</v>
      </c>
      <c r="AW113" s="71">
        <f t="shared" si="31"/>
        <v>19.684819000000001</v>
      </c>
      <c r="AX113" s="71">
        <f t="shared" si="31"/>
        <v>19.067927999999998</v>
      </c>
      <c r="AY113" s="71">
        <f t="shared" si="31"/>
        <v>18.486768000000001</v>
      </c>
      <c r="AZ113" s="71">
        <f t="shared" si="31"/>
        <v>17.511512</v>
      </c>
      <c r="BA113" s="71">
        <f t="shared" si="31"/>
        <v>16.564632000000003</v>
      </c>
      <c r="BB113" s="71">
        <f t="shared" si="31"/>
        <v>15.751218000000001</v>
      </c>
      <c r="BC113" s="72"/>
    </row>
    <row r="114" spans="1:63">
      <c r="A114" s="66">
        <v>4468</v>
      </c>
      <c r="B114" s="66"/>
      <c r="C114" s="66" t="s">
        <v>107</v>
      </c>
      <c r="D114" s="71">
        <f>D108/1000</f>
        <v>2.6698770000000001</v>
      </c>
      <c r="E114" s="71">
        <f t="shared" si="31"/>
        <v>2.933405</v>
      </c>
      <c r="F114" s="71">
        <f t="shared" si="31"/>
        <v>3.1430069999999999</v>
      </c>
      <c r="G114" s="71">
        <f t="shared" si="31"/>
        <v>3.4167100000000001</v>
      </c>
      <c r="H114" s="71">
        <f t="shared" si="31"/>
        <v>3.7585839999999999</v>
      </c>
      <c r="I114" s="71">
        <f t="shared" si="31"/>
        <v>3.974291</v>
      </c>
      <c r="J114" s="71">
        <f t="shared" si="31"/>
        <v>4.1777870000000004</v>
      </c>
      <c r="K114" s="71">
        <f t="shared" si="31"/>
        <v>4.4311409999999993</v>
      </c>
      <c r="L114" s="71">
        <f t="shared" si="31"/>
        <v>4.732316</v>
      </c>
      <c r="M114" s="71">
        <f t="shared" si="31"/>
        <v>4.9531099999999997</v>
      </c>
      <c r="N114" s="71">
        <f t="shared" si="31"/>
        <v>5.12303</v>
      </c>
      <c r="O114" s="71">
        <f t="shared" si="31"/>
        <v>5.2766700000000002</v>
      </c>
      <c r="P114" s="71">
        <f t="shared" si="31"/>
        <v>5.3458579999999998</v>
      </c>
      <c r="Q114" s="71">
        <f t="shared" si="31"/>
        <v>5.7569219999999994</v>
      </c>
      <c r="R114" s="71">
        <f t="shared" si="31"/>
        <v>5.6144740000000004</v>
      </c>
      <c r="S114" s="71">
        <f t="shared" si="31"/>
        <v>5.5086560000000002</v>
      </c>
      <c r="T114" s="71">
        <f t="shared" si="31"/>
        <v>5.6918030000000002</v>
      </c>
      <c r="U114" s="71">
        <f t="shared" si="31"/>
        <v>5.810848</v>
      </c>
      <c r="V114" s="71">
        <f t="shared" si="31"/>
        <v>5.977716</v>
      </c>
      <c r="W114" s="71">
        <f t="shared" si="31"/>
        <v>6.1628980000000002</v>
      </c>
      <c r="X114" s="71">
        <f t="shared" si="31"/>
        <v>5.9563490000000003</v>
      </c>
      <c r="Y114" s="71">
        <f t="shared" si="31"/>
        <v>5.6460159999999995</v>
      </c>
      <c r="Z114" s="71">
        <f t="shared" si="31"/>
        <v>5.8311980000000005</v>
      </c>
      <c r="AA114" s="71">
        <f t="shared" si="31"/>
        <v>6.2911009999999994</v>
      </c>
      <c r="AB114" s="71">
        <f t="shared" si="31"/>
        <v>6.8731009999999992</v>
      </c>
      <c r="AC114" s="71">
        <f t="shared" si="31"/>
        <v>7.2302379999999999</v>
      </c>
      <c r="AD114" s="71">
        <f t="shared" si="31"/>
        <v>8.0035249999999998</v>
      </c>
      <c r="AE114" s="71">
        <f t="shared" si="31"/>
        <v>8.6170679999999997</v>
      </c>
      <c r="AF114" s="71">
        <f t="shared" si="31"/>
        <v>9.5338209999999997</v>
      </c>
      <c r="AG114" s="71">
        <f t="shared" si="31"/>
        <v>10.294898</v>
      </c>
      <c r="AH114" s="71">
        <f t="shared" si="31"/>
        <v>10.838234</v>
      </c>
      <c r="AI114" s="71">
        <f t="shared" si="31"/>
        <v>10.880968999999999</v>
      </c>
      <c r="AJ114" s="71">
        <f t="shared" si="31"/>
        <v>11.326627</v>
      </c>
      <c r="AK114" s="71">
        <f t="shared" si="31"/>
        <v>12.012409999999999</v>
      </c>
      <c r="AL114" s="71">
        <f t="shared" si="31"/>
        <v>13.140799999999999</v>
      </c>
      <c r="AM114" s="71">
        <f t="shared" si="31"/>
        <v>13.692276</v>
      </c>
      <c r="AN114" s="71">
        <f t="shared" si="31"/>
        <v>14.616151</v>
      </c>
      <c r="AO114" s="71">
        <f t="shared" si="31"/>
        <v>15.237833</v>
      </c>
      <c r="AP114" s="71">
        <f t="shared" si="31"/>
        <v>15.407753000000001</v>
      </c>
      <c r="AQ114" s="71">
        <f t="shared" si="31"/>
        <v>15.779134000000001</v>
      </c>
      <c r="AR114" s="71">
        <f t="shared" si="31"/>
        <v>16.158656000000001</v>
      </c>
      <c r="AS114" s="71">
        <f t="shared" si="31"/>
        <v>16.705044000000001</v>
      </c>
      <c r="AT114" s="71">
        <f t="shared" si="31"/>
        <v>17.221926</v>
      </c>
      <c r="AU114" s="71">
        <f t="shared" si="31"/>
        <v>18.021668000000002</v>
      </c>
      <c r="AV114" s="71">
        <f t="shared" si="31"/>
        <v>18.837689999999998</v>
      </c>
      <c r="AW114" s="71">
        <f t="shared" si="31"/>
        <v>19.77581</v>
      </c>
      <c r="AX114" s="71">
        <f t="shared" si="31"/>
        <v>20.498223000000003</v>
      </c>
      <c r="AY114" s="71">
        <f t="shared" si="31"/>
        <v>21.407852999999999</v>
      </c>
      <c r="AZ114" s="71">
        <f t="shared" si="31"/>
        <v>20.932687999999999</v>
      </c>
      <c r="BA114" s="71">
        <f t="shared" si="31"/>
        <v>20.407667</v>
      </c>
      <c r="BB114" s="71">
        <f t="shared" si="31"/>
        <v>21.237934000000003</v>
      </c>
      <c r="BC114" s="72"/>
    </row>
    <row r="115" spans="1:63">
      <c r="C115" s="70" t="s">
        <v>108</v>
      </c>
      <c r="D115" s="73">
        <f>SUM(D113:D114)</f>
        <v>10.811368999999999</v>
      </c>
      <c r="E115" s="73">
        <f t="shared" ref="E115:BB115" si="32">SUM(E113:E114)</f>
        <v>11.627682</v>
      </c>
      <c r="F115" s="73">
        <f t="shared" si="32"/>
        <v>12.289180999999999</v>
      </c>
      <c r="G115" s="73">
        <f t="shared" si="32"/>
        <v>13.073632</v>
      </c>
      <c r="H115" s="73">
        <f t="shared" si="32"/>
        <v>14.448561999999999</v>
      </c>
      <c r="I115" s="73">
        <f t="shared" si="32"/>
        <v>15.440899999999999</v>
      </c>
      <c r="J115" s="73">
        <f t="shared" si="32"/>
        <v>16.267593000000002</v>
      </c>
      <c r="K115" s="73">
        <f t="shared" si="32"/>
        <v>17.334360999999998</v>
      </c>
      <c r="L115" s="73">
        <f t="shared" si="32"/>
        <v>18.407963000000002</v>
      </c>
      <c r="M115" s="73">
        <f t="shared" si="32"/>
        <v>19.081704999999999</v>
      </c>
      <c r="N115" s="73">
        <f t="shared" si="32"/>
        <v>20.082903999999999</v>
      </c>
      <c r="O115" s="73">
        <f t="shared" si="32"/>
        <v>21.002665999999998</v>
      </c>
      <c r="P115" s="73">
        <f t="shared" si="32"/>
        <v>22.054466000000001</v>
      </c>
      <c r="Q115" s="73">
        <f t="shared" si="32"/>
        <v>23.545877999999998</v>
      </c>
      <c r="R115" s="73">
        <f t="shared" si="32"/>
        <v>22.937871000000001</v>
      </c>
      <c r="S115" s="73">
        <f t="shared" si="32"/>
        <v>22.454772000000006</v>
      </c>
      <c r="T115" s="73">
        <f t="shared" si="32"/>
        <v>23.430315</v>
      </c>
      <c r="U115" s="73">
        <f t="shared" si="32"/>
        <v>24.029630999999998</v>
      </c>
      <c r="V115" s="73">
        <f t="shared" si="32"/>
        <v>25.260031999999999</v>
      </c>
      <c r="W115" s="73">
        <f t="shared" si="32"/>
        <v>25.799374999999998</v>
      </c>
      <c r="X115" s="73">
        <f t="shared" si="32"/>
        <v>26.076250000000002</v>
      </c>
      <c r="Y115" s="73">
        <f t="shared" si="32"/>
        <v>25.317173</v>
      </c>
      <c r="Z115" s="73">
        <f t="shared" si="32"/>
        <v>26.058293000000003</v>
      </c>
      <c r="AA115" s="73">
        <f t="shared" si="32"/>
        <v>26.853439999999999</v>
      </c>
      <c r="AB115" s="73">
        <f t="shared" si="32"/>
        <v>28.129047999999997</v>
      </c>
      <c r="AC115" s="73">
        <f t="shared" si="32"/>
        <v>28.672197999999998</v>
      </c>
      <c r="AD115" s="73">
        <f t="shared" si="32"/>
        <v>30.566819000000002</v>
      </c>
      <c r="AE115" s="73">
        <f t="shared" si="32"/>
        <v>31.930719999999997</v>
      </c>
      <c r="AF115" s="73">
        <f t="shared" si="32"/>
        <v>33.966704999999997</v>
      </c>
      <c r="AG115" s="73">
        <f t="shared" si="32"/>
        <v>35.437155000000004</v>
      </c>
      <c r="AH115" s="73">
        <f t="shared" si="32"/>
        <v>36.388248000000004</v>
      </c>
      <c r="AI115" s="73">
        <f t="shared" si="32"/>
        <v>36.125164999999996</v>
      </c>
      <c r="AJ115" s="73">
        <f t="shared" si="32"/>
        <v>36.594994</v>
      </c>
      <c r="AK115" s="73">
        <f t="shared" si="32"/>
        <v>36.988620999999995</v>
      </c>
      <c r="AL115" s="73">
        <f t="shared" si="32"/>
        <v>37.147009999999995</v>
      </c>
      <c r="AM115" s="73">
        <f t="shared" si="32"/>
        <v>36.763165000000001</v>
      </c>
      <c r="AN115" s="73">
        <f t="shared" si="32"/>
        <v>38.166260999999999</v>
      </c>
      <c r="AO115" s="73">
        <f t="shared" si="32"/>
        <v>38.622948000000001</v>
      </c>
      <c r="AP115" s="73">
        <f t="shared" si="32"/>
        <v>38.368296000000001</v>
      </c>
      <c r="AQ115" s="73">
        <f t="shared" si="32"/>
        <v>39.526817000000001</v>
      </c>
      <c r="AR115" s="73">
        <f t="shared" si="32"/>
        <v>38.861722999999998</v>
      </c>
      <c r="AS115" s="73">
        <f t="shared" si="32"/>
        <v>38.703992999999997</v>
      </c>
      <c r="AT115" s="73">
        <f t="shared" si="32"/>
        <v>39.089509999999997</v>
      </c>
      <c r="AU115" s="73">
        <f t="shared" si="32"/>
        <v>38.953930999999997</v>
      </c>
      <c r="AV115" s="73">
        <f t="shared" si="32"/>
        <v>39.313852999999995</v>
      </c>
      <c r="AW115" s="73">
        <f t="shared" si="32"/>
        <v>39.460628999999997</v>
      </c>
      <c r="AX115" s="73">
        <f t="shared" si="32"/>
        <v>39.566151000000005</v>
      </c>
      <c r="AY115" s="73">
        <f t="shared" si="32"/>
        <v>39.894621000000001</v>
      </c>
      <c r="AZ115" s="73">
        <f t="shared" si="32"/>
        <v>38.444199999999995</v>
      </c>
      <c r="BA115" s="73">
        <f t="shared" si="32"/>
        <v>36.972299000000007</v>
      </c>
      <c r="BB115" s="73">
        <f t="shared" si="32"/>
        <v>36.989152000000004</v>
      </c>
      <c r="BC115" s="74"/>
    </row>
    <row r="118" spans="1:63">
      <c r="A118" s="1" t="s">
        <v>109</v>
      </c>
    </row>
    <row r="119" spans="1:63" s="17" customFormat="1">
      <c r="A119" s="3" t="s">
        <v>110</v>
      </c>
      <c r="D119" s="17">
        <v>1960</v>
      </c>
      <c r="E119" s="17">
        <v>1961</v>
      </c>
      <c r="F119" s="17">
        <v>1962</v>
      </c>
      <c r="G119" s="17">
        <v>1963</v>
      </c>
      <c r="H119" s="17">
        <v>1964</v>
      </c>
      <c r="I119" s="17">
        <v>1965</v>
      </c>
      <c r="J119" s="17">
        <v>1966</v>
      </c>
      <c r="K119" s="17">
        <v>1967</v>
      </c>
      <c r="L119" s="17">
        <v>1968</v>
      </c>
      <c r="M119" s="17">
        <v>1969</v>
      </c>
      <c r="N119" s="17">
        <v>1970</v>
      </c>
      <c r="O119" s="17">
        <v>1971</v>
      </c>
      <c r="P119" s="17">
        <v>1972</v>
      </c>
      <c r="Q119" s="17">
        <v>1973</v>
      </c>
      <c r="R119" s="17">
        <v>1974</v>
      </c>
      <c r="S119" s="17">
        <v>1975</v>
      </c>
      <c r="T119" s="17">
        <v>1976</v>
      </c>
      <c r="U119" s="17">
        <v>1977</v>
      </c>
      <c r="V119" s="17">
        <v>1978</v>
      </c>
      <c r="W119" s="17">
        <v>1979</v>
      </c>
      <c r="X119" s="17">
        <v>1980</v>
      </c>
      <c r="Y119" s="17">
        <v>1981</v>
      </c>
      <c r="Z119" s="17">
        <v>1982</v>
      </c>
      <c r="AA119" s="17">
        <v>1983</v>
      </c>
      <c r="AB119" s="17">
        <v>1984</v>
      </c>
      <c r="AC119" s="17">
        <v>1985</v>
      </c>
      <c r="AD119" s="17">
        <v>1986</v>
      </c>
      <c r="AE119" s="17">
        <v>1987</v>
      </c>
      <c r="AF119" s="17">
        <v>1988</v>
      </c>
      <c r="AG119" s="17">
        <v>1989</v>
      </c>
      <c r="AH119" s="17">
        <v>1990</v>
      </c>
      <c r="AI119" s="17">
        <v>1991</v>
      </c>
      <c r="AJ119" s="17">
        <v>1992</v>
      </c>
      <c r="AK119" s="17">
        <v>1993</v>
      </c>
      <c r="AL119" s="17">
        <v>1994</v>
      </c>
      <c r="AM119" s="17">
        <v>1995</v>
      </c>
      <c r="AN119" s="17">
        <v>1996</v>
      </c>
      <c r="AO119" s="17">
        <v>1997</v>
      </c>
      <c r="AP119" s="17">
        <v>1998</v>
      </c>
      <c r="AQ119" s="17">
        <v>1999</v>
      </c>
      <c r="AR119" s="17">
        <v>2000</v>
      </c>
      <c r="AS119" s="17">
        <v>2001</v>
      </c>
      <c r="AT119" s="17">
        <v>2002</v>
      </c>
      <c r="AU119" s="17">
        <v>2003</v>
      </c>
      <c r="AV119" s="17">
        <v>2004</v>
      </c>
      <c r="AW119" s="17">
        <v>2005</v>
      </c>
      <c r="AX119" s="17">
        <v>2006</v>
      </c>
      <c r="AY119" s="17">
        <v>2007</v>
      </c>
      <c r="AZ119" s="17">
        <v>2008</v>
      </c>
      <c r="BA119" s="17">
        <v>2009</v>
      </c>
      <c r="BB119" s="17">
        <v>2010</v>
      </c>
      <c r="BC119" s="17">
        <v>2011</v>
      </c>
      <c r="BD119" s="17">
        <v>2012</v>
      </c>
      <c r="BE119" s="17">
        <v>2013</v>
      </c>
      <c r="BF119" s="17">
        <v>2014</v>
      </c>
      <c r="BG119" s="17">
        <v>2015</v>
      </c>
      <c r="BH119" s="17">
        <v>2016</v>
      </c>
      <c r="BI119" s="17">
        <v>2017</v>
      </c>
      <c r="BJ119" s="17">
        <v>2018</v>
      </c>
      <c r="BK119" s="18">
        <v>2019</v>
      </c>
    </row>
    <row r="120" spans="1:63">
      <c r="C120" s="75" t="s">
        <v>111</v>
      </c>
      <c r="D120" s="76">
        <v>42.3</v>
      </c>
      <c r="E120" s="76">
        <v>47.8</v>
      </c>
      <c r="F120" s="76">
        <v>52</v>
      </c>
      <c r="G120" s="76">
        <v>56.8</v>
      </c>
      <c r="H120" s="76">
        <v>65.7</v>
      </c>
      <c r="I120" s="76">
        <v>72</v>
      </c>
      <c r="J120" s="76">
        <v>78.599999999999994</v>
      </c>
      <c r="K120" s="76">
        <v>83.9</v>
      </c>
      <c r="L120" s="76">
        <v>88.7</v>
      </c>
      <c r="M120" s="76">
        <v>91.9</v>
      </c>
      <c r="N120" s="76">
        <v>96.3</v>
      </c>
      <c r="O120" s="76">
        <v>102.6</v>
      </c>
      <c r="P120" s="76">
        <v>108.6</v>
      </c>
      <c r="Q120" s="76">
        <v>114.3</v>
      </c>
      <c r="R120" s="76">
        <v>111.8</v>
      </c>
      <c r="S120" s="76">
        <v>112.8</v>
      </c>
      <c r="T120" s="76">
        <v>118.3</v>
      </c>
      <c r="U120" s="76">
        <v>120.6</v>
      </c>
      <c r="V120" s="76">
        <v>125.8</v>
      </c>
      <c r="W120" s="76">
        <v>125.2</v>
      </c>
      <c r="X120" s="76">
        <v>133.6</v>
      </c>
      <c r="Y120" s="76">
        <v>136.4</v>
      </c>
      <c r="Z120" s="76">
        <v>141.19999999999999</v>
      </c>
      <c r="AA120" s="76">
        <v>143.69999999999999</v>
      </c>
      <c r="AB120" s="76">
        <v>151.6</v>
      </c>
      <c r="AC120" s="76">
        <v>155.69999999999999</v>
      </c>
      <c r="AD120" s="76">
        <v>164.3</v>
      </c>
      <c r="AE120" s="76">
        <v>176.8</v>
      </c>
      <c r="AF120" s="76">
        <v>189.8</v>
      </c>
      <c r="AG120" s="76">
        <v>205.9</v>
      </c>
      <c r="AH120" s="76">
        <v>208.7</v>
      </c>
      <c r="AI120" s="76">
        <v>208.3</v>
      </c>
      <c r="AJ120" s="77">
        <v>210</v>
      </c>
      <c r="AK120" s="76">
        <v>210.1</v>
      </c>
      <c r="AL120" s="76">
        <v>214.4</v>
      </c>
      <c r="AM120" s="76">
        <v>218.2</v>
      </c>
      <c r="AN120" s="76">
        <v>223.6</v>
      </c>
      <c r="AO120" s="76">
        <v>227.3</v>
      </c>
      <c r="AP120" s="76">
        <v>230.3</v>
      </c>
      <c r="AQ120" s="76">
        <v>234.5</v>
      </c>
      <c r="AR120" s="76">
        <v>233.7</v>
      </c>
      <c r="AS120" s="76">
        <v>236.9</v>
      </c>
      <c r="AT120" s="76">
        <v>242.7</v>
      </c>
      <c r="AU120" s="76">
        <v>242.3</v>
      </c>
      <c r="AV120" s="76">
        <v>245</v>
      </c>
      <c r="AW120" s="76">
        <v>244</v>
      </c>
      <c r="AX120" s="76">
        <v>246.9</v>
      </c>
      <c r="AY120" s="76">
        <v>247.3</v>
      </c>
      <c r="AZ120" s="76">
        <v>245.4</v>
      </c>
      <c r="BA120" s="76">
        <v>244.8</v>
      </c>
      <c r="BB120" s="76">
        <v>241.9</v>
      </c>
      <c r="BC120" s="78">
        <v>244.3</v>
      </c>
      <c r="BD120" s="3">
        <v>245.5</v>
      </c>
      <c r="BE120" s="3">
        <v>246.6</v>
      </c>
      <c r="BF120" s="3">
        <v>253.5</v>
      </c>
      <c r="BG120" s="3">
        <v>258.10000000000002</v>
      </c>
      <c r="BH120" s="3">
        <v>263.89999999999998</v>
      </c>
      <c r="BI120" s="3">
        <v>269</v>
      </c>
      <c r="BJ120" s="3">
        <v>272.3</v>
      </c>
    </row>
    <row r="121" spans="1:63">
      <c r="C121" s="75" t="s">
        <v>112</v>
      </c>
      <c r="D121" s="76">
        <v>9.3000000000000007</v>
      </c>
      <c r="E121" s="76">
        <v>10.199999999999999</v>
      </c>
      <c r="F121" s="76">
        <v>10.3</v>
      </c>
      <c r="G121" s="76">
        <v>10.9</v>
      </c>
      <c r="H121" s="76">
        <v>11</v>
      </c>
      <c r="I121" s="76">
        <v>11.8</v>
      </c>
      <c r="J121" s="76">
        <v>11.8</v>
      </c>
      <c r="K121" s="76">
        <v>11.6</v>
      </c>
      <c r="L121" s="76">
        <v>11.7</v>
      </c>
      <c r="M121" s="76">
        <v>12</v>
      </c>
      <c r="N121" s="76">
        <v>12.6</v>
      </c>
      <c r="O121" s="76">
        <v>13.2</v>
      </c>
      <c r="P121" s="76">
        <v>13.8</v>
      </c>
      <c r="Q121" s="76">
        <v>14.5</v>
      </c>
      <c r="R121" s="76">
        <v>14.7</v>
      </c>
      <c r="S121" s="76">
        <v>14.6</v>
      </c>
      <c r="T121" s="76">
        <v>15</v>
      </c>
      <c r="U121" s="76">
        <v>15.2</v>
      </c>
      <c r="V121" s="76">
        <v>15.7</v>
      </c>
      <c r="W121" s="76">
        <v>15.6</v>
      </c>
      <c r="X121" s="76">
        <v>16.2</v>
      </c>
      <c r="Y121" s="76">
        <v>16.3</v>
      </c>
      <c r="Z121" s="76">
        <v>16.2</v>
      </c>
      <c r="AA121" s="76">
        <v>16.2</v>
      </c>
      <c r="AB121" s="76">
        <v>17.100000000000001</v>
      </c>
      <c r="AC121" s="76">
        <v>17.8</v>
      </c>
      <c r="AD121" s="76">
        <v>18.600000000000001</v>
      </c>
      <c r="AE121" s="76">
        <v>20.3</v>
      </c>
      <c r="AF121" s="76">
        <v>22.5</v>
      </c>
      <c r="AG121" s="76">
        <v>24.7</v>
      </c>
      <c r="AH121" s="76">
        <v>24.8</v>
      </c>
      <c r="AI121" s="76">
        <v>25.9</v>
      </c>
      <c r="AJ121" s="77">
        <v>25.6</v>
      </c>
      <c r="AK121" s="76">
        <v>25.8</v>
      </c>
      <c r="AL121" s="76">
        <v>26.9</v>
      </c>
      <c r="AM121" s="76">
        <v>27.7</v>
      </c>
      <c r="AN121" s="76">
        <v>28.7</v>
      </c>
      <c r="AO121" s="76">
        <v>30.2</v>
      </c>
      <c r="AP121" s="76">
        <v>31.6</v>
      </c>
      <c r="AQ121" s="76">
        <v>32.1</v>
      </c>
      <c r="AR121" s="76">
        <v>32.4</v>
      </c>
      <c r="AS121" s="76">
        <v>33.200000000000003</v>
      </c>
      <c r="AT121" s="76">
        <v>34</v>
      </c>
      <c r="AU121" s="76">
        <v>35.700000000000003</v>
      </c>
      <c r="AV121" s="76">
        <v>37.4</v>
      </c>
      <c r="AW121" s="76">
        <v>38.4</v>
      </c>
      <c r="AX121" s="76">
        <v>39.9</v>
      </c>
      <c r="AY121" s="76">
        <v>41.9</v>
      </c>
      <c r="AZ121" s="76">
        <v>41.6</v>
      </c>
      <c r="BA121" s="76">
        <v>40.700000000000003</v>
      </c>
      <c r="BB121" s="76">
        <v>41.4</v>
      </c>
      <c r="BC121" s="78">
        <v>42</v>
      </c>
      <c r="BD121" s="3">
        <v>42.2</v>
      </c>
      <c r="BE121" s="3">
        <v>43.8</v>
      </c>
      <c r="BF121" s="3">
        <v>46.6</v>
      </c>
      <c r="BG121" s="3">
        <v>48.9</v>
      </c>
      <c r="BH121" s="3">
        <v>51.7</v>
      </c>
      <c r="BI121" s="3">
        <v>53.4</v>
      </c>
      <c r="BJ121" s="3">
        <v>54.4</v>
      </c>
    </row>
    <row r="122" spans="1:63">
      <c r="C122" s="79" t="s">
        <v>113</v>
      </c>
      <c r="D122" s="76">
        <v>9.5</v>
      </c>
      <c r="E122" s="76">
        <v>9.6</v>
      </c>
      <c r="F122" s="76">
        <v>9.6</v>
      </c>
      <c r="G122" s="76">
        <v>9.8000000000000007</v>
      </c>
      <c r="H122" s="76">
        <v>10.8</v>
      </c>
      <c r="I122" s="76">
        <v>10.7</v>
      </c>
      <c r="J122" s="76">
        <v>10.9</v>
      </c>
      <c r="K122" s="76">
        <v>10.7</v>
      </c>
      <c r="L122" s="76">
        <v>10.9</v>
      </c>
      <c r="M122" s="76">
        <v>10.8</v>
      </c>
      <c r="N122" s="76">
        <v>10.9</v>
      </c>
      <c r="O122" s="76">
        <v>11.2</v>
      </c>
      <c r="P122" s="76">
        <v>11.4</v>
      </c>
      <c r="Q122" s="76">
        <v>12</v>
      </c>
      <c r="R122" s="76">
        <v>11.6</v>
      </c>
      <c r="S122" s="76">
        <v>11.4</v>
      </c>
      <c r="T122" s="76">
        <v>11.9</v>
      </c>
      <c r="U122" s="76">
        <v>11.7</v>
      </c>
      <c r="V122" s="76">
        <v>12.1</v>
      </c>
      <c r="W122" s="76">
        <v>12.2</v>
      </c>
      <c r="X122" s="76">
        <v>12.2</v>
      </c>
      <c r="Y122" s="76">
        <v>11.7</v>
      </c>
      <c r="Z122" s="76">
        <v>11.4</v>
      </c>
      <c r="AA122" s="76">
        <v>11.7</v>
      </c>
      <c r="AB122" s="76">
        <v>12.2</v>
      </c>
      <c r="AC122" s="76">
        <v>12.2</v>
      </c>
      <c r="AD122" s="76">
        <v>12.5</v>
      </c>
      <c r="AE122" s="76">
        <v>13.9</v>
      </c>
      <c r="AF122" s="76">
        <v>14.8</v>
      </c>
      <c r="AG122" s="76">
        <v>15.8</v>
      </c>
      <c r="AH122" s="76">
        <v>15.5</v>
      </c>
      <c r="AI122" s="76">
        <v>15.2</v>
      </c>
      <c r="AJ122" s="77">
        <v>14.8</v>
      </c>
      <c r="AK122" s="76">
        <v>15.1</v>
      </c>
      <c r="AL122" s="76">
        <v>15.4</v>
      </c>
      <c r="AM122" s="76">
        <v>15.8</v>
      </c>
      <c r="AN122" s="76">
        <v>16.3</v>
      </c>
      <c r="AO122" s="76">
        <v>16.7</v>
      </c>
      <c r="AP122" s="76">
        <v>17.2</v>
      </c>
      <c r="AQ122" s="76">
        <v>17.5</v>
      </c>
      <c r="AR122" s="76">
        <v>17.5</v>
      </c>
      <c r="AS122" s="76">
        <v>17.399999999999999</v>
      </c>
      <c r="AT122" s="76">
        <v>17.600000000000001</v>
      </c>
      <c r="AU122" s="76">
        <v>17.7</v>
      </c>
      <c r="AV122" s="76">
        <v>18.2</v>
      </c>
      <c r="AW122" s="76">
        <v>18</v>
      </c>
      <c r="AX122" s="76">
        <v>18</v>
      </c>
      <c r="AY122" s="76">
        <v>18.2</v>
      </c>
      <c r="AZ122" s="76">
        <v>17.8</v>
      </c>
      <c r="BA122" s="76">
        <v>16.3</v>
      </c>
      <c r="BB122" s="76">
        <v>16.399999999999999</v>
      </c>
      <c r="BC122" s="78">
        <v>16</v>
      </c>
      <c r="BD122" s="3">
        <v>15.6</v>
      </c>
      <c r="BE122" s="3">
        <v>15.8</v>
      </c>
      <c r="BF122" s="3">
        <v>16.2</v>
      </c>
      <c r="BG122" s="3">
        <v>16.8</v>
      </c>
      <c r="BH122" s="3">
        <v>17</v>
      </c>
      <c r="BI122" s="3">
        <v>17.2</v>
      </c>
      <c r="BJ122" s="3">
        <v>17.3</v>
      </c>
    </row>
    <row r="123" spans="1:63">
      <c r="C123" s="80" t="s">
        <v>114</v>
      </c>
      <c r="D123" s="76">
        <v>6.2</v>
      </c>
      <c r="E123" s="76">
        <v>6</v>
      </c>
      <c r="F123" s="76">
        <v>5.4</v>
      </c>
      <c r="G123" s="76">
        <v>4.7</v>
      </c>
      <c r="H123" s="76">
        <v>4.7</v>
      </c>
      <c r="I123" s="76">
        <v>4.2</v>
      </c>
      <c r="J123" s="76">
        <v>3.7</v>
      </c>
      <c r="K123" s="76">
        <v>3.2</v>
      </c>
      <c r="L123" s="76">
        <v>2.9</v>
      </c>
      <c r="M123" s="76">
        <v>2.6</v>
      </c>
      <c r="N123" s="76">
        <v>2.5</v>
      </c>
      <c r="O123" s="76">
        <v>2.4</v>
      </c>
      <c r="P123" s="76">
        <v>2.2999999999999998</v>
      </c>
      <c r="Q123" s="76">
        <v>2.4</v>
      </c>
      <c r="R123" s="76">
        <v>2.6</v>
      </c>
      <c r="S123" s="76">
        <v>3.2</v>
      </c>
      <c r="T123" s="76">
        <v>3.9</v>
      </c>
      <c r="U123" s="76">
        <v>3.9</v>
      </c>
      <c r="V123" s="76">
        <v>3.8</v>
      </c>
      <c r="W123" s="76">
        <v>4</v>
      </c>
      <c r="X123" s="76">
        <v>4.8</v>
      </c>
      <c r="Y123" s="76">
        <v>5.5</v>
      </c>
      <c r="Z123" s="76">
        <v>5.7</v>
      </c>
      <c r="AA123" s="76">
        <v>5.2</v>
      </c>
      <c r="AB123" s="76">
        <v>5</v>
      </c>
      <c r="AC123" s="76">
        <v>4.5999999999999996</v>
      </c>
      <c r="AD123" s="76">
        <v>4.4000000000000004</v>
      </c>
      <c r="AE123" s="76">
        <v>4.2</v>
      </c>
      <c r="AF123" s="76">
        <v>3.7</v>
      </c>
      <c r="AG123" s="76">
        <v>3.7</v>
      </c>
      <c r="AH123" s="76">
        <v>3.5</v>
      </c>
      <c r="AI123" s="76">
        <v>3.4</v>
      </c>
      <c r="AJ123" s="77">
        <v>2.8</v>
      </c>
      <c r="AK123" s="76">
        <v>2.2999999999999998</v>
      </c>
      <c r="AL123" s="76">
        <v>2.2999999999999998</v>
      </c>
      <c r="AM123" s="76">
        <v>2.2999999999999998</v>
      </c>
      <c r="AN123" s="76">
        <v>2.2999999999999998</v>
      </c>
      <c r="AO123" s="76">
        <v>2.5</v>
      </c>
      <c r="AP123" s="76">
        <v>2.6</v>
      </c>
      <c r="AQ123" s="76">
        <v>2.8</v>
      </c>
      <c r="AR123" s="76">
        <v>2.8</v>
      </c>
      <c r="AS123" s="76">
        <v>3</v>
      </c>
      <c r="AT123" s="76">
        <v>3.1</v>
      </c>
      <c r="AU123" s="76">
        <v>3.4</v>
      </c>
      <c r="AV123" s="76">
        <v>3.2</v>
      </c>
      <c r="AW123" s="76">
        <v>3.3</v>
      </c>
      <c r="AX123" s="76">
        <v>3.2</v>
      </c>
      <c r="AY123" s="76">
        <v>3.4</v>
      </c>
      <c r="AZ123" s="76">
        <v>3.1</v>
      </c>
      <c r="BA123" s="76">
        <v>3.2</v>
      </c>
      <c r="BB123" s="76">
        <v>2.9</v>
      </c>
      <c r="BC123" s="78">
        <v>2.9</v>
      </c>
      <c r="BD123" s="3">
        <v>2.9</v>
      </c>
      <c r="BE123" s="3">
        <v>2.8</v>
      </c>
      <c r="BF123" s="3">
        <v>2.9</v>
      </c>
      <c r="BG123" s="3">
        <v>2.9</v>
      </c>
      <c r="BH123" s="3">
        <v>3</v>
      </c>
      <c r="BI123" s="3">
        <v>3</v>
      </c>
      <c r="BJ123" s="3">
        <v>3</v>
      </c>
    </row>
    <row r="124" spans="1:63">
      <c r="C124" s="80" t="s">
        <v>115</v>
      </c>
      <c r="D124" s="76">
        <v>2.4</v>
      </c>
      <c r="E124" s="76">
        <v>2.5</v>
      </c>
      <c r="F124" s="76">
        <v>2.5</v>
      </c>
      <c r="G124" s="76">
        <v>2.5</v>
      </c>
      <c r="H124" s="76">
        <v>2.5</v>
      </c>
      <c r="I124" s="76">
        <v>2.4</v>
      </c>
      <c r="J124" s="76">
        <v>2.4</v>
      </c>
      <c r="K124" s="76">
        <v>2.4</v>
      </c>
      <c r="L124" s="76">
        <v>2.4</v>
      </c>
      <c r="M124" s="76">
        <v>2.4</v>
      </c>
      <c r="N124" s="76">
        <v>2.2000000000000002</v>
      </c>
      <c r="O124" s="76">
        <v>2.2000000000000002</v>
      </c>
      <c r="P124" s="76">
        <v>2.2000000000000002</v>
      </c>
      <c r="Q124" s="76">
        <v>2.2000000000000002</v>
      </c>
      <c r="R124" s="76">
        <v>2.1</v>
      </c>
      <c r="S124" s="76">
        <v>2</v>
      </c>
      <c r="T124" s="76">
        <v>2.1</v>
      </c>
      <c r="U124" s="76">
        <v>2</v>
      </c>
      <c r="V124" s="76">
        <v>2.1</v>
      </c>
      <c r="W124" s="76">
        <v>2.1</v>
      </c>
      <c r="X124" s="76">
        <v>2.2000000000000002</v>
      </c>
      <c r="Y124" s="76">
        <v>2.2000000000000002</v>
      </c>
      <c r="Z124" s="76">
        <v>2.2000000000000002</v>
      </c>
      <c r="AA124" s="76">
        <v>2.2999999999999998</v>
      </c>
      <c r="AB124" s="76">
        <v>2.4</v>
      </c>
      <c r="AC124" s="76">
        <v>2.2999999999999998</v>
      </c>
      <c r="AD124" s="76">
        <v>2.2999999999999998</v>
      </c>
      <c r="AE124" s="76">
        <v>2.5</v>
      </c>
      <c r="AF124" s="76">
        <v>2.7</v>
      </c>
      <c r="AG124" s="76">
        <v>2.8</v>
      </c>
      <c r="AH124" s="76">
        <v>2.9</v>
      </c>
      <c r="AI124" s="76">
        <v>3</v>
      </c>
      <c r="AJ124" s="77">
        <v>2.9</v>
      </c>
      <c r="AK124" s="76">
        <v>2.9</v>
      </c>
      <c r="AL124" s="76">
        <v>2.9</v>
      </c>
      <c r="AM124" s="76">
        <v>3</v>
      </c>
      <c r="AN124" s="76">
        <v>3.1</v>
      </c>
      <c r="AO124" s="76">
        <v>3.2</v>
      </c>
      <c r="AP124" s="76">
        <v>3.3</v>
      </c>
      <c r="AQ124" s="76">
        <v>3.3</v>
      </c>
      <c r="AR124" s="76">
        <v>3.2</v>
      </c>
      <c r="AS124" s="76">
        <v>3.2</v>
      </c>
      <c r="AT124" s="76">
        <v>3.2</v>
      </c>
      <c r="AU124" s="76">
        <v>3.3</v>
      </c>
      <c r="AV124" s="76">
        <v>3.2</v>
      </c>
      <c r="AW124" s="76">
        <v>3.2</v>
      </c>
      <c r="AX124" s="76">
        <v>3.3</v>
      </c>
      <c r="AY124" s="76">
        <v>3.4</v>
      </c>
      <c r="AZ124" s="76">
        <v>3.1</v>
      </c>
      <c r="BA124" s="76">
        <v>3.1</v>
      </c>
      <c r="BB124" s="76">
        <v>3.2</v>
      </c>
      <c r="BC124" s="78">
        <v>3</v>
      </c>
      <c r="BD124" s="3">
        <v>2.8</v>
      </c>
      <c r="BE124" s="3">
        <v>2.9</v>
      </c>
      <c r="BF124" s="3">
        <v>2.9</v>
      </c>
      <c r="BG124" s="3">
        <v>2.8</v>
      </c>
      <c r="BH124" s="3">
        <v>2.6</v>
      </c>
      <c r="BI124" s="3">
        <v>2.6</v>
      </c>
      <c r="BJ124" s="3">
        <v>2.5</v>
      </c>
    </row>
    <row r="125" spans="1:63" s="17" customFormat="1">
      <c r="C125" s="81" t="s">
        <v>104</v>
      </c>
      <c r="D125" s="82">
        <f>SUM(D120:D124)</f>
        <v>69.7</v>
      </c>
      <c r="E125" s="82">
        <f t="shared" ref="E125:BJ125" si="33">SUM(E120:E124)</f>
        <v>76.099999999999994</v>
      </c>
      <c r="F125" s="82">
        <f t="shared" si="33"/>
        <v>79.8</v>
      </c>
      <c r="G125" s="82">
        <f t="shared" si="33"/>
        <v>84.7</v>
      </c>
      <c r="H125" s="82">
        <f t="shared" si="33"/>
        <v>94.7</v>
      </c>
      <c r="I125" s="82">
        <f t="shared" si="33"/>
        <v>101.10000000000001</v>
      </c>
      <c r="J125" s="82">
        <f t="shared" si="33"/>
        <v>107.4</v>
      </c>
      <c r="K125" s="82">
        <f t="shared" si="33"/>
        <v>111.80000000000001</v>
      </c>
      <c r="L125" s="82">
        <f t="shared" si="33"/>
        <v>116.60000000000002</v>
      </c>
      <c r="M125" s="82">
        <f t="shared" si="33"/>
        <v>119.7</v>
      </c>
      <c r="N125" s="82">
        <f t="shared" si="33"/>
        <v>124.5</v>
      </c>
      <c r="O125" s="82">
        <f t="shared" si="33"/>
        <v>131.6</v>
      </c>
      <c r="P125" s="82">
        <f t="shared" si="33"/>
        <v>138.29999999999998</v>
      </c>
      <c r="Q125" s="82">
        <f t="shared" si="33"/>
        <v>145.4</v>
      </c>
      <c r="R125" s="82">
        <f t="shared" si="33"/>
        <v>142.79999999999998</v>
      </c>
      <c r="S125" s="82">
        <f t="shared" si="33"/>
        <v>143.99999999999997</v>
      </c>
      <c r="T125" s="82">
        <f t="shared" si="33"/>
        <v>151.20000000000002</v>
      </c>
      <c r="U125" s="82">
        <f t="shared" si="33"/>
        <v>153.39999999999998</v>
      </c>
      <c r="V125" s="82">
        <f t="shared" si="33"/>
        <v>159.5</v>
      </c>
      <c r="W125" s="82">
        <f t="shared" si="33"/>
        <v>159.1</v>
      </c>
      <c r="X125" s="82">
        <f t="shared" si="33"/>
        <v>168.99999999999997</v>
      </c>
      <c r="Y125" s="82">
        <f t="shared" si="33"/>
        <v>172.1</v>
      </c>
      <c r="Z125" s="82">
        <f t="shared" si="33"/>
        <v>176.69999999999996</v>
      </c>
      <c r="AA125" s="82">
        <f t="shared" si="33"/>
        <v>179.09999999999997</v>
      </c>
      <c r="AB125" s="82">
        <f t="shared" si="33"/>
        <v>188.29999999999998</v>
      </c>
      <c r="AC125" s="82">
        <f t="shared" si="33"/>
        <v>192.6</v>
      </c>
      <c r="AD125" s="82">
        <f t="shared" si="33"/>
        <v>202.10000000000002</v>
      </c>
      <c r="AE125" s="82">
        <f t="shared" si="33"/>
        <v>217.70000000000002</v>
      </c>
      <c r="AF125" s="82">
        <f t="shared" si="33"/>
        <v>233.5</v>
      </c>
      <c r="AG125" s="82">
        <f t="shared" si="33"/>
        <v>252.9</v>
      </c>
      <c r="AH125" s="82">
        <f t="shared" si="33"/>
        <v>255.4</v>
      </c>
      <c r="AI125" s="82">
        <f t="shared" si="33"/>
        <v>255.8</v>
      </c>
      <c r="AJ125" s="82">
        <f t="shared" si="33"/>
        <v>256.10000000000002</v>
      </c>
      <c r="AK125" s="82">
        <f t="shared" si="33"/>
        <v>256.2</v>
      </c>
      <c r="AL125" s="82">
        <f t="shared" si="33"/>
        <v>261.89999999999998</v>
      </c>
      <c r="AM125" s="82">
        <f t="shared" si="33"/>
        <v>267</v>
      </c>
      <c r="AN125" s="82">
        <f t="shared" si="33"/>
        <v>274</v>
      </c>
      <c r="AO125" s="82">
        <f t="shared" si="33"/>
        <v>279.89999999999998</v>
      </c>
      <c r="AP125" s="82">
        <f t="shared" si="33"/>
        <v>285.00000000000006</v>
      </c>
      <c r="AQ125" s="82">
        <f t="shared" si="33"/>
        <v>290.20000000000005</v>
      </c>
      <c r="AR125" s="82">
        <f t="shared" si="33"/>
        <v>289.59999999999997</v>
      </c>
      <c r="AS125" s="82">
        <f t="shared" si="33"/>
        <v>293.7</v>
      </c>
      <c r="AT125" s="82">
        <f t="shared" si="33"/>
        <v>300.60000000000002</v>
      </c>
      <c r="AU125" s="82">
        <f t="shared" si="33"/>
        <v>302.39999999999998</v>
      </c>
      <c r="AV125" s="82">
        <f t="shared" si="33"/>
        <v>306.99999999999994</v>
      </c>
      <c r="AW125" s="82">
        <f t="shared" si="33"/>
        <v>306.89999999999998</v>
      </c>
      <c r="AX125" s="82">
        <f t="shared" si="33"/>
        <v>311.3</v>
      </c>
      <c r="AY125" s="82">
        <f t="shared" si="33"/>
        <v>314.19999999999993</v>
      </c>
      <c r="AZ125" s="82">
        <f t="shared" si="33"/>
        <v>311.00000000000006</v>
      </c>
      <c r="BA125" s="82">
        <f t="shared" si="33"/>
        <v>308.10000000000002</v>
      </c>
      <c r="BB125" s="82">
        <f t="shared" si="33"/>
        <v>305.79999999999995</v>
      </c>
      <c r="BC125" s="82">
        <f t="shared" si="33"/>
        <v>308.2</v>
      </c>
      <c r="BD125" s="82">
        <f t="shared" si="33"/>
        <v>309</v>
      </c>
      <c r="BE125" s="82">
        <f t="shared" si="33"/>
        <v>311.89999999999998</v>
      </c>
      <c r="BF125" s="82">
        <f t="shared" si="33"/>
        <v>322.09999999999997</v>
      </c>
      <c r="BG125" s="82">
        <f t="shared" si="33"/>
        <v>329.5</v>
      </c>
      <c r="BH125" s="82">
        <f t="shared" si="33"/>
        <v>338.2</v>
      </c>
      <c r="BI125" s="82">
        <f t="shared" si="33"/>
        <v>345.2</v>
      </c>
      <c r="BJ125" s="82">
        <f t="shared" si="33"/>
        <v>349.5</v>
      </c>
      <c r="BK125" s="83"/>
    </row>
    <row r="126" spans="1:63">
      <c r="A126" s="3" t="s">
        <v>116</v>
      </c>
    </row>
    <row r="127" spans="1:63" s="17" customFormat="1">
      <c r="A127" s="3" t="s">
        <v>117</v>
      </c>
      <c r="D127" s="17">
        <v>1960</v>
      </c>
      <c r="E127" s="17">
        <v>1961</v>
      </c>
      <c r="F127" s="17">
        <v>1962</v>
      </c>
      <c r="G127" s="17">
        <v>1963</v>
      </c>
      <c r="H127" s="17">
        <v>1964</v>
      </c>
      <c r="I127" s="17">
        <v>1965</v>
      </c>
      <c r="J127" s="17">
        <v>1966</v>
      </c>
      <c r="K127" s="17">
        <v>1967</v>
      </c>
      <c r="L127" s="17">
        <v>1968</v>
      </c>
      <c r="M127" s="17">
        <v>1969</v>
      </c>
      <c r="N127" s="17">
        <v>1970</v>
      </c>
      <c r="O127" s="17">
        <v>1971</v>
      </c>
      <c r="P127" s="17">
        <v>1972</v>
      </c>
      <c r="Q127" s="17">
        <v>1973</v>
      </c>
      <c r="R127" s="17">
        <v>1974</v>
      </c>
      <c r="S127" s="17">
        <v>1975</v>
      </c>
      <c r="T127" s="17">
        <v>1976</v>
      </c>
      <c r="U127" s="17">
        <v>1977</v>
      </c>
      <c r="V127" s="17">
        <v>1978</v>
      </c>
      <c r="W127" s="17">
        <v>1979</v>
      </c>
      <c r="X127" s="17">
        <v>1980</v>
      </c>
      <c r="Y127" s="17">
        <v>1981</v>
      </c>
      <c r="Z127" s="17">
        <v>1982</v>
      </c>
      <c r="AA127" s="17">
        <v>1983</v>
      </c>
      <c r="AB127" s="17">
        <v>1984</v>
      </c>
      <c r="AC127" s="17">
        <v>1985</v>
      </c>
      <c r="AD127" s="17">
        <v>1986</v>
      </c>
      <c r="AE127" s="17">
        <v>1987</v>
      </c>
      <c r="AF127" s="17">
        <v>1988</v>
      </c>
      <c r="AG127" s="17">
        <v>1989</v>
      </c>
      <c r="AH127" s="17">
        <v>1990</v>
      </c>
      <c r="AI127" s="17">
        <v>1991</v>
      </c>
      <c r="AJ127" s="17">
        <v>1992</v>
      </c>
      <c r="AK127" s="17">
        <v>1993</v>
      </c>
      <c r="AL127" s="17">
        <v>1994</v>
      </c>
      <c r="AM127" s="17">
        <v>1995</v>
      </c>
      <c r="AN127" s="17">
        <v>1996</v>
      </c>
      <c r="AO127" s="17">
        <v>1997</v>
      </c>
      <c r="AP127" s="17">
        <v>1998</v>
      </c>
      <c r="AQ127" s="17">
        <v>1999</v>
      </c>
      <c r="AR127" s="17">
        <v>2000</v>
      </c>
      <c r="AS127" s="17">
        <v>2001</v>
      </c>
      <c r="AT127" s="17">
        <v>2002</v>
      </c>
      <c r="AU127" s="17">
        <v>2003</v>
      </c>
      <c r="AV127" s="17">
        <v>2004</v>
      </c>
      <c r="AW127" s="17">
        <v>2005</v>
      </c>
      <c r="AX127" s="17">
        <v>2006</v>
      </c>
      <c r="AY127" s="17">
        <v>2007</v>
      </c>
      <c r="AZ127" s="17">
        <v>2008</v>
      </c>
      <c r="BA127" s="17">
        <v>2009</v>
      </c>
      <c r="BB127" s="17">
        <v>2010</v>
      </c>
      <c r="BC127" s="17">
        <v>2011</v>
      </c>
      <c r="BD127" s="17">
        <v>2012</v>
      </c>
      <c r="BE127" s="17">
        <v>2013</v>
      </c>
      <c r="BF127" s="17">
        <v>2014</v>
      </c>
      <c r="BG127" s="17">
        <v>2015</v>
      </c>
      <c r="BH127" s="17">
        <v>2016</v>
      </c>
      <c r="BI127" s="17">
        <v>2017</v>
      </c>
      <c r="BJ127" s="17">
        <v>2018</v>
      </c>
      <c r="BK127" s="84">
        <v>2019</v>
      </c>
    </row>
    <row r="128" spans="1:63">
      <c r="C128" s="75" t="s">
        <v>111</v>
      </c>
      <c r="D128" s="76">
        <f>D120*1.609</f>
        <v>68.060699999999997</v>
      </c>
      <c r="E128" s="76">
        <f t="shared" ref="E128:BJ132" si="34">E120*1.609</f>
        <v>76.910199999999989</v>
      </c>
      <c r="F128" s="76">
        <f t="shared" si="34"/>
        <v>83.668000000000006</v>
      </c>
      <c r="G128" s="76">
        <f t="shared" si="34"/>
        <v>91.391199999999998</v>
      </c>
      <c r="H128" s="76">
        <f t="shared" si="34"/>
        <v>105.71130000000001</v>
      </c>
      <c r="I128" s="76">
        <f t="shared" si="34"/>
        <v>115.848</v>
      </c>
      <c r="J128" s="76">
        <f t="shared" si="34"/>
        <v>126.46739999999998</v>
      </c>
      <c r="K128" s="76">
        <f t="shared" si="34"/>
        <v>134.99510000000001</v>
      </c>
      <c r="L128" s="76">
        <f t="shared" si="34"/>
        <v>142.7183</v>
      </c>
      <c r="M128" s="76">
        <f t="shared" si="34"/>
        <v>147.86710000000002</v>
      </c>
      <c r="N128" s="76">
        <f t="shared" si="34"/>
        <v>154.94669999999999</v>
      </c>
      <c r="O128" s="76">
        <f t="shared" si="34"/>
        <v>165.08339999999998</v>
      </c>
      <c r="P128" s="76">
        <f t="shared" si="34"/>
        <v>174.73739999999998</v>
      </c>
      <c r="Q128" s="76">
        <f t="shared" si="34"/>
        <v>183.90869999999998</v>
      </c>
      <c r="R128" s="76">
        <f t="shared" si="34"/>
        <v>179.8862</v>
      </c>
      <c r="S128" s="76">
        <f t="shared" si="34"/>
        <v>181.49519999999998</v>
      </c>
      <c r="T128" s="76">
        <f t="shared" si="34"/>
        <v>190.34469999999999</v>
      </c>
      <c r="U128" s="76">
        <f t="shared" si="34"/>
        <v>194.0454</v>
      </c>
      <c r="V128" s="76">
        <f t="shared" si="34"/>
        <v>202.41219999999998</v>
      </c>
      <c r="W128" s="76">
        <f t="shared" si="34"/>
        <v>201.4468</v>
      </c>
      <c r="X128" s="76">
        <f t="shared" si="34"/>
        <v>214.9624</v>
      </c>
      <c r="Y128" s="76">
        <f t="shared" si="34"/>
        <v>219.4676</v>
      </c>
      <c r="Z128" s="76">
        <f t="shared" si="34"/>
        <v>227.19079999999997</v>
      </c>
      <c r="AA128" s="76">
        <f t="shared" si="34"/>
        <v>231.21329999999998</v>
      </c>
      <c r="AB128" s="76">
        <f t="shared" si="34"/>
        <v>243.92439999999999</v>
      </c>
      <c r="AC128" s="76">
        <f t="shared" si="34"/>
        <v>250.52129999999997</v>
      </c>
      <c r="AD128" s="76">
        <f t="shared" si="34"/>
        <v>264.3587</v>
      </c>
      <c r="AE128" s="76">
        <f t="shared" si="34"/>
        <v>284.47120000000001</v>
      </c>
      <c r="AF128" s="76">
        <f t="shared" si="34"/>
        <v>305.38820000000004</v>
      </c>
      <c r="AG128" s="76">
        <f t="shared" si="34"/>
        <v>331.29309999999998</v>
      </c>
      <c r="AH128" s="76">
        <f t="shared" si="34"/>
        <v>335.79829999999998</v>
      </c>
      <c r="AI128" s="76">
        <f t="shared" si="34"/>
        <v>335.15469999999999</v>
      </c>
      <c r="AJ128" s="76">
        <f t="shared" si="34"/>
        <v>337.89</v>
      </c>
      <c r="AK128" s="76">
        <f t="shared" si="34"/>
        <v>338.05090000000001</v>
      </c>
      <c r="AL128" s="76">
        <f t="shared" si="34"/>
        <v>344.96960000000001</v>
      </c>
      <c r="AM128" s="76">
        <f t="shared" si="34"/>
        <v>351.0838</v>
      </c>
      <c r="AN128" s="76">
        <f t="shared" si="34"/>
        <v>359.7724</v>
      </c>
      <c r="AO128" s="76">
        <f t="shared" si="34"/>
        <v>365.72570000000002</v>
      </c>
      <c r="AP128" s="76">
        <f t="shared" si="34"/>
        <v>370.55270000000002</v>
      </c>
      <c r="AQ128" s="76">
        <f t="shared" si="34"/>
        <v>377.31049999999999</v>
      </c>
      <c r="AR128" s="76">
        <f t="shared" si="34"/>
        <v>376.02330000000001</v>
      </c>
      <c r="AS128" s="76">
        <f t="shared" si="34"/>
        <v>381.1721</v>
      </c>
      <c r="AT128" s="76">
        <f t="shared" si="34"/>
        <v>390.5043</v>
      </c>
      <c r="AU128" s="76">
        <f t="shared" si="34"/>
        <v>389.86070000000001</v>
      </c>
      <c r="AV128" s="76">
        <f t="shared" si="34"/>
        <v>394.20499999999998</v>
      </c>
      <c r="AW128" s="76">
        <f t="shared" si="34"/>
        <v>392.596</v>
      </c>
      <c r="AX128" s="76">
        <f t="shared" si="34"/>
        <v>397.26210000000003</v>
      </c>
      <c r="AY128" s="76">
        <f t="shared" si="34"/>
        <v>397.90570000000002</v>
      </c>
      <c r="AZ128" s="76">
        <f t="shared" si="34"/>
        <v>394.84860000000003</v>
      </c>
      <c r="BA128" s="76">
        <f t="shared" si="34"/>
        <v>393.88319999999999</v>
      </c>
      <c r="BB128" s="76">
        <f t="shared" si="34"/>
        <v>389.21710000000002</v>
      </c>
      <c r="BC128" s="76">
        <f t="shared" si="34"/>
        <v>393.07870000000003</v>
      </c>
      <c r="BD128" s="76">
        <f t="shared" si="34"/>
        <v>395.0095</v>
      </c>
      <c r="BE128" s="76">
        <f t="shared" si="34"/>
        <v>396.77940000000001</v>
      </c>
      <c r="BF128" s="76">
        <f t="shared" si="34"/>
        <v>407.88150000000002</v>
      </c>
      <c r="BG128" s="76">
        <f t="shared" si="34"/>
        <v>415.28290000000004</v>
      </c>
      <c r="BH128" s="76">
        <f t="shared" si="34"/>
        <v>424.61509999999998</v>
      </c>
      <c r="BI128" s="76">
        <f t="shared" si="34"/>
        <v>432.82099999999997</v>
      </c>
      <c r="BJ128" s="76">
        <f t="shared" si="34"/>
        <v>438.13069999999999</v>
      </c>
      <c r="BK128" s="85"/>
    </row>
    <row r="129" spans="2:63">
      <c r="C129" s="75" t="s">
        <v>112</v>
      </c>
      <c r="D129" s="76">
        <f>D121*1.609</f>
        <v>14.963700000000001</v>
      </c>
      <c r="E129" s="76">
        <f t="shared" si="34"/>
        <v>16.411799999999999</v>
      </c>
      <c r="F129" s="76">
        <f t="shared" si="34"/>
        <v>16.572700000000001</v>
      </c>
      <c r="G129" s="76">
        <f t="shared" si="34"/>
        <v>17.5381</v>
      </c>
      <c r="H129" s="76">
        <f t="shared" si="34"/>
        <v>17.698999999999998</v>
      </c>
      <c r="I129" s="76">
        <f t="shared" si="34"/>
        <v>18.9862</v>
      </c>
      <c r="J129" s="76">
        <f t="shared" si="34"/>
        <v>18.9862</v>
      </c>
      <c r="K129" s="76">
        <f t="shared" si="34"/>
        <v>18.664400000000001</v>
      </c>
      <c r="L129" s="76">
        <f t="shared" si="34"/>
        <v>18.825299999999999</v>
      </c>
      <c r="M129" s="76">
        <f t="shared" si="34"/>
        <v>19.308</v>
      </c>
      <c r="N129" s="76">
        <f t="shared" si="34"/>
        <v>20.273399999999999</v>
      </c>
      <c r="O129" s="76">
        <f t="shared" si="34"/>
        <v>21.238799999999998</v>
      </c>
      <c r="P129" s="76">
        <f t="shared" si="34"/>
        <v>22.2042</v>
      </c>
      <c r="Q129" s="76">
        <f t="shared" si="34"/>
        <v>23.330500000000001</v>
      </c>
      <c r="R129" s="76">
        <f t="shared" si="34"/>
        <v>23.6523</v>
      </c>
      <c r="S129" s="76">
        <f t="shared" si="34"/>
        <v>23.491399999999999</v>
      </c>
      <c r="T129" s="76">
        <f t="shared" si="34"/>
        <v>24.134999999999998</v>
      </c>
      <c r="U129" s="76">
        <f t="shared" si="34"/>
        <v>24.456799999999998</v>
      </c>
      <c r="V129" s="76">
        <f t="shared" si="34"/>
        <v>25.261299999999999</v>
      </c>
      <c r="W129" s="76">
        <f t="shared" si="34"/>
        <v>25.1004</v>
      </c>
      <c r="X129" s="76">
        <f t="shared" si="34"/>
        <v>26.065799999999999</v>
      </c>
      <c r="Y129" s="76">
        <f t="shared" si="34"/>
        <v>26.226700000000001</v>
      </c>
      <c r="Z129" s="76">
        <f t="shared" si="34"/>
        <v>26.065799999999999</v>
      </c>
      <c r="AA129" s="76">
        <f t="shared" si="34"/>
        <v>26.065799999999999</v>
      </c>
      <c r="AB129" s="76">
        <f t="shared" si="34"/>
        <v>27.513900000000003</v>
      </c>
      <c r="AC129" s="76">
        <f t="shared" si="34"/>
        <v>28.6402</v>
      </c>
      <c r="AD129" s="76">
        <f t="shared" si="34"/>
        <v>29.927400000000002</v>
      </c>
      <c r="AE129" s="76">
        <f t="shared" si="34"/>
        <v>32.662700000000001</v>
      </c>
      <c r="AF129" s="76">
        <f t="shared" si="34"/>
        <v>36.202500000000001</v>
      </c>
      <c r="AG129" s="76">
        <f t="shared" si="34"/>
        <v>39.7423</v>
      </c>
      <c r="AH129" s="76">
        <f t="shared" si="34"/>
        <v>39.903199999999998</v>
      </c>
      <c r="AI129" s="76">
        <f t="shared" si="34"/>
        <v>41.673099999999998</v>
      </c>
      <c r="AJ129" s="76">
        <f t="shared" si="34"/>
        <v>41.190400000000004</v>
      </c>
      <c r="AK129" s="76">
        <f t="shared" si="34"/>
        <v>41.5122</v>
      </c>
      <c r="AL129" s="76">
        <f t="shared" si="34"/>
        <v>43.2821</v>
      </c>
      <c r="AM129" s="76">
        <f t="shared" si="34"/>
        <v>44.569299999999998</v>
      </c>
      <c r="AN129" s="76">
        <f t="shared" si="34"/>
        <v>46.1783</v>
      </c>
      <c r="AO129" s="76">
        <f t="shared" si="34"/>
        <v>48.591799999999999</v>
      </c>
      <c r="AP129" s="76">
        <f t="shared" si="34"/>
        <v>50.8444</v>
      </c>
      <c r="AQ129" s="76">
        <f t="shared" si="34"/>
        <v>51.648900000000005</v>
      </c>
      <c r="AR129" s="76">
        <f t="shared" si="34"/>
        <v>52.131599999999999</v>
      </c>
      <c r="AS129" s="76">
        <f t="shared" si="34"/>
        <v>53.418800000000005</v>
      </c>
      <c r="AT129" s="76">
        <f t="shared" si="34"/>
        <v>54.706000000000003</v>
      </c>
      <c r="AU129" s="76">
        <f t="shared" si="34"/>
        <v>57.441300000000005</v>
      </c>
      <c r="AV129" s="76">
        <f t="shared" si="34"/>
        <v>60.176600000000001</v>
      </c>
      <c r="AW129" s="76">
        <f t="shared" si="34"/>
        <v>61.785599999999995</v>
      </c>
      <c r="AX129" s="76">
        <f t="shared" si="34"/>
        <v>64.199100000000001</v>
      </c>
      <c r="AY129" s="76">
        <f t="shared" si="34"/>
        <v>67.417099999999991</v>
      </c>
      <c r="AZ129" s="76">
        <f t="shared" si="34"/>
        <v>66.934399999999997</v>
      </c>
      <c r="BA129" s="76">
        <f t="shared" si="34"/>
        <v>65.4863</v>
      </c>
      <c r="BB129" s="76">
        <f t="shared" si="34"/>
        <v>66.6126</v>
      </c>
      <c r="BC129" s="76">
        <f t="shared" si="34"/>
        <v>67.578000000000003</v>
      </c>
      <c r="BD129" s="76">
        <f t="shared" si="34"/>
        <v>67.899799999999999</v>
      </c>
      <c r="BE129" s="76">
        <f t="shared" si="34"/>
        <v>70.474199999999996</v>
      </c>
      <c r="BF129" s="76">
        <f t="shared" si="34"/>
        <v>74.979399999999998</v>
      </c>
      <c r="BG129" s="76">
        <f t="shared" si="34"/>
        <v>78.680099999999996</v>
      </c>
      <c r="BH129" s="76">
        <f t="shared" si="34"/>
        <v>83.185299999999998</v>
      </c>
      <c r="BI129" s="76">
        <f t="shared" si="34"/>
        <v>85.920599999999993</v>
      </c>
      <c r="BJ129" s="76">
        <f t="shared" si="34"/>
        <v>87.529600000000002</v>
      </c>
      <c r="BK129" s="85"/>
    </row>
    <row r="130" spans="2:63">
      <c r="C130" s="79" t="s">
        <v>113</v>
      </c>
      <c r="D130" s="76">
        <f>D122*1.609</f>
        <v>15.285499999999999</v>
      </c>
      <c r="E130" s="76">
        <f t="shared" si="34"/>
        <v>15.446399999999999</v>
      </c>
      <c r="F130" s="76">
        <f t="shared" si="34"/>
        <v>15.446399999999999</v>
      </c>
      <c r="G130" s="76">
        <f t="shared" si="34"/>
        <v>15.7682</v>
      </c>
      <c r="H130" s="76">
        <f t="shared" si="34"/>
        <v>17.377200000000002</v>
      </c>
      <c r="I130" s="76">
        <f t="shared" si="34"/>
        <v>17.2163</v>
      </c>
      <c r="J130" s="76">
        <f t="shared" si="34"/>
        <v>17.5381</v>
      </c>
      <c r="K130" s="76">
        <f t="shared" si="34"/>
        <v>17.2163</v>
      </c>
      <c r="L130" s="76">
        <f t="shared" si="34"/>
        <v>17.5381</v>
      </c>
      <c r="M130" s="76">
        <f t="shared" si="34"/>
        <v>17.377200000000002</v>
      </c>
      <c r="N130" s="76">
        <f t="shared" si="34"/>
        <v>17.5381</v>
      </c>
      <c r="O130" s="76">
        <f t="shared" si="34"/>
        <v>18.020799999999998</v>
      </c>
      <c r="P130" s="76">
        <f t="shared" si="34"/>
        <v>18.342600000000001</v>
      </c>
      <c r="Q130" s="76">
        <f t="shared" si="34"/>
        <v>19.308</v>
      </c>
      <c r="R130" s="76">
        <f t="shared" si="34"/>
        <v>18.664400000000001</v>
      </c>
      <c r="S130" s="76">
        <f t="shared" si="34"/>
        <v>18.342600000000001</v>
      </c>
      <c r="T130" s="76">
        <f t="shared" si="34"/>
        <v>19.147100000000002</v>
      </c>
      <c r="U130" s="76">
        <f t="shared" si="34"/>
        <v>18.825299999999999</v>
      </c>
      <c r="V130" s="76">
        <f t="shared" si="34"/>
        <v>19.468899999999998</v>
      </c>
      <c r="W130" s="76">
        <f t="shared" si="34"/>
        <v>19.629799999999999</v>
      </c>
      <c r="X130" s="76">
        <f t="shared" si="34"/>
        <v>19.629799999999999</v>
      </c>
      <c r="Y130" s="76">
        <f t="shared" si="34"/>
        <v>18.825299999999999</v>
      </c>
      <c r="Z130" s="76">
        <f t="shared" si="34"/>
        <v>18.342600000000001</v>
      </c>
      <c r="AA130" s="76">
        <f t="shared" si="34"/>
        <v>18.825299999999999</v>
      </c>
      <c r="AB130" s="76">
        <f t="shared" si="34"/>
        <v>19.629799999999999</v>
      </c>
      <c r="AC130" s="76">
        <f t="shared" si="34"/>
        <v>19.629799999999999</v>
      </c>
      <c r="AD130" s="76">
        <f t="shared" si="34"/>
        <v>20.112500000000001</v>
      </c>
      <c r="AE130" s="76">
        <f t="shared" si="34"/>
        <v>22.365100000000002</v>
      </c>
      <c r="AF130" s="76">
        <f t="shared" si="34"/>
        <v>23.813200000000002</v>
      </c>
      <c r="AG130" s="76">
        <f t="shared" si="34"/>
        <v>25.4222</v>
      </c>
      <c r="AH130" s="76">
        <f t="shared" si="34"/>
        <v>24.939499999999999</v>
      </c>
      <c r="AI130" s="76">
        <f t="shared" si="34"/>
        <v>24.456799999999998</v>
      </c>
      <c r="AJ130" s="76">
        <f t="shared" si="34"/>
        <v>23.813200000000002</v>
      </c>
      <c r="AK130" s="76">
        <f t="shared" si="34"/>
        <v>24.2959</v>
      </c>
      <c r="AL130" s="76">
        <f t="shared" si="34"/>
        <v>24.778600000000001</v>
      </c>
      <c r="AM130" s="76">
        <f t="shared" si="34"/>
        <v>25.4222</v>
      </c>
      <c r="AN130" s="76">
        <f t="shared" si="34"/>
        <v>26.226700000000001</v>
      </c>
      <c r="AO130" s="76">
        <f t="shared" si="34"/>
        <v>26.8703</v>
      </c>
      <c r="AP130" s="76">
        <f t="shared" si="34"/>
        <v>27.674799999999998</v>
      </c>
      <c r="AQ130" s="76">
        <f t="shared" si="34"/>
        <v>28.157499999999999</v>
      </c>
      <c r="AR130" s="76">
        <f t="shared" si="34"/>
        <v>28.157499999999999</v>
      </c>
      <c r="AS130" s="76">
        <f t="shared" si="34"/>
        <v>27.996599999999997</v>
      </c>
      <c r="AT130" s="76">
        <f t="shared" si="34"/>
        <v>28.3184</v>
      </c>
      <c r="AU130" s="76">
        <f t="shared" si="34"/>
        <v>28.479299999999999</v>
      </c>
      <c r="AV130" s="76">
        <f t="shared" si="34"/>
        <v>29.283799999999999</v>
      </c>
      <c r="AW130" s="76">
        <f t="shared" si="34"/>
        <v>28.962</v>
      </c>
      <c r="AX130" s="76">
        <f t="shared" si="34"/>
        <v>28.962</v>
      </c>
      <c r="AY130" s="76">
        <f t="shared" si="34"/>
        <v>29.283799999999999</v>
      </c>
      <c r="AZ130" s="76">
        <f t="shared" si="34"/>
        <v>28.6402</v>
      </c>
      <c r="BA130" s="76">
        <f t="shared" si="34"/>
        <v>26.226700000000001</v>
      </c>
      <c r="BB130" s="76">
        <f t="shared" si="34"/>
        <v>26.387599999999999</v>
      </c>
      <c r="BC130" s="76">
        <f t="shared" si="34"/>
        <v>25.744</v>
      </c>
      <c r="BD130" s="76">
        <f t="shared" si="34"/>
        <v>25.1004</v>
      </c>
      <c r="BE130" s="76">
        <f t="shared" si="34"/>
        <v>25.4222</v>
      </c>
      <c r="BF130" s="76">
        <f t="shared" si="34"/>
        <v>26.065799999999999</v>
      </c>
      <c r="BG130" s="76">
        <f t="shared" si="34"/>
        <v>27.031200000000002</v>
      </c>
      <c r="BH130" s="76">
        <f t="shared" si="34"/>
        <v>27.353000000000002</v>
      </c>
      <c r="BI130" s="76">
        <f t="shared" si="34"/>
        <v>27.674799999999998</v>
      </c>
      <c r="BJ130" s="76">
        <f t="shared" si="34"/>
        <v>27.835699999999999</v>
      </c>
      <c r="BK130" s="85"/>
    </row>
    <row r="131" spans="2:63">
      <c r="C131" s="80" t="s">
        <v>114</v>
      </c>
      <c r="D131" s="76">
        <f>D123*1.609</f>
        <v>9.9757999999999996</v>
      </c>
      <c r="E131" s="76">
        <f t="shared" si="34"/>
        <v>9.6539999999999999</v>
      </c>
      <c r="F131" s="76">
        <f t="shared" si="34"/>
        <v>8.688600000000001</v>
      </c>
      <c r="G131" s="76">
        <f t="shared" si="34"/>
        <v>7.5623000000000005</v>
      </c>
      <c r="H131" s="76">
        <f t="shared" si="34"/>
        <v>7.5623000000000005</v>
      </c>
      <c r="I131" s="76">
        <f t="shared" si="34"/>
        <v>6.7578000000000005</v>
      </c>
      <c r="J131" s="76">
        <f t="shared" si="34"/>
        <v>5.9533000000000005</v>
      </c>
      <c r="K131" s="76">
        <f t="shared" si="34"/>
        <v>5.1488000000000005</v>
      </c>
      <c r="L131" s="76">
        <f t="shared" si="34"/>
        <v>4.6661000000000001</v>
      </c>
      <c r="M131" s="76">
        <f t="shared" si="34"/>
        <v>4.1833999999999998</v>
      </c>
      <c r="N131" s="76">
        <f t="shared" si="34"/>
        <v>4.0225</v>
      </c>
      <c r="O131" s="76">
        <f t="shared" si="34"/>
        <v>3.8615999999999997</v>
      </c>
      <c r="P131" s="76">
        <f t="shared" si="34"/>
        <v>3.7006999999999999</v>
      </c>
      <c r="Q131" s="76">
        <f t="shared" si="34"/>
        <v>3.8615999999999997</v>
      </c>
      <c r="R131" s="76">
        <f t="shared" si="34"/>
        <v>4.1833999999999998</v>
      </c>
      <c r="S131" s="76">
        <f t="shared" si="34"/>
        <v>5.1488000000000005</v>
      </c>
      <c r="T131" s="76">
        <f t="shared" si="34"/>
        <v>6.2751000000000001</v>
      </c>
      <c r="U131" s="76">
        <f t="shared" si="34"/>
        <v>6.2751000000000001</v>
      </c>
      <c r="V131" s="76">
        <f t="shared" si="34"/>
        <v>6.1141999999999994</v>
      </c>
      <c r="W131" s="76">
        <f t="shared" si="34"/>
        <v>6.4359999999999999</v>
      </c>
      <c r="X131" s="76">
        <f t="shared" si="34"/>
        <v>7.7231999999999994</v>
      </c>
      <c r="Y131" s="76">
        <f t="shared" si="34"/>
        <v>8.849499999999999</v>
      </c>
      <c r="Z131" s="76">
        <f t="shared" si="34"/>
        <v>9.1713000000000005</v>
      </c>
      <c r="AA131" s="76">
        <f t="shared" si="34"/>
        <v>8.3667999999999996</v>
      </c>
      <c r="AB131" s="76">
        <f t="shared" si="34"/>
        <v>8.0449999999999999</v>
      </c>
      <c r="AC131" s="76">
        <f t="shared" si="34"/>
        <v>7.4013999999999998</v>
      </c>
      <c r="AD131" s="76">
        <f t="shared" si="34"/>
        <v>7.0796000000000001</v>
      </c>
      <c r="AE131" s="76">
        <f t="shared" si="34"/>
        <v>6.7578000000000005</v>
      </c>
      <c r="AF131" s="76">
        <f t="shared" si="34"/>
        <v>5.9533000000000005</v>
      </c>
      <c r="AG131" s="76">
        <f t="shared" si="34"/>
        <v>5.9533000000000005</v>
      </c>
      <c r="AH131" s="76">
        <f t="shared" si="34"/>
        <v>5.6315</v>
      </c>
      <c r="AI131" s="76">
        <f t="shared" si="34"/>
        <v>5.4706000000000001</v>
      </c>
      <c r="AJ131" s="76">
        <f t="shared" si="34"/>
        <v>4.5051999999999994</v>
      </c>
      <c r="AK131" s="76">
        <f t="shared" si="34"/>
        <v>3.7006999999999999</v>
      </c>
      <c r="AL131" s="76">
        <f t="shared" si="34"/>
        <v>3.7006999999999999</v>
      </c>
      <c r="AM131" s="76">
        <f t="shared" si="34"/>
        <v>3.7006999999999999</v>
      </c>
      <c r="AN131" s="76">
        <f t="shared" si="34"/>
        <v>3.7006999999999999</v>
      </c>
      <c r="AO131" s="76">
        <f t="shared" si="34"/>
        <v>4.0225</v>
      </c>
      <c r="AP131" s="76">
        <f t="shared" si="34"/>
        <v>4.1833999999999998</v>
      </c>
      <c r="AQ131" s="76">
        <f t="shared" si="34"/>
        <v>4.5051999999999994</v>
      </c>
      <c r="AR131" s="76">
        <f t="shared" si="34"/>
        <v>4.5051999999999994</v>
      </c>
      <c r="AS131" s="76">
        <f t="shared" si="34"/>
        <v>4.827</v>
      </c>
      <c r="AT131" s="76">
        <f t="shared" si="34"/>
        <v>4.9878999999999998</v>
      </c>
      <c r="AU131" s="76">
        <f t="shared" si="34"/>
        <v>5.4706000000000001</v>
      </c>
      <c r="AV131" s="76">
        <f t="shared" si="34"/>
        <v>5.1488000000000005</v>
      </c>
      <c r="AW131" s="76">
        <f t="shared" si="34"/>
        <v>5.3096999999999994</v>
      </c>
      <c r="AX131" s="76">
        <f t="shared" si="34"/>
        <v>5.1488000000000005</v>
      </c>
      <c r="AY131" s="76">
        <f t="shared" si="34"/>
        <v>5.4706000000000001</v>
      </c>
      <c r="AZ131" s="76">
        <f t="shared" si="34"/>
        <v>4.9878999999999998</v>
      </c>
      <c r="BA131" s="76">
        <f t="shared" si="34"/>
        <v>5.1488000000000005</v>
      </c>
      <c r="BB131" s="76">
        <f t="shared" si="34"/>
        <v>4.6661000000000001</v>
      </c>
      <c r="BC131" s="76">
        <f t="shared" si="34"/>
        <v>4.6661000000000001</v>
      </c>
      <c r="BD131" s="76">
        <f t="shared" si="34"/>
        <v>4.6661000000000001</v>
      </c>
      <c r="BE131" s="76">
        <f t="shared" si="34"/>
        <v>4.5051999999999994</v>
      </c>
      <c r="BF131" s="76">
        <f t="shared" si="34"/>
        <v>4.6661000000000001</v>
      </c>
      <c r="BG131" s="76">
        <f t="shared" si="34"/>
        <v>4.6661000000000001</v>
      </c>
      <c r="BH131" s="76">
        <f t="shared" si="34"/>
        <v>4.827</v>
      </c>
      <c r="BI131" s="76">
        <f t="shared" si="34"/>
        <v>4.827</v>
      </c>
      <c r="BJ131" s="76">
        <f t="shared" si="34"/>
        <v>4.827</v>
      </c>
      <c r="BK131" s="85"/>
    </row>
    <row r="132" spans="2:63">
      <c r="C132" s="80" t="s">
        <v>115</v>
      </c>
      <c r="D132" s="76">
        <f>D124*1.609</f>
        <v>3.8615999999999997</v>
      </c>
      <c r="E132" s="76">
        <f t="shared" si="34"/>
        <v>4.0225</v>
      </c>
      <c r="F132" s="76">
        <f t="shared" si="34"/>
        <v>4.0225</v>
      </c>
      <c r="G132" s="76">
        <f t="shared" si="34"/>
        <v>4.0225</v>
      </c>
      <c r="H132" s="76">
        <f t="shared" si="34"/>
        <v>4.0225</v>
      </c>
      <c r="I132" s="76">
        <f t="shared" si="34"/>
        <v>3.8615999999999997</v>
      </c>
      <c r="J132" s="76">
        <f t="shared" si="34"/>
        <v>3.8615999999999997</v>
      </c>
      <c r="K132" s="76">
        <f t="shared" si="34"/>
        <v>3.8615999999999997</v>
      </c>
      <c r="L132" s="76">
        <f t="shared" si="34"/>
        <v>3.8615999999999997</v>
      </c>
      <c r="M132" s="76">
        <f t="shared" si="34"/>
        <v>3.8615999999999997</v>
      </c>
      <c r="N132" s="76">
        <f t="shared" si="34"/>
        <v>3.5398000000000001</v>
      </c>
      <c r="O132" s="76">
        <f t="shared" si="34"/>
        <v>3.5398000000000001</v>
      </c>
      <c r="P132" s="76">
        <f t="shared" si="34"/>
        <v>3.5398000000000001</v>
      </c>
      <c r="Q132" s="76">
        <f t="shared" si="34"/>
        <v>3.5398000000000001</v>
      </c>
      <c r="R132" s="76">
        <f t="shared" si="34"/>
        <v>3.3789000000000002</v>
      </c>
      <c r="S132" s="76">
        <f t="shared" si="34"/>
        <v>3.218</v>
      </c>
      <c r="T132" s="76">
        <f t="shared" si="34"/>
        <v>3.3789000000000002</v>
      </c>
      <c r="U132" s="76">
        <f t="shared" si="34"/>
        <v>3.218</v>
      </c>
      <c r="V132" s="76">
        <f t="shared" si="34"/>
        <v>3.3789000000000002</v>
      </c>
      <c r="W132" s="76">
        <f t="shared" si="34"/>
        <v>3.3789000000000002</v>
      </c>
      <c r="X132" s="76">
        <f t="shared" si="34"/>
        <v>3.5398000000000001</v>
      </c>
      <c r="Y132" s="76">
        <f t="shared" si="34"/>
        <v>3.5398000000000001</v>
      </c>
      <c r="Z132" s="76">
        <f t="shared" si="34"/>
        <v>3.5398000000000001</v>
      </c>
      <c r="AA132" s="76">
        <f t="shared" si="34"/>
        <v>3.7006999999999999</v>
      </c>
      <c r="AB132" s="76">
        <f t="shared" ref="AB132:BJ132" si="35">AB124*1.609</f>
        <v>3.8615999999999997</v>
      </c>
      <c r="AC132" s="76">
        <f t="shared" si="35"/>
        <v>3.7006999999999999</v>
      </c>
      <c r="AD132" s="76">
        <f t="shared" si="35"/>
        <v>3.7006999999999999</v>
      </c>
      <c r="AE132" s="76">
        <f t="shared" si="35"/>
        <v>4.0225</v>
      </c>
      <c r="AF132" s="76">
        <f t="shared" si="35"/>
        <v>4.3443000000000005</v>
      </c>
      <c r="AG132" s="76">
        <f t="shared" si="35"/>
        <v>4.5051999999999994</v>
      </c>
      <c r="AH132" s="76">
        <f t="shared" si="35"/>
        <v>4.6661000000000001</v>
      </c>
      <c r="AI132" s="76">
        <f t="shared" si="35"/>
        <v>4.827</v>
      </c>
      <c r="AJ132" s="76">
        <f t="shared" si="35"/>
        <v>4.6661000000000001</v>
      </c>
      <c r="AK132" s="76">
        <f t="shared" si="35"/>
        <v>4.6661000000000001</v>
      </c>
      <c r="AL132" s="76">
        <f t="shared" si="35"/>
        <v>4.6661000000000001</v>
      </c>
      <c r="AM132" s="76">
        <f t="shared" si="35"/>
        <v>4.827</v>
      </c>
      <c r="AN132" s="76">
        <f t="shared" si="35"/>
        <v>4.9878999999999998</v>
      </c>
      <c r="AO132" s="76">
        <f t="shared" si="35"/>
        <v>5.1488000000000005</v>
      </c>
      <c r="AP132" s="76">
        <f t="shared" si="35"/>
        <v>5.3096999999999994</v>
      </c>
      <c r="AQ132" s="76">
        <f t="shared" si="35"/>
        <v>5.3096999999999994</v>
      </c>
      <c r="AR132" s="76">
        <f t="shared" si="35"/>
        <v>5.1488000000000005</v>
      </c>
      <c r="AS132" s="76">
        <f t="shared" si="35"/>
        <v>5.1488000000000005</v>
      </c>
      <c r="AT132" s="76">
        <f t="shared" si="35"/>
        <v>5.1488000000000005</v>
      </c>
      <c r="AU132" s="76">
        <f t="shared" si="35"/>
        <v>5.3096999999999994</v>
      </c>
      <c r="AV132" s="76">
        <f t="shared" si="35"/>
        <v>5.1488000000000005</v>
      </c>
      <c r="AW132" s="76">
        <f t="shared" si="35"/>
        <v>5.1488000000000005</v>
      </c>
      <c r="AX132" s="76">
        <f t="shared" si="35"/>
        <v>5.3096999999999994</v>
      </c>
      <c r="AY132" s="76">
        <f t="shared" si="35"/>
        <v>5.4706000000000001</v>
      </c>
      <c r="AZ132" s="76">
        <f t="shared" si="35"/>
        <v>4.9878999999999998</v>
      </c>
      <c r="BA132" s="76">
        <f t="shared" si="35"/>
        <v>4.9878999999999998</v>
      </c>
      <c r="BB132" s="76">
        <f t="shared" si="35"/>
        <v>5.1488000000000005</v>
      </c>
      <c r="BC132" s="76">
        <f t="shared" si="35"/>
        <v>4.827</v>
      </c>
      <c r="BD132" s="76">
        <f t="shared" si="35"/>
        <v>4.5051999999999994</v>
      </c>
      <c r="BE132" s="76">
        <f t="shared" si="35"/>
        <v>4.6661000000000001</v>
      </c>
      <c r="BF132" s="76">
        <f t="shared" si="35"/>
        <v>4.6661000000000001</v>
      </c>
      <c r="BG132" s="76">
        <f t="shared" si="35"/>
        <v>4.5051999999999994</v>
      </c>
      <c r="BH132" s="76">
        <f t="shared" si="35"/>
        <v>4.1833999999999998</v>
      </c>
      <c r="BI132" s="76">
        <f t="shared" si="35"/>
        <v>4.1833999999999998</v>
      </c>
      <c r="BJ132" s="76">
        <f t="shared" si="35"/>
        <v>4.0225</v>
      </c>
      <c r="BK132" s="85"/>
    </row>
    <row r="133" spans="2:63" s="17" customFormat="1">
      <c r="C133" s="81" t="s">
        <v>104</v>
      </c>
      <c r="D133" s="82">
        <f>SUM(D128:D132)</f>
        <v>112.14729999999999</v>
      </c>
      <c r="E133" s="82">
        <f t="shared" ref="E133:BJ133" si="36">SUM(E128:E132)</f>
        <v>122.44489999999998</v>
      </c>
      <c r="F133" s="82">
        <f t="shared" si="36"/>
        <v>128.3982</v>
      </c>
      <c r="G133" s="82">
        <f t="shared" si="36"/>
        <v>136.28229999999999</v>
      </c>
      <c r="H133" s="82">
        <f t="shared" si="36"/>
        <v>152.37230000000002</v>
      </c>
      <c r="I133" s="82">
        <f t="shared" si="36"/>
        <v>162.66990000000001</v>
      </c>
      <c r="J133" s="82">
        <f t="shared" si="36"/>
        <v>172.8066</v>
      </c>
      <c r="K133" s="82">
        <f t="shared" si="36"/>
        <v>179.8862</v>
      </c>
      <c r="L133" s="82">
        <f t="shared" si="36"/>
        <v>187.60940000000002</v>
      </c>
      <c r="M133" s="82">
        <f t="shared" si="36"/>
        <v>192.59730000000002</v>
      </c>
      <c r="N133" s="82">
        <f t="shared" si="36"/>
        <v>200.32050000000001</v>
      </c>
      <c r="O133" s="82">
        <f t="shared" si="36"/>
        <v>211.74440000000001</v>
      </c>
      <c r="P133" s="82">
        <f t="shared" si="36"/>
        <v>222.52470000000002</v>
      </c>
      <c r="Q133" s="82">
        <f t="shared" si="36"/>
        <v>233.9486</v>
      </c>
      <c r="R133" s="82">
        <f t="shared" si="36"/>
        <v>229.76519999999999</v>
      </c>
      <c r="S133" s="82">
        <f t="shared" si="36"/>
        <v>231.69599999999997</v>
      </c>
      <c r="T133" s="82">
        <f t="shared" si="36"/>
        <v>243.28079999999997</v>
      </c>
      <c r="U133" s="82">
        <f t="shared" si="36"/>
        <v>246.82059999999998</v>
      </c>
      <c r="V133" s="82">
        <f t="shared" si="36"/>
        <v>256.63549999999998</v>
      </c>
      <c r="W133" s="82">
        <f t="shared" si="36"/>
        <v>255.99189999999999</v>
      </c>
      <c r="X133" s="82">
        <f t="shared" si="36"/>
        <v>271.92100000000005</v>
      </c>
      <c r="Y133" s="82">
        <f t="shared" si="36"/>
        <v>276.90889999999996</v>
      </c>
      <c r="Z133" s="82">
        <f t="shared" si="36"/>
        <v>284.31029999999993</v>
      </c>
      <c r="AA133" s="82">
        <f t="shared" si="36"/>
        <v>288.17189999999994</v>
      </c>
      <c r="AB133" s="82">
        <f t="shared" si="36"/>
        <v>302.97469999999998</v>
      </c>
      <c r="AC133" s="82">
        <f t="shared" si="36"/>
        <v>309.89339999999999</v>
      </c>
      <c r="AD133" s="82">
        <f t="shared" si="36"/>
        <v>325.1789</v>
      </c>
      <c r="AE133" s="82">
        <f t="shared" si="36"/>
        <v>350.27929999999998</v>
      </c>
      <c r="AF133" s="82">
        <f t="shared" si="36"/>
        <v>375.70150000000001</v>
      </c>
      <c r="AG133" s="82">
        <f t="shared" si="36"/>
        <v>406.91609999999997</v>
      </c>
      <c r="AH133" s="82">
        <f t="shared" si="36"/>
        <v>410.93860000000006</v>
      </c>
      <c r="AI133" s="82">
        <f t="shared" si="36"/>
        <v>411.58219999999994</v>
      </c>
      <c r="AJ133" s="82">
        <f t="shared" si="36"/>
        <v>412.06489999999997</v>
      </c>
      <c r="AK133" s="82">
        <f t="shared" si="36"/>
        <v>412.22580000000005</v>
      </c>
      <c r="AL133" s="82">
        <f t="shared" si="36"/>
        <v>421.39710000000002</v>
      </c>
      <c r="AM133" s="82">
        <f t="shared" si="36"/>
        <v>429.60299999999995</v>
      </c>
      <c r="AN133" s="82">
        <f t="shared" si="36"/>
        <v>440.86599999999999</v>
      </c>
      <c r="AO133" s="82">
        <f t="shared" si="36"/>
        <v>450.35909999999996</v>
      </c>
      <c r="AP133" s="82">
        <f t="shared" si="36"/>
        <v>458.56500000000005</v>
      </c>
      <c r="AQ133" s="82">
        <f t="shared" si="36"/>
        <v>466.93180000000001</v>
      </c>
      <c r="AR133" s="82">
        <f t="shared" si="36"/>
        <v>465.96640000000002</v>
      </c>
      <c r="AS133" s="82">
        <f t="shared" si="36"/>
        <v>472.56330000000003</v>
      </c>
      <c r="AT133" s="82">
        <f t="shared" si="36"/>
        <v>483.66540000000003</v>
      </c>
      <c r="AU133" s="82">
        <f t="shared" si="36"/>
        <v>486.56160000000006</v>
      </c>
      <c r="AV133" s="82">
        <f t="shared" si="36"/>
        <v>493.96299999999997</v>
      </c>
      <c r="AW133" s="82">
        <f t="shared" si="36"/>
        <v>493.8021</v>
      </c>
      <c r="AX133" s="82">
        <f t="shared" si="36"/>
        <v>500.88170000000002</v>
      </c>
      <c r="AY133" s="82">
        <f t="shared" si="36"/>
        <v>505.5478</v>
      </c>
      <c r="AZ133" s="82">
        <f t="shared" si="36"/>
        <v>500.39900000000006</v>
      </c>
      <c r="BA133" s="82">
        <f t="shared" si="36"/>
        <v>495.73290000000003</v>
      </c>
      <c r="BB133" s="82">
        <f t="shared" si="36"/>
        <v>492.03220000000005</v>
      </c>
      <c r="BC133" s="82">
        <f t="shared" si="36"/>
        <v>495.89380000000006</v>
      </c>
      <c r="BD133" s="82">
        <f t="shared" si="36"/>
        <v>497.18099999999998</v>
      </c>
      <c r="BE133" s="82">
        <f t="shared" si="36"/>
        <v>501.84709999999995</v>
      </c>
      <c r="BF133" s="82">
        <f t="shared" si="36"/>
        <v>518.25890000000004</v>
      </c>
      <c r="BG133" s="82">
        <f t="shared" si="36"/>
        <v>530.16549999999995</v>
      </c>
      <c r="BH133" s="82">
        <f t="shared" si="36"/>
        <v>544.16379999999992</v>
      </c>
      <c r="BI133" s="82">
        <f t="shared" si="36"/>
        <v>555.42679999999996</v>
      </c>
      <c r="BJ133" s="82">
        <f t="shared" si="36"/>
        <v>562.34550000000002</v>
      </c>
      <c r="BK133" s="86"/>
    </row>
    <row r="134" spans="2:63" s="17" customFormat="1"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7"/>
      <c r="BK134" s="18"/>
    </row>
    <row r="135" spans="2:63">
      <c r="C135" s="20"/>
      <c r="D135" s="17">
        <v>1960</v>
      </c>
      <c r="E135" s="17">
        <v>1961</v>
      </c>
      <c r="F135" s="17">
        <v>1962</v>
      </c>
      <c r="G135" s="17">
        <v>1963</v>
      </c>
      <c r="H135" s="17">
        <v>1964</v>
      </c>
      <c r="I135" s="17">
        <v>1965</v>
      </c>
      <c r="J135" s="17">
        <v>1966</v>
      </c>
      <c r="K135" s="17">
        <v>1967</v>
      </c>
      <c r="L135" s="17">
        <v>1968</v>
      </c>
      <c r="M135" s="17">
        <v>1969</v>
      </c>
      <c r="N135" s="17">
        <v>1970</v>
      </c>
      <c r="O135" s="17">
        <v>1971</v>
      </c>
      <c r="P135" s="17">
        <v>1972</v>
      </c>
      <c r="Q135" s="17">
        <v>1973</v>
      </c>
      <c r="R135" s="17">
        <v>1974</v>
      </c>
      <c r="S135" s="17">
        <v>1975</v>
      </c>
      <c r="T135" s="17">
        <v>1976</v>
      </c>
      <c r="U135" s="17">
        <v>1977</v>
      </c>
      <c r="V135" s="17">
        <v>1978</v>
      </c>
      <c r="W135" s="17">
        <v>1979</v>
      </c>
      <c r="X135" s="17">
        <v>1980</v>
      </c>
      <c r="Y135" s="17">
        <v>1981</v>
      </c>
      <c r="Z135" s="17">
        <v>1982</v>
      </c>
      <c r="AA135" s="17">
        <v>1983</v>
      </c>
      <c r="AB135" s="17">
        <v>1984</v>
      </c>
      <c r="AC135" s="17">
        <v>1985</v>
      </c>
      <c r="AD135" s="17">
        <v>1986</v>
      </c>
      <c r="AE135" s="17">
        <v>1987</v>
      </c>
      <c r="AF135" s="17">
        <v>1988</v>
      </c>
      <c r="AG135" s="17">
        <v>1989</v>
      </c>
      <c r="AH135" s="17">
        <v>1990</v>
      </c>
      <c r="AI135" s="17">
        <v>1991</v>
      </c>
      <c r="AJ135" s="17">
        <v>1992</v>
      </c>
      <c r="AK135" s="17">
        <v>1993</v>
      </c>
      <c r="AL135" s="17">
        <v>1994</v>
      </c>
      <c r="AM135" s="17">
        <v>1995</v>
      </c>
      <c r="AN135" s="17">
        <v>1996</v>
      </c>
      <c r="AO135" s="17">
        <v>1997</v>
      </c>
      <c r="AP135" s="17">
        <v>1998</v>
      </c>
      <c r="AQ135" s="17">
        <v>1999</v>
      </c>
      <c r="AR135" s="17">
        <v>2000</v>
      </c>
      <c r="AS135" s="17">
        <v>2001</v>
      </c>
      <c r="AT135" s="17">
        <v>2002</v>
      </c>
      <c r="AU135" s="17">
        <v>2003</v>
      </c>
      <c r="AV135" s="17">
        <v>2004</v>
      </c>
      <c r="AW135" s="17">
        <v>2005</v>
      </c>
      <c r="AX135" s="17">
        <v>2006</v>
      </c>
      <c r="AY135" s="17">
        <v>2007</v>
      </c>
      <c r="AZ135" s="17">
        <v>2008</v>
      </c>
      <c r="BA135" s="17">
        <v>2009</v>
      </c>
      <c r="BB135" s="17">
        <v>2010</v>
      </c>
      <c r="BC135" s="17">
        <v>2011</v>
      </c>
      <c r="BD135" s="17">
        <v>2012</v>
      </c>
      <c r="BE135" s="17">
        <v>2013</v>
      </c>
      <c r="BF135" s="17">
        <v>2014</v>
      </c>
      <c r="BG135" s="17">
        <v>2015</v>
      </c>
      <c r="BH135" s="17">
        <v>2016</v>
      </c>
      <c r="BI135" s="17">
        <v>2017</v>
      </c>
      <c r="BJ135" s="17">
        <v>2018</v>
      </c>
      <c r="BK135" s="18">
        <v>2019</v>
      </c>
    </row>
    <row r="136" spans="2:63" s="17" customFormat="1">
      <c r="B136" s="17" t="s">
        <v>118</v>
      </c>
      <c r="C136" s="17" t="s">
        <v>119</v>
      </c>
      <c r="D136" s="88">
        <f>D191</f>
        <v>18.419263685956835</v>
      </c>
      <c r="E136" s="88">
        <f t="shared" ref="E136:BK137" si="37">E191</f>
        <v>18.439436885244504</v>
      </c>
      <c r="F136" s="88">
        <f t="shared" si="37"/>
        <v>18.45963217868189</v>
      </c>
      <c r="G136" s="88">
        <f t="shared" si="37"/>
        <v>18.479849590467005</v>
      </c>
      <c r="H136" s="88">
        <f t="shared" si="37"/>
        <v>18.500089144824376</v>
      </c>
      <c r="I136" s="88">
        <f t="shared" si="37"/>
        <v>18.52035086600505</v>
      </c>
      <c r="J136" s="88">
        <f t="shared" si="37"/>
        <v>18.540634778286645</v>
      </c>
      <c r="K136" s="88">
        <f t="shared" si="37"/>
        <v>18.560940905973357</v>
      </c>
      <c r="L136" s="88">
        <f t="shared" si="37"/>
        <v>18.581269273396011</v>
      </c>
      <c r="M136" s="88">
        <f t="shared" si="37"/>
        <v>18.60161990491207</v>
      </c>
      <c r="N136" s="88">
        <f t="shared" si="37"/>
        <v>18.621992824905686</v>
      </c>
      <c r="O136" s="88">
        <f t="shared" si="37"/>
        <v>18.757042674793492</v>
      </c>
      <c r="P136" s="88">
        <f t="shared" si="37"/>
        <v>18.571230594429597</v>
      </c>
      <c r="Q136" s="88">
        <f t="shared" si="37"/>
        <v>18.316606523136212</v>
      </c>
      <c r="R136" s="88">
        <f t="shared" si="37"/>
        <v>18.50194690100232</v>
      </c>
      <c r="S136" s="88">
        <f t="shared" si="37"/>
        <v>19.078681954666806</v>
      </c>
      <c r="T136" s="88">
        <f t="shared" si="37"/>
        <v>19.116247561760403</v>
      </c>
      <c r="U136" s="88">
        <f t="shared" si="37"/>
        <v>18.913312806810609</v>
      </c>
      <c r="V136" s="88">
        <f t="shared" si="37"/>
        <v>18.559742545893577</v>
      </c>
      <c r="W136" s="88">
        <f t="shared" si="37"/>
        <v>18.127460775445787</v>
      </c>
      <c r="X136" s="88">
        <f t="shared" si="37"/>
        <v>18.826953274751638</v>
      </c>
      <c r="Y136" s="88">
        <f t="shared" si="37"/>
        <v>19.666091864015687</v>
      </c>
      <c r="Z136" s="88">
        <f t="shared" si="37"/>
        <v>19.68819640511051</v>
      </c>
      <c r="AA136" s="88">
        <f t="shared" si="37"/>
        <v>19.610951801334956</v>
      </c>
      <c r="AB136" s="88">
        <f t="shared" si="37"/>
        <v>19.98379507856944</v>
      </c>
      <c r="AC136" s="88">
        <f t="shared" si="37"/>
        <v>20.286372963439387</v>
      </c>
      <c r="AD136" s="88">
        <f t="shared" si="37"/>
        <v>20.279212269510353</v>
      </c>
      <c r="AE136" s="88">
        <f t="shared" si="37"/>
        <v>20.986669424774043</v>
      </c>
      <c r="AF136" s="88">
        <f t="shared" si="37"/>
        <v>21.365157126714291</v>
      </c>
      <c r="AG136" s="88">
        <f t="shared" si="37"/>
        <v>22.463654512202812</v>
      </c>
      <c r="AH136" s="88">
        <f t="shared" si="37"/>
        <v>21.584384786190739</v>
      </c>
      <c r="AI136" s="88">
        <f t="shared" si="37"/>
        <v>21.58800320066711</v>
      </c>
      <c r="AJ136" s="88">
        <f t="shared" si="37"/>
        <v>21.241794090439988</v>
      </c>
      <c r="AK136" s="88">
        <f t="shared" si="37"/>
        <v>20.937520348552837</v>
      </c>
      <c r="AL136" s="88">
        <f t="shared" si="37"/>
        <v>21.461874233757271</v>
      </c>
      <c r="AM136" s="88">
        <f t="shared" si="37"/>
        <v>22.03645507415257</v>
      </c>
      <c r="AN136" s="88">
        <f t="shared" si="37"/>
        <v>21.627821137594371</v>
      </c>
      <c r="AO136" s="88">
        <f t="shared" si="37"/>
        <v>21.725409174488831</v>
      </c>
      <c r="AP136" s="88">
        <f t="shared" si="37"/>
        <v>22.18786910573942</v>
      </c>
      <c r="AQ136" s="88">
        <f t="shared" si="37"/>
        <v>22.122605917303186</v>
      </c>
      <c r="AR136" s="88">
        <f t="shared" si="37"/>
        <v>22.080430683179507</v>
      </c>
      <c r="AS136" s="88">
        <f t="shared" si="37"/>
        <v>22.343340472766766</v>
      </c>
      <c r="AT136" s="88">
        <f t="shared" si="37"/>
        <v>22.360749251836772</v>
      </c>
      <c r="AU136" s="88">
        <f t="shared" si="37"/>
        <v>22.601934891250128</v>
      </c>
      <c r="AV136" s="88">
        <f t="shared" si="37"/>
        <v>22.652432242956866</v>
      </c>
      <c r="AW136" s="88">
        <f t="shared" si="37"/>
        <v>22.480788868282598</v>
      </c>
      <c r="AX136" s="88">
        <f t="shared" si="37"/>
        <v>22.819434540554539</v>
      </c>
      <c r="AY136" s="88">
        <f t="shared" si="37"/>
        <v>22.722290799133809</v>
      </c>
      <c r="AZ136" s="88">
        <f t="shared" si="37"/>
        <v>23.145238960466536</v>
      </c>
      <c r="BA136" s="88">
        <f t="shared" si="37"/>
        <v>23.766039855249421</v>
      </c>
      <c r="BB136" s="88">
        <f t="shared" si="37"/>
        <v>24.19222833033977</v>
      </c>
      <c r="BC136" s="88">
        <f t="shared" si="37"/>
        <v>24.665870464460905</v>
      </c>
      <c r="BD136" s="88">
        <f t="shared" si="37"/>
        <v>24.86262354700882</v>
      </c>
      <c r="BE136" s="88">
        <f t="shared" si="37"/>
        <v>25.392045865047844</v>
      </c>
      <c r="BF136" s="88">
        <f t="shared" si="37"/>
        <v>26.005106414245706</v>
      </c>
      <c r="BG136" s="88">
        <f t="shared" si="37"/>
        <v>26.271171472158613</v>
      </c>
      <c r="BH136" s="88">
        <f t="shared" si="37"/>
        <v>26.494086039097528</v>
      </c>
      <c r="BI136" s="88">
        <f t="shared" si="37"/>
        <v>27.045090164760488</v>
      </c>
      <c r="BJ136" s="88">
        <f t="shared" si="37"/>
        <v>27.869758302924698</v>
      </c>
      <c r="BK136" s="88">
        <f t="shared" si="37"/>
        <v>0</v>
      </c>
    </row>
    <row r="137" spans="2:63" s="17" customFormat="1">
      <c r="B137" s="17" t="s">
        <v>118</v>
      </c>
      <c r="C137" s="17" t="s">
        <v>120</v>
      </c>
      <c r="D137" s="88">
        <f>D192</f>
        <v>23.023653428644913</v>
      </c>
      <c r="E137" s="88">
        <f t="shared" si="37"/>
        <v>23.048866801743902</v>
      </c>
      <c r="F137" s="88">
        <f t="shared" si="37"/>
        <v>23.07410778619419</v>
      </c>
      <c r="G137" s="88">
        <f t="shared" si="37"/>
        <v>23.099376412233173</v>
      </c>
      <c r="H137" s="88">
        <f t="shared" si="37"/>
        <v>23.12467271013136</v>
      </c>
      <c r="I137" s="88">
        <f t="shared" si="37"/>
        <v>23.149996710192408</v>
      </c>
      <c r="J137" s="88">
        <f t="shared" si="37"/>
        <v>23.175348442753158</v>
      </c>
      <c r="K137" s="88">
        <f t="shared" si="37"/>
        <v>23.200727938183679</v>
      </c>
      <c r="L137" s="88">
        <f t="shared" si="37"/>
        <v>23.226135226887294</v>
      </c>
      <c r="M137" s="88">
        <f t="shared" si="37"/>
        <v>23.251570339300621</v>
      </c>
      <c r="N137" s="88">
        <f t="shared" si="37"/>
        <v>23.27703330589361</v>
      </c>
      <c r="O137" s="88">
        <f t="shared" si="37"/>
        <v>23.445827399166788</v>
      </c>
      <c r="P137" s="88">
        <f t="shared" si="37"/>
        <v>23.213576886480769</v>
      </c>
      <c r="Q137" s="88">
        <f t="shared" si="37"/>
        <v>22.895277748393806</v>
      </c>
      <c r="R137" s="88">
        <f t="shared" si="37"/>
        <v>23.126951155089962</v>
      </c>
      <c r="S137" s="88">
        <f t="shared" si="37"/>
        <v>23.847830206107091</v>
      </c>
      <c r="T137" s="88">
        <f t="shared" si="37"/>
        <v>23.894800766590958</v>
      </c>
      <c r="U137" s="88">
        <f t="shared" si="37"/>
        <v>23.641113381440114</v>
      </c>
      <c r="V137" s="88">
        <f t="shared" si="37"/>
        <v>23.199190856491384</v>
      </c>
      <c r="W137" s="88">
        <f t="shared" si="37"/>
        <v>22.658857228338718</v>
      </c>
      <c r="X137" s="88">
        <f t="shared" si="37"/>
        <v>23.53320167899912</v>
      </c>
      <c r="Y137" s="88">
        <f t="shared" si="37"/>
        <v>24.58208563884984</v>
      </c>
      <c r="Z137" s="88">
        <f t="shared" si="37"/>
        <v>24.609661441433154</v>
      </c>
      <c r="AA137" s="88">
        <f t="shared" si="37"/>
        <v>24.513054740000396</v>
      </c>
      <c r="AB137" s="88">
        <f t="shared" si="37"/>
        <v>24.97901025138092</v>
      </c>
      <c r="AC137" s="88">
        <f t="shared" si="37"/>
        <v>25.357121732814132</v>
      </c>
      <c r="AD137" s="88">
        <f t="shared" si="37"/>
        <v>25.348023193248896</v>
      </c>
      <c r="AE137" s="88">
        <f t="shared" si="37"/>
        <v>26.231246449596938</v>
      </c>
      <c r="AF137" s="88">
        <f t="shared" si="37"/>
        <v>26.703694550098049</v>
      </c>
      <c r="AG137" s="88">
        <f t="shared" si="37"/>
        <v>28.074114187472453</v>
      </c>
      <c r="AH137" s="88">
        <f t="shared" si="37"/>
        <v>26.967683363307607</v>
      </c>
      <c r="AI137" s="88">
        <f t="shared" si="37"/>
        <v>26.968524986053858</v>
      </c>
      <c r="AJ137" s="88">
        <f t="shared" si="37"/>
        <v>26.52744038168521</v>
      </c>
      <c r="AK137" s="88">
        <f t="shared" si="37"/>
        <v>26.132914862261472</v>
      </c>
      <c r="AL137" s="88">
        <f t="shared" si="37"/>
        <v>26.757865830239854</v>
      </c>
      <c r="AM137" s="88">
        <f t="shared" si="37"/>
        <v>27.445824823464175</v>
      </c>
      <c r="AN137" s="88">
        <f t="shared" si="37"/>
        <v>26.915784859474002</v>
      </c>
      <c r="AO137" s="88">
        <f t="shared" si="37"/>
        <v>27.016664955388904</v>
      </c>
      <c r="AP137" s="88">
        <f t="shared" si="37"/>
        <v>27.580107577062847</v>
      </c>
      <c r="AQ137" s="88">
        <f t="shared" si="37"/>
        <v>27.475852965121081</v>
      </c>
      <c r="AR137" s="88">
        <f t="shared" si="37"/>
        <v>27.406928543738633</v>
      </c>
      <c r="AS137" s="88">
        <f t="shared" si="37"/>
        <v>27.702076177656181</v>
      </c>
      <c r="AT137" s="88">
        <f t="shared" si="37"/>
        <v>27.678521517298396</v>
      </c>
      <c r="AU137" s="88">
        <f t="shared" si="37"/>
        <v>27.917490437042186</v>
      </c>
      <c r="AV137" s="88">
        <f t="shared" si="37"/>
        <v>27.919208872232772</v>
      </c>
      <c r="AW137" s="88">
        <f t="shared" si="37"/>
        <v>27.629033698981004</v>
      </c>
      <c r="AX137" s="88">
        <f t="shared" si="37"/>
        <v>27.948234587628079</v>
      </c>
      <c r="AY137" s="88">
        <f t="shared" si="37"/>
        <v>27.744044722670822</v>
      </c>
      <c r="AZ137" s="88">
        <f t="shared" si="37"/>
        <v>28.162595898816875</v>
      </c>
      <c r="BA137" s="88">
        <f t="shared" si="37"/>
        <v>28.838926873085846</v>
      </c>
      <c r="BB137" s="88">
        <f t="shared" si="37"/>
        <v>29.24103506897216</v>
      </c>
      <c r="BC137" s="88">
        <f t="shared" si="37"/>
        <v>29.68455452175688</v>
      </c>
      <c r="BD137" s="88">
        <f t="shared" si="37"/>
        <v>29.77611426826914</v>
      </c>
      <c r="BE137" s="88">
        <f t="shared" si="37"/>
        <v>30.292388397400547</v>
      </c>
      <c r="BF137" s="88">
        <f t="shared" si="37"/>
        <v>30.93536983574451</v>
      </c>
      <c r="BG137" s="88">
        <f t="shared" si="37"/>
        <v>31.149545333250433</v>
      </c>
      <c r="BH137" s="88">
        <f t="shared" si="37"/>
        <v>31.32276499311125</v>
      </c>
      <c r="BI137" s="88">
        <f t="shared" si="37"/>
        <v>31.926737982978775</v>
      </c>
      <c r="BJ137" s="88">
        <f t="shared" si="37"/>
        <v>32.89906069213837</v>
      </c>
      <c r="BK137" s="88">
        <f t="shared" si="37"/>
        <v>0</v>
      </c>
    </row>
    <row r="138" spans="2:63" s="17" customFormat="1">
      <c r="C138" s="17" t="str">
        <f>C203</f>
        <v>Light vehicles gasoline - mpgUK</v>
      </c>
      <c r="D138" s="88">
        <f>D203</f>
        <v>13.198187025887085</v>
      </c>
      <c r="E138" s="88">
        <f t="shared" ref="E138:BK139" si="38">E203</f>
        <v>13.286884804063495</v>
      </c>
      <c r="F138" s="88">
        <f t="shared" si="38"/>
        <v>13.376178671372299</v>
      </c>
      <c r="G138" s="88">
        <f t="shared" si="38"/>
        <v>13.466072633801708</v>
      </c>
      <c r="H138" s="88">
        <f t="shared" si="38"/>
        <v>13.556570724261984</v>
      </c>
      <c r="I138" s="88">
        <f t="shared" si="38"/>
        <v>13.647677002766368</v>
      </c>
      <c r="J138" s="88">
        <f t="shared" si="38"/>
        <v>13.739395556613223</v>
      </c>
      <c r="K138" s="88">
        <f t="shared" si="38"/>
        <v>13.831730500569401</v>
      </c>
      <c r="L138" s="88">
        <f t="shared" si="38"/>
        <v>13.92468597705485</v>
      </c>
      <c r="M138" s="88">
        <f t="shared" si="38"/>
        <v>14.018266156328448</v>
      </c>
      <c r="N138" s="88">
        <f t="shared" si="38"/>
        <v>14.112475236675097</v>
      </c>
      <c r="O138" s="88">
        <f t="shared" si="38"/>
        <v>14.315515959698503</v>
      </c>
      <c r="P138" s="88">
        <f t="shared" si="38"/>
        <v>14.361285304437729</v>
      </c>
      <c r="Q138" s="88">
        <f t="shared" si="38"/>
        <v>14.237548770846731</v>
      </c>
      <c r="R138" s="88">
        <f t="shared" si="38"/>
        <v>14.334215424197868</v>
      </c>
      <c r="S138" s="88">
        <f t="shared" si="38"/>
        <v>14.798855866002407</v>
      </c>
      <c r="T138" s="88">
        <f t="shared" si="38"/>
        <v>14.913976917758454</v>
      </c>
      <c r="U138" s="88">
        <f t="shared" si="38"/>
        <v>14.748281948232068</v>
      </c>
      <c r="V138" s="88">
        <f t="shared" si="38"/>
        <v>14.708301218711632</v>
      </c>
      <c r="W138" s="88">
        <f t="shared" si="38"/>
        <v>14.443147000556786</v>
      </c>
      <c r="X138" s="88">
        <f t="shared" si="38"/>
        <v>15.090099641346885</v>
      </c>
      <c r="Y138" s="88">
        <f t="shared" si="38"/>
        <v>15.694906861936628</v>
      </c>
      <c r="Z138" s="88">
        <f t="shared" si="38"/>
        <v>15.59682747056312</v>
      </c>
      <c r="AA138" s="88">
        <f t="shared" si="38"/>
        <v>15.438073381277212</v>
      </c>
      <c r="AB138" s="88">
        <f t="shared" si="38"/>
        <v>15.469937491935877</v>
      </c>
      <c r="AC138" s="88">
        <f t="shared" si="38"/>
        <v>15.708593462986421</v>
      </c>
      <c r="AD138" s="88">
        <f t="shared" si="38"/>
        <v>15.31775218847967</v>
      </c>
      <c r="AE138" s="88">
        <f t="shared" si="38"/>
        <v>15.837323771667965</v>
      </c>
      <c r="AF138" s="88">
        <f t="shared" si="38"/>
        <v>15.924200498184033</v>
      </c>
      <c r="AG138" s="88">
        <f t="shared" si="38"/>
        <v>14.166359141912137</v>
      </c>
      <c r="AH138" s="88">
        <f t="shared" si="38"/>
        <v>14.605803456492563</v>
      </c>
      <c r="AI138" s="88">
        <f t="shared" si="38"/>
        <v>14.618602570493724</v>
      </c>
      <c r="AJ138" s="88">
        <f t="shared" si="38"/>
        <v>14.142460366905471</v>
      </c>
      <c r="AK138" s="88">
        <f t="shared" si="38"/>
        <v>13.882713594290852</v>
      </c>
      <c r="AL138" s="88">
        <f t="shared" si="38"/>
        <v>13.703522988505425</v>
      </c>
      <c r="AM138" s="88">
        <f t="shared" si="38"/>
        <v>13.952614287011185</v>
      </c>
      <c r="AN138" s="88">
        <f t="shared" si="38"/>
        <v>13.66022325738434</v>
      </c>
      <c r="AO138" s="88">
        <f t="shared" si="38"/>
        <v>13.676300720657535</v>
      </c>
      <c r="AP138" s="88">
        <f t="shared" si="38"/>
        <v>13.987354984454594</v>
      </c>
      <c r="AQ138" s="88">
        <f t="shared" si="38"/>
        <v>14.126268053156576</v>
      </c>
      <c r="AR138" s="88">
        <f t="shared" si="38"/>
        <v>14.174272921831802</v>
      </c>
      <c r="AS138" s="88">
        <f t="shared" si="38"/>
        <v>14.413515403496298</v>
      </c>
      <c r="AT138" s="88">
        <f t="shared" si="38"/>
        <v>14.468901024841088</v>
      </c>
      <c r="AU138" s="88">
        <f t="shared" si="38"/>
        <v>14.68379556860242</v>
      </c>
      <c r="AV138" s="88">
        <f t="shared" si="38"/>
        <v>14.883329466058466</v>
      </c>
      <c r="AW138" s="88">
        <f t="shared" si="38"/>
        <v>14.816595137644356</v>
      </c>
      <c r="AX138" s="88">
        <f t="shared" si="38"/>
        <v>14.990615352739463</v>
      </c>
      <c r="AY138" s="88">
        <f t="shared" si="38"/>
        <v>15.159862825921262</v>
      </c>
      <c r="AZ138" s="88">
        <f t="shared" si="38"/>
        <v>15.846034587106846</v>
      </c>
      <c r="BA138" s="88">
        <f t="shared" si="38"/>
        <v>15.69796449321025</v>
      </c>
      <c r="BB138" s="88">
        <f t="shared" si="38"/>
        <v>15.612769671806783</v>
      </c>
      <c r="BC138" s="88">
        <f t="shared" si="38"/>
        <v>15.728129725145047</v>
      </c>
      <c r="BD138" s="88">
        <f t="shared" si="38"/>
        <v>15.611579186609092</v>
      </c>
      <c r="BE138" s="88">
        <f t="shared" si="38"/>
        <v>15.985449064033896</v>
      </c>
      <c r="BF138" s="88">
        <f t="shared" si="38"/>
        <v>16.28501450295326</v>
      </c>
      <c r="BG138" s="88">
        <f t="shared" si="38"/>
        <v>16.272871899014341</v>
      </c>
      <c r="BH138" s="88">
        <f t="shared" si="38"/>
        <v>16.182980019883235</v>
      </c>
      <c r="BI138" s="88">
        <f t="shared" si="38"/>
        <v>16.514346628543581</v>
      </c>
      <c r="BJ138" s="88">
        <f t="shared" si="38"/>
        <v>16.886700607716126</v>
      </c>
      <c r="BK138" s="88">
        <f t="shared" si="38"/>
        <v>0</v>
      </c>
    </row>
    <row r="139" spans="2:63" s="17" customFormat="1">
      <c r="C139" s="17" t="str">
        <f>C204</f>
        <v>Light vehicles diesel - mpgUK</v>
      </c>
      <c r="D139" s="88">
        <f>D204</f>
        <v>16.49773378235885</v>
      </c>
      <c r="E139" s="88">
        <f t="shared" si="38"/>
        <v>16.608606005079363</v>
      </c>
      <c r="F139" s="88">
        <f t="shared" si="38"/>
        <v>16.720223339215369</v>
      </c>
      <c r="G139" s="88">
        <f t="shared" si="38"/>
        <v>16.83259079225213</v>
      </c>
      <c r="H139" s="88">
        <f t="shared" si="38"/>
        <v>16.945713405327474</v>
      </c>
      <c r="I139" s="88">
        <f t="shared" si="38"/>
        <v>17.059596253457954</v>
      </c>
      <c r="J139" s="88">
        <f t="shared" si="38"/>
        <v>17.174244445766522</v>
      </c>
      <c r="K139" s="88">
        <f t="shared" si="38"/>
        <v>17.289663125711744</v>
      </c>
      <c r="L139" s="88">
        <f t="shared" si="38"/>
        <v>17.405857471318555</v>
      </c>
      <c r="M139" s="88">
        <f t="shared" si="38"/>
        <v>17.522832695410553</v>
      </c>
      <c r="N139" s="88">
        <f t="shared" si="38"/>
        <v>17.640594045843866</v>
      </c>
      <c r="O139" s="88">
        <f t="shared" si="38"/>
        <v>17.894394949623134</v>
      </c>
      <c r="P139" s="88">
        <f t="shared" si="38"/>
        <v>17.951606630547165</v>
      </c>
      <c r="Q139" s="88">
        <f t="shared" si="38"/>
        <v>17.796935963558415</v>
      </c>
      <c r="R139" s="88">
        <f t="shared" si="38"/>
        <v>17.917769280247338</v>
      </c>
      <c r="S139" s="88">
        <f t="shared" si="38"/>
        <v>18.498569832503012</v>
      </c>
      <c r="T139" s="88">
        <f t="shared" si="38"/>
        <v>18.642471147198066</v>
      </c>
      <c r="U139" s="88">
        <f t="shared" si="38"/>
        <v>18.435352435290078</v>
      </c>
      <c r="V139" s="88">
        <f t="shared" si="38"/>
        <v>18.385376523389539</v>
      </c>
      <c r="W139" s="88">
        <f t="shared" si="38"/>
        <v>18.053933750695982</v>
      </c>
      <c r="X139" s="88">
        <f t="shared" si="38"/>
        <v>18.862624551683606</v>
      </c>
      <c r="Y139" s="88">
        <f t="shared" si="38"/>
        <v>19.618633577420788</v>
      </c>
      <c r="Z139" s="88">
        <f t="shared" si="38"/>
        <v>19.496034338203906</v>
      </c>
      <c r="AA139" s="88">
        <f t="shared" si="38"/>
        <v>19.297591726596512</v>
      </c>
      <c r="AB139" s="88">
        <f t="shared" si="38"/>
        <v>19.337421864919847</v>
      </c>
      <c r="AC139" s="88">
        <f t="shared" si="38"/>
        <v>19.635741828733028</v>
      </c>
      <c r="AD139" s="88">
        <f t="shared" si="38"/>
        <v>19.147190235599584</v>
      </c>
      <c r="AE139" s="88">
        <f t="shared" si="38"/>
        <v>19.79665471458495</v>
      </c>
      <c r="AF139" s="88">
        <f t="shared" si="38"/>
        <v>19.905250622730037</v>
      </c>
      <c r="AG139" s="88">
        <f t="shared" si="38"/>
        <v>17.707948927390181</v>
      </c>
      <c r="AH139" s="88">
        <f t="shared" si="38"/>
        <v>18.257254320615697</v>
      </c>
      <c r="AI139" s="88">
        <f t="shared" si="38"/>
        <v>18.273253213117158</v>
      </c>
      <c r="AJ139" s="88">
        <f t="shared" si="38"/>
        <v>17.678075458631842</v>
      </c>
      <c r="AK139" s="88">
        <f t="shared" si="38"/>
        <v>17.353391992863564</v>
      </c>
      <c r="AL139" s="88">
        <f t="shared" si="38"/>
        <v>17.129403735631783</v>
      </c>
      <c r="AM139" s="88">
        <f t="shared" si="38"/>
        <v>17.440767858763987</v>
      </c>
      <c r="AN139" s="88">
        <f t="shared" si="38"/>
        <v>17.075279071730428</v>
      </c>
      <c r="AO139" s="88">
        <f t="shared" si="38"/>
        <v>17.095375900821924</v>
      </c>
      <c r="AP139" s="88">
        <f t="shared" si="38"/>
        <v>17.484193730568236</v>
      </c>
      <c r="AQ139" s="88">
        <f t="shared" si="38"/>
        <v>17.65783506644572</v>
      </c>
      <c r="AR139" s="88">
        <f t="shared" si="38"/>
        <v>17.717841152289754</v>
      </c>
      <c r="AS139" s="88">
        <f t="shared" si="38"/>
        <v>18.016894254370371</v>
      </c>
      <c r="AT139" s="88">
        <f t="shared" si="38"/>
        <v>18.086126281051371</v>
      </c>
      <c r="AU139" s="88">
        <f t="shared" si="38"/>
        <v>18.354744460753025</v>
      </c>
      <c r="AV139" s="88">
        <f t="shared" si="38"/>
        <v>18.604161832573084</v>
      </c>
      <c r="AW139" s="88">
        <f t="shared" si="38"/>
        <v>18.520743922055434</v>
      </c>
      <c r="AX139" s="88">
        <f t="shared" si="38"/>
        <v>18.738269190924321</v>
      </c>
      <c r="AY139" s="88">
        <f t="shared" si="38"/>
        <v>18.949828532401575</v>
      </c>
      <c r="AZ139" s="88">
        <f t="shared" si="38"/>
        <v>19.807543233883564</v>
      </c>
      <c r="BA139" s="88">
        <f t="shared" si="38"/>
        <v>19.622455616512809</v>
      </c>
      <c r="BB139" s="88">
        <f t="shared" si="38"/>
        <v>19.515962089758471</v>
      </c>
      <c r="BC139" s="88">
        <f t="shared" si="38"/>
        <v>19.660162156431308</v>
      </c>
      <c r="BD139" s="88">
        <f t="shared" si="38"/>
        <v>19.514473983261365</v>
      </c>
      <c r="BE139" s="88">
        <f t="shared" si="38"/>
        <v>19.981811330042369</v>
      </c>
      <c r="BF139" s="88">
        <f t="shared" si="38"/>
        <v>20.356268128691578</v>
      </c>
      <c r="BG139" s="88">
        <f t="shared" si="38"/>
        <v>20.341089873767928</v>
      </c>
      <c r="BH139" s="88">
        <f t="shared" si="38"/>
        <v>20.228725024854047</v>
      </c>
      <c r="BI139" s="88">
        <f t="shared" si="38"/>
        <v>20.642933285679476</v>
      </c>
      <c r="BJ139" s="88">
        <f t="shared" si="38"/>
        <v>21.108375759645153</v>
      </c>
      <c r="BK139" s="88">
        <f t="shared" si="38"/>
        <v>0</v>
      </c>
    </row>
    <row r="140" spans="2:63" s="17" customFormat="1">
      <c r="C140" s="17" t="s">
        <v>121</v>
      </c>
      <c r="D140" s="88">
        <f>D215</f>
        <v>17.588036033599646</v>
      </c>
      <c r="E140" s="88">
        <f t="shared" ref="E140:BK141" si="39">E215</f>
        <v>17.624697118955932</v>
      </c>
      <c r="F140" s="88">
        <f t="shared" si="39"/>
        <v>17.661434621893857</v>
      </c>
      <c r="G140" s="88">
        <f t="shared" si="39"/>
        <v>17.698248701700763</v>
      </c>
      <c r="H140" s="88">
        <f t="shared" si="39"/>
        <v>17.735139517996014</v>
      </c>
      <c r="I140" s="88">
        <f t="shared" si="39"/>
        <v>17.772107230731692</v>
      </c>
      <c r="J140" s="88">
        <f t="shared" si="39"/>
        <v>17.809152000193286</v>
      </c>
      <c r="K140" s="88">
        <f t="shared" si="39"/>
        <v>17.846273987000387</v>
      </c>
      <c r="L140" s="88">
        <f t="shared" si="39"/>
        <v>17.883473352107394</v>
      </c>
      <c r="M140" s="88">
        <f t="shared" si="39"/>
        <v>17.920750256804197</v>
      </c>
      <c r="N140" s="88">
        <f t="shared" si="39"/>
        <v>17.95810486271689</v>
      </c>
      <c r="O140" s="88">
        <f t="shared" si="39"/>
        <v>18.11638653689927</v>
      </c>
      <c r="P140" s="88">
        <f t="shared" si="39"/>
        <v>17.977125886429569</v>
      </c>
      <c r="Q140" s="88">
        <f t="shared" si="39"/>
        <v>17.744343373324352</v>
      </c>
      <c r="R140" s="88">
        <f t="shared" si="39"/>
        <v>17.897302590387522</v>
      </c>
      <c r="S140" s="88">
        <f t="shared" si="39"/>
        <v>18.466714062780319</v>
      </c>
      <c r="T140" s="88">
        <f t="shared" si="39"/>
        <v>18.528816006478078</v>
      </c>
      <c r="U140" s="88">
        <f t="shared" si="39"/>
        <v>18.333843917853613</v>
      </c>
      <c r="V140" s="88">
        <f t="shared" si="39"/>
        <v>18.035786207524595</v>
      </c>
      <c r="W140" s="88">
        <f t="shared" si="39"/>
        <v>17.629257545091612</v>
      </c>
      <c r="X140" s="88">
        <f t="shared" si="39"/>
        <v>18.335960288246753</v>
      </c>
      <c r="Y140" s="88">
        <f t="shared" si="39"/>
        <v>19.148951261626902</v>
      </c>
      <c r="Z140" s="88">
        <f t="shared" si="39"/>
        <v>19.170672507681616</v>
      </c>
      <c r="AA140" s="88">
        <f t="shared" si="39"/>
        <v>19.088286989211319</v>
      </c>
      <c r="AB140" s="88">
        <f t="shared" si="39"/>
        <v>19.409804179562531</v>
      </c>
      <c r="AC140" s="88">
        <f t="shared" si="39"/>
        <v>19.697548066184755</v>
      </c>
      <c r="AD140" s="88">
        <f t="shared" si="39"/>
        <v>19.632631572063147</v>
      </c>
      <c r="AE140" s="88">
        <f t="shared" si="39"/>
        <v>20.306868791529876</v>
      </c>
      <c r="AF140" s="88">
        <f t="shared" si="39"/>
        <v>20.618814767754994</v>
      </c>
      <c r="AG140" s="88">
        <f t="shared" si="39"/>
        <v>21.138226729842906</v>
      </c>
      <c r="AH140" s="88">
        <f t="shared" si="39"/>
        <v>20.543407259579851</v>
      </c>
      <c r="AI140" s="88">
        <f t="shared" si="39"/>
        <v>20.508759425836718</v>
      </c>
      <c r="AJ140" s="88">
        <f t="shared" si="39"/>
        <v>20.145995989214548</v>
      </c>
      <c r="AK140" s="88">
        <f t="shared" si="39"/>
        <v>19.839742810357606</v>
      </c>
      <c r="AL140" s="88">
        <f t="shared" si="39"/>
        <v>20.196316929795113</v>
      </c>
      <c r="AM140" s="88">
        <f t="shared" si="39"/>
        <v>20.698868763323947</v>
      </c>
      <c r="AN140" s="88">
        <f t="shared" si="39"/>
        <v>20.297211587924227</v>
      </c>
      <c r="AO140" s="88">
        <f t="shared" si="39"/>
        <v>20.340919447128574</v>
      </c>
      <c r="AP140" s="88">
        <f t="shared" si="39"/>
        <v>20.742705514042935</v>
      </c>
      <c r="AQ140" s="88">
        <f t="shared" si="39"/>
        <v>20.734493372389672</v>
      </c>
      <c r="AR140" s="88">
        <f t="shared" si="39"/>
        <v>20.702001257232961</v>
      </c>
      <c r="AS140" s="88">
        <f t="shared" si="39"/>
        <v>20.958494609693322</v>
      </c>
      <c r="AT140" s="88">
        <f t="shared" si="39"/>
        <v>20.992647268976828</v>
      </c>
      <c r="AU140" s="88">
        <f t="shared" si="39"/>
        <v>21.184583216537135</v>
      </c>
      <c r="AV140" s="88">
        <f t="shared" si="39"/>
        <v>21.243750014369422</v>
      </c>
      <c r="AW140" s="88">
        <f t="shared" si="39"/>
        <v>21.071681343359494</v>
      </c>
      <c r="AX140" s="88">
        <f t="shared" si="39"/>
        <v>21.358933605838764</v>
      </c>
      <c r="AY140" s="88">
        <f t="shared" si="39"/>
        <v>21.290766005126944</v>
      </c>
      <c r="AZ140" s="88">
        <f t="shared" si="39"/>
        <v>21.81166000786979</v>
      </c>
      <c r="BA140" s="88">
        <f t="shared" si="39"/>
        <v>22.274587821717983</v>
      </c>
      <c r="BB140" s="88">
        <f t="shared" si="39"/>
        <v>22.550106878809494</v>
      </c>
      <c r="BC140" s="88">
        <f t="shared" si="39"/>
        <v>22.949275318893516</v>
      </c>
      <c r="BD140" s="88">
        <f t="shared" si="39"/>
        <v>23.082251773165044</v>
      </c>
      <c r="BE140" s="88">
        <f t="shared" si="39"/>
        <v>23.55857256529524</v>
      </c>
      <c r="BF140" s="88">
        <f t="shared" si="39"/>
        <v>24.063218058180382</v>
      </c>
      <c r="BG140" s="88">
        <f t="shared" si="39"/>
        <v>24.221166313441127</v>
      </c>
      <c r="BH140" s="88">
        <f t="shared" si="39"/>
        <v>24.310046237342778</v>
      </c>
      <c r="BI140" s="88">
        <f t="shared" si="39"/>
        <v>24.799771175915922</v>
      </c>
      <c r="BJ140" s="88">
        <f t="shared" si="39"/>
        <v>25.498151536182831</v>
      </c>
      <c r="BK140" s="88">
        <f t="shared" si="39"/>
        <v>0</v>
      </c>
    </row>
    <row r="141" spans="2:63" s="17" customFormat="1">
      <c r="C141" s="17" t="s">
        <v>122</v>
      </c>
      <c r="D141" s="88">
        <f>D216</f>
        <v>21.984638095867581</v>
      </c>
      <c r="E141" s="88">
        <f t="shared" si="39"/>
        <v>22.030461062559088</v>
      </c>
      <c r="F141" s="88">
        <f t="shared" si="39"/>
        <v>22.076379538863591</v>
      </c>
      <c r="G141" s="88">
        <f t="shared" si="39"/>
        <v>22.122393723853452</v>
      </c>
      <c r="H141" s="88">
        <f t="shared" si="39"/>
        <v>22.168503817015964</v>
      </c>
      <c r="I141" s="88">
        <f t="shared" si="39"/>
        <v>22.214710018254209</v>
      </c>
      <c r="J141" s="88">
        <f t="shared" si="39"/>
        <v>22.261012527887935</v>
      </c>
      <c r="K141" s="88">
        <f t="shared" si="39"/>
        <v>22.307411546654425</v>
      </c>
      <c r="L141" s="88">
        <f t="shared" si="39"/>
        <v>22.35390727570935</v>
      </c>
      <c r="M141" s="88">
        <f t="shared" si="39"/>
        <v>22.400499916627663</v>
      </c>
      <c r="N141" s="88">
        <f t="shared" si="39"/>
        <v>22.447189671404463</v>
      </c>
      <c r="O141" s="88">
        <f t="shared" si="39"/>
        <v>22.645023482914574</v>
      </c>
      <c r="P141" s="88">
        <f t="shared" si="39"/>
        <v>22.470960760551254</v>
      </c>
      <c r="Q141" s="88">
        <f t="shared" si="39"/>
        <v>22.179963820370983</v>
      </c>
      <c r="R141" s="88">
        <f t="shared" si="39"/>
        <v>22.371161533996947</v>
      </c>
      <c r="S141" s="88">
        <f t="shared" si="39"/>
        <v>23.082887092532705</v>
      </c>
      <c r="T141" s="88">
        <f t="shared" si="39"/>
        <v>23.160526954111237</v>
      </c>
      <c r="U141" s="88">
        <f t="shared" si="39"/>
        <v>22.91679343576056</v>
      </c>
      <c r="V141" s="88">
        <f t="shared" si="39"/>
        <v>22.544259191128404</v>
      </c>
      <c r="W141" s="88">
        <f t="shared" si="39"/>
        <v>22.036116072965022</v>
      </c>
      <c r="X141" s="88">
        <f t="shared" si="39"/>
        <v>22.919473222473478</v>
      </c>
      <c r="Y141" s="88">
        <f t="shared" si="39"/>
        <v>23.935673801503139</v>
      </c>
      <c r="Z141" s="88">
        <f t="shared" si="39"/>
        <v>23.962771922377456</v>
      </c>
      <c r="AA141" s="88">
        <f t="shared" si="39"/>
        <v>23.859740648973631</v>
      </c>
      <c r="AB141" s="88">
        <f t="shared" si="39"/>
        <v>24.261542698590176</v>
      </c>
      <c r="AC141" s="88">
        <f t="shared" si="39"/>
        <v>24.621115122568618</v>
      </c>
      <c r="AD141" s="88">
        <f t="shared" si="39"/>
        <v>24.539828954864181</v>
      </c>
      <c r="AE141" s="88">
        <f t="shared" si="39"/>
        <v>25.381563368099044</v>
      </c>
      <c r="AF141" s="88">
        <f t="shared" si="39"/>
        <v>25.770862731205</v>
      </c>
      <c r="AG141" s="88">
        <f t="shared" si="39"/>
        <v>26.417651260257891</v>
      </c>
      <c r="AH141" s="88">
        <f t="shared" si="39"/>
        <v>25.66707866208295</v>
      </c>
      <c r="AI141" s="88">
        <f t="shared" si="39"/>
        <v>25.62029409887958</v>
      </c>
      <c r="AJ141" s="88">
        <f t="shared" si="39"/>
        <v>25.158972225141675</v>
      </c>
      <c r="AK141" s="88">
        <f t="shared" si="39"/>
        <v>24.762736996603081</v>
      </c>
      <c r="AL141" s="88">
        <f t="shared" si="39"/>
        <v>25.180016096751267</v>
      </c>
      <c r="AM141" s="88">
        <f t="shared" si="39"/>
        <v>25.779896276892913</v>
      </c>
      <c r="AN141" s="88">
        <f t="shared" si="39"/>
        <v>25.259843646393172</v>
      </c>
      <c r="AO141" s="88">
        <f t="shared" si="39"/>
        <v>25.294980691683893</v>
      </c>
      <c r="AP141" s="88">
        <f t="shared" si="39"/>
        <v>25.783731046468777</v>
      </c>
      <c r="AQ141" s="88">
        <f t="shared" si="39"/>
        <v>25.751843762694651</v>
      </c>
      <c r="AR141" s="88">
        <f t="shared" si="39"/>
        <v>25.695978367015744</v>
      </c>
      <c r="AS141" s="88">
        <f t="shared" si="39"/>
        <v>25.985094527578763</v>
      </c>
      <c r="AT141" s="88">
        <f t="shared" si="39"/>
        <v>25.985061260489818</v>
      </c>
      <c r="AU141" s="88">
        <f t="shared" si="39"/>
        <v>26.166803957538875</v>
      </c>
      <c r="AV141" s="88">
        <f t="shared" si="39"/>
        <v>26.183002669176428</v>
      </c>
      <c r="AW141" s="88">
        <f t="shared" si="39"/>
        <v>25.897231513581872</v>
      </c>
      <c r="AX141" s="88">
        <f t="shared" si="39"/>
        <v>26.159477610922789</v>
      </c>
      <c r="AY141" s="88">
        <f t="shared" si="39"/>
        <v>25.996144906686911</v>
      </c>
      <c r="AZ141" s="88">
        <f t="shared" si="39"/>
        <v>26.539927616787072</v>
      </c>
      <c r="BA141" s="88">
        <f t="shared" si="39"/>
        <v>27.029122783229123</v>
      </c>
      <c r="BB141" s="88">
        <f t="shared" si="39"/>
        <v>27.256210426279388</v>
      </c>
      <c r="BC141" s="88">
        <f t="shared" si="39"/>
        <v>27.618689371617648</v>
      </c>
      <c r="BD141" s="88">
        <f t="shared" si="39"/>
        <v>27.643895466912948</v>
      </c>
      <c r="BE141" s="88">
        <f t="shared" si="39"/>
        <v>28.105078024398242</v>
      </c>
      <c r="BF141" s="88">
        <f t="shared" si="39"/>
        <v>28.625322204418605</v>
      </c>
      <c r="BG141" s="88">
        <f t="shared" si="39"/>
        <v>28.718868471636522</v>
      </c>
      <c r="BH141" s="88">
        <f t="shared" si="39"/>
        <v>28.740673074748337</v>
      </c>
      <c r="BI141" s="88">
        <f t="shared" si="39"/>
        <v>29.276138165846227</v>
      </c>
      <c r="BJ141" s="88">
        <f t="shared" si="39"/>
        <v>30.099480081898946</v>
      </c>
      <c r="BK141" s="88">
        <f t="shared" si="39"/>
        <v>0</v>
      </c>
    </row>
    <row r="142" spans="2:63" s="17" customFormat="1"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7"/>
      <c r="BK142" s="18"/>
    </row>
    <row r="143" spans="2:63" s="17" customFormat="1"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7"/>
      <c r="BK143" s="18"/>
    </row>
    <row r="144" spans="2:63" s="17" customFormat="1"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7"/>
      <c r="BK144" s="18"/>
    </row>
    <row r="145" spans="1:63">
      <c r="C145" s="20"/>
      <c r="D145" s="17">
        <v>1960</v>
      </c>
      <c r="E145" s="17">
        <v>1961</v>
      </c>
      <c r="F145" s="17">
        <v>1962</v>
      </c>
      <c r="G145" s="17">
        <v>1963</v>
      </c>
      <c r="H145" s="17">
        <v>1964</v>
      </c>
      <c r="I145" s="17">
        <v>1965</v>
      </c>
      <c r="J145" s="17">
        <v>1966</v>
      </c>
      <c r="K145" s="17">
        <v>1967</v>
      </c>
      <c r="L145" s="17">
        <v>1968</v>
      </c>
      <c r="M145" s="17">
        <v>1969</v>
      </c>
      <c r="N145" s="17">
        <v>1970</v>
      </c>
      <c r="O145" s="17">
        <v>1971</v>
      </c>
      <c r="P145" s="17">
        <v>1972</v>
      </c>
      <c r="Q145" s="17">
        <v>1973</v>
      </c>
      <c r="R145" s="17">
        <v>1974</v>
      </c>
      <c r="S145" s="17">
        <v>1975</v>
      </c>
      <c r="T145" s="17">
        <v>1976</v>
      </c>
      <c r="U145" s="17">
        <v>1977</v>
      </c>
      <c r="V145" s="17">
        <v>1978</v>
      </c>
      <c r="W145" s="17">
        <v>1979</v>
      </c>
      <c r="X145" s="17">
        <v>1980</v>
      </c>
      <c r="Y145" s="17">
        <v>1981</v>
      </c>
      <c r="Z145" s="17">
        <v>1982</v>
      </c>
      <c r="AA145" s="17">
        <v>1983</v>
      </c>
      <c r="AB145" s="17">
        <v>1984</v>
      </c>
      <c r="AC145" s="17">
        <v>1985</v>
      </c>
      <c r="AD145" s="17">
        <v>1986</v>
      </c>
      <c r="AE145" s="17">
        <v>1987</v>
      </c>
      <c r="AF145" s="17">
        <v>1988</v>
      </c>
      <c r="AG145" s="17">
        <v>1989</v>
      </c>
      <c r="AH145" s="17">
        <v>1990</v>
      </c>
      <c r="AI145" s="17">
        <v>1991</v>
      </c>
      <c r="AJ145" s="17">
        <v>1992</v>
      </c>
      <c r="AK145" s="17">
        <v>1993</v>
      </c>
      <c r="AL145" s="17">
        <v>1994</v>
      </c>
      <c r="AM145" s="17">
        <v>1995</v>
      </c>
      <c r="AN145" s="17">
        <v>1996</v>
      </c>
      <c r="AO145" s="17">
        <v>1997</v>
      </c>
      <c r="AP145" s="17">
        <v>1998</v>
      </c>
      <c r="AQ145" s="17">
        <v>1999</v>
      </c>
      <c r="AR145" s="17">
        <v>2000</v>
      </c>
      <c r="AS145" s="17">
        <v>2001</v>
      </c>
      <c r="AT145" s="17">
        <v>2002</v>
      </c>
      <c r="AU145" s="17">
        <v>2003</v>
      </c>
      <c r="AV145" s="17">
        <v>2004</v>
      </c>
      <c r="AW145" s="17">
        <v>2005</v>
      </c>
      <c r="AX145" s="17">
        <v>2006</v>
      </c>
      <c r="AY145" s="17">
        <v>2007</v>
      </c>
      <c r="AZ145" s="17">
        <v>2008</v>
      </c>
      <c r="BA145" s="17">
        <v>2009</v>
      </c>
      <c r="BB145" s="17">
        <v>2010</v>
      </c>
      <c r="BC145" s="17">
        <v>2011</v>
      </c>
      <c r="BD145" s="17">
        <v>2012</v>
      </c>
      <c r="BE145" s="17">
        <v>2013</v>
      </c>
      <c r="BF145" s="17">
        <v>2014</v>
      </c>
      <c r="BG145" s="17">
        <v>2015</v>
      </c>
      <c r="BH145" s="17">
        <v>2016</v>
      </c>
      <c r="BI145" s="17">
        <v>2017</v>
      </c>
      <c r="BJ145" s="17">
        <v>2018</v>
      </c>
      <c r="BK145" s="18">
        <v>2019</v>
      </c>
    </row>
    <row r="146" spans="1:63" s="17" customFormat="1">
      <c r="A146" s="89" t="s">
        <v>123</v>
      </c>
      <c r="B146" s="90">
        <v>282.5</v>
      </c>
      <c r="C146" s="17" t="s">
        <v>124</v>
      </c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7"/>
      <c r="BK146" s="18"/>
    </row>
    <row r="147" spans="1:63" s="91" customFormat="1">
      <c r="B147" s="91" t="s">
        <v>17</v>
      </c>
      <c r="C147" s="91" t="s">
        <v>125</v>
      </c>
      <c r="D147" s="24">
        <f>$B$146/D136</f>
        <v>15.337203745846956</v>
      </c>
      <c r="E147" s="24">
        <f t="shared" ref="E147:BK151" si="40">$B$146/E136</f>
        <v>15.320424466218947</v>
      </c>
      <c r="F147" s="24">
        <f t="shared" si="40"/>
        <v>15.303663543537189</v>
      </c>
      <c r="G147" s="24">
        <f t="shared" si="40"/>
        <v>15.286920957718733</v>
      </c>
      <c r="H147" s="24">
        <f t="shared" si="40"/>
        <v>15.270196688702596</v>
      </c>
      <c r="I147" s="24">
        <f t="shared" si="40"/>
        <v>15.253490716449743</v>
      </c>
      <c r="J147" s="24">
        <f t="shared" si="40"/>
        <v>15.236803020943064</v>
      </c>
      <c r="K147" s="24">
        <f t="shared" si="40"/>
        <v>15.220133582187351</v>
      </c>
      <c r="L147" s="24">
        <f t="shared" si="40"/>
        <v>15.203482380209262</v>
      </c>
      <c r="M147" s="24">
        <f t="shared" si="40"/>
        <v>15.186849395057315</v>
      </c>
      <c r="N147" s="24">
        <f t="shared" si="40"/>
        <v>15.170234606801852</v>
      </c>
      <c r="O147" s="24">
        <f t="shared" si="40"/>
        <v>15.06100961105321</v>
      </c>
      <c r="P147" s="24">
        <f t="shared" si="40"/>
        <v>15.21170062282977</v>
      </c>
      <c r="Q147" s="24">
        <f t="shared" si="40"/>
        <v>15.423162562517595</v>
      </c>
      <c r="R147" s="24">
        <f t="shared" si="40"/>
        <v>15.268663428317153</v>
      </c>
      <c r="S147" s="24">
        <f t="shared" si="40"/>
        <v>14.807102538385683</v>
      </c>
      <c r="T147" s="24">
        <f t="shared" si="40"/>
        <v>14.778004892817194</v>
      </c>
      <c r="U147" s="24">
        <f t="shared" si="40"/>
        <v>14.93656890707549</v>
      </c>
      <c r="V147" s="24">
        <f t="shared" si="40"/>
        <v>15.221116311363076</v>
      </c>
      <c r="W147" s="24">
        <f t="shared" si="40"/>
        <v>15.584091092485226</v>
      </c>
      <c r="X147" s="24">
        <f t="shared" si="40"/>
        <v>15.005083184588011</v>
      </c>
      <c r="Y147" s="24">
        <f t="shared" si="40"/>
        <v>14.364826624089375</v>
      </c>
      <c r="Z147" s="24">
        <f t="shared" si="40"/>
        <v>14.348698793286664</v>
      </c>
      <c r="AA147" s="24">
        <f t="shared" si="40"/>
        <v>14.405216170118253</v>
      </c>
      <c r="AB147" s="24">
        <f t="shared" si="40"/>
        <v>14.136454006323961</v>
      </c>
      <c r="AC147" s="24">
        <f t="shared" si="40"/>
        <v>13.925604173260968</v>
      </c>
      <c r="AD147" s="24">
        <f t="shared" si="40"/>
        <v>13.930521375563323</v>
      </c>
      <c r="AE147" s="24">
        <f t="shared" si="40"/>
        <v>13.460925804001965</v>
      </c>
      <c r="AF147" s="24">
        <f t="shared" si="40"/>
        <v>13.222463018854716</v>
      </c>
      <c r="AG147" s="24">
        <f t="shared" si="40"/>
        <v>12.575870050286744</v>
      </c>
      <c r="AH147" s="24">
        <f t="shared" si="40"/>
        <v>13.088165486223998</v>
      </c>
      <c r="AI147" s="24">
        <f t="shared" si="40"/>
        <v>13.085971748942033</v>
      </c>
      <c r="AJ147" s="24">
        <f t="shared" si="40"/>
        <v>13.299253292693436</v>
      </c>
      <c r="AK147" s="24">
        <f t="shared" si="40"/>
        <v>13.492524200437416</v>
      </c>
      <c r="AL147" s="24">
        <f t="shared" si="40"/>
        <v>13.162876500117459</v>
      </c>
      <c r="AM147" s="24">
        <f t="shared" si="40"/>
        <v>12.819666277964799</v>
      </c>
      <c r="AN147" s="24">
        <f t="shared" si="40"/>
        <v>13.061879798374457</v>
      </c>
      <c r="AO147" s="24">
        <f t="shared" si="40"/>
        <v>13.003207338056814</v>
      </c>
      <c r="AP147" s="24">
        <f t="shared" si="40"/>
        <v>12.732182556770386</v>
      </c>
      <c r="AQ147" s="24">
        <f t="shared" si="40"/>
        <v>12.769743359169217</v>
      </c>
      <c r="AR147" s="24">
        <f t="shared" si="40"/>
        <v>12.794134500972557</v>
      </c>
      <c r="AS147" s="24">
        <f t="shared" si="40"/>
        <v>12.643588381259544</v>
      </c>
      <c r="AT147" s="24">
        <f t="shared" si="40"/>
        <v>12.633744818581814</v>
      </c>
      <c r="AU147" s="24">
        <f t="shared" si="40"/>
        <v>12.498929908401958</v>
      </c>
      <c r="AV147" s="24">
        <f t="shared" si="40"/>
        <v>12.471066990514247</v>
      </c>
      <c r="AW147" s="24">
        <f t="shared" si="40"/>
        <v>12.566285002505847</v>
      </c>
      <c r="AX147" s="24">
        <f t="shared" si="40"/>
        <v>12.379798434441614</v>
      </c>
      <c r="AY147" s="24">
        <f t="shared" si="40"/>
        <v>12.432725313539651</v>
      </c>
      <c r="AZ147" s="24">
        <f t="shared" si="40"/>
        <v>12.205533953765915</v>
      </c>
      <c r="BA147" s="24">
        <f t="shared" si="40"/>
        <v>11.886709006658577</v>
      </c>
      <c r="BB147" s="24">
        <f t="shared" si="40"/>
        <v>11.677303807756861</v>
      </c>
      <c r="BC147" s="24">
        <f t="shared" si="40"/>
        <v>11.453072390331078</v>
      </c>
      <c r="BD147" s="24">
        <f t="shared" si="40"/>
        <v>11.362437253086556</v>
      </c>
      <c r="BE147" s="24">
        <f t="shared" si="40"/>
        <v>11.125531258938899</v>
      </c>
      <c r="BF147" s="24">
        <f t="shared" si="40"/>
        <v>10.863251066922968</v>
      </c>
      <c r="BG147" s="24">
        <f t="shared" si="40"/>
        <v>10.753231933314618</v>
      </c>
      <c r="BH147" s="24">
        <f t="shared" si="40"/>
        <v>10.662756948215257</v>
      </c>
      <c r="BI147" s="24">
        <f t="shared" si="40"/>
        <v>10.445518882687809</v>
      </c>
      <c r="BJ147" s="24">
        <f t="shared" si="40"/>
        <v>10.136435233109072</v>
      </c>
      <c r="BK147" s="24" t="e">
        <f t="shared" si="40"/>
        <v>#DIV/0!</v>
      </c>
    </row>
    <row r="148" spans="1:63" s="17" customFormat="1">
      <c r="B148" s="17" t="s">
        <v>17</v>
      </c>
      <c r="C148" s="17" t="s">
        <v>126</v>
      </c>
      <c r="D148" s="5">
        <f>$B$146/D137</f>
        <v>12.269990115840052</v>
      </c>
      <c r="E148" s="5">
        <f t="shared" si="40"/>
        <v>12.256567857758011</v>
      </c>
      <c r="F148" s="5">
        <f t="shared" si="40"/>
        <v>12.243160282410864</v>
      </c>
      <c r="G148" s="5">
        <f t="shared" si="40"/>
        <v>12.22976737373703</v>
      </c>
      <c r="H148" s="5">
        <f t="shared" si="40"/>
        <v>12.216389115692493</v>
      </c>
      <c r="I148" s="5">
        <f t="shared" si="40"/>
        <v>12.203025492250795</v>
      </c>
      <c r="J148" s="5">
        <f t="shared" si="40"/>
        <v>12.189676487403004</v>
      </c>
      <c r="K148" s="5">
        <f t="shared" si="40"/>
        <v>12.176342085157701</v>
      </c>
      <c r="L148" s="5">
        <f t="shared" si="40"/>
        <v>12.163022269540964</v>
      </c>
      <c r="M148" s="5">
        <f t="shared" si="40"/>
        <v>12.149717024596338</v>
      </c>
      <c r="N148" s="5">
        <f t="shared" si="40"/>
        <v>12.136426334384831</v>
      </c>
      <c r="O148" s="5">
        <f t="shared" si="40"/>
        <v>12.049052276570091</v>
      </c>
      <c r="P148" s="5">
        <f t="shared" si="40"/>
        <v>12.169602357339581</v>
      </c>
      <c r="Q148" s="5">
        <f t="shared" si="40"/>
        <v>12.338788946110011</v>
      </c>
      <c r="R148" s="5">
        <f t="shared" si="40"/>
        <v>12.215185568800113</v>
      </c>
      <c r="S148" s="5">
        <f t="shared" si="40"/>
        <v>11.845941436116723</v>
      </c>
      <c r="T148" s="5">
        <f t="shared" si="40"/>
        <v>11.822655596065216</v>
      </c>
      <c r="U148" s="5">
        <f t="shared" si="40"/>
        <v>11.949521811514249</v>
      </c>
      <c r="V148" s="5">
        <f t="shared" si="40"/>
        <v>12.177148838833466</v>
      </c>
      <c r="W148" s="5">
        <f t="shared" si="40"/>
        <v>12.467530782915484</v>
      </c>
      <c r="X148" s="5">
        <f t="shared" si="40"/>
        <v>12.004316448454237</v>
      </c>
      <c r="Y148" s="5">
        <f t="shared" si="40"/>
        <v>11.492108690465768</v>
      </c>
      <c r="Z148" s="5">
        <f t="shared" si="40"/>
        <v>11.47923146656456</v>
      </c>
      <c r="AA148" s="5">
        <f t="shared" si="40"/>
        <v>11.524471470257707</v>
      </c>
      <c r="AB148" s="5">
        <f t="shared" si="40"/>
        <v>11.309495338566606</v>
      </c>
      <c r="AC148" s="5">
        <f t="shared" si="40"/>
        <v>11.140854351557675</v>
      </c>
      <c r="AD148" s="5">
        <f t="shared" si="40"/>
        <v>11.14485330261336</v>
      </c>
      <c r="AE148" s="5">
        <f t="shared" si="40"/>
        <v>10.769598789093791</v>
      </c>
      <c r="AF148" s="5">
        <f t="shared" si="40"/>
        <v>10.579060491798606</v>
      </c>
      <c r="AG148" s="5">
        <f t="shared" si="40"/>
        <v>10.062650529720376</v>
      </c>
      <c r="AH148" s="5">
        <f t="shared" si="40"/>
        <v>10.475501221004812</v>
      </c>
      <c r="AI148" s="5">
        <f t="shared" si="40"/>
        <v>10.475174305828304</v>
      </c>
      <c r="AJ148" s="5">
        <f t="shared" si="40"/>
        <v>10.649350104469205</v>
      </c>
      <c r="AK148" s="5">
        <f t="shared" si="40"/>
        <v>10.810122081251567</v>
      </c>
      <c r="AL148" s="5">
        <f t="shared" si="40"/>
        <v>10.557643191436382</v>
      </c>
      <c r="AM148" s="5">
        <f t="shared" si="40"/>
        <v>10.293004557781886</v>
      </c>
      <c r="AN148" s="5">
        <f t="shared" si="40"/>
        <v>10.495699882983859</v>
      </c>
      <c r="AO148" s="5">
        <f t="shared" si="40"/>
        <v>10.456508990524046</v>
      </c>
      <c r="AP148" s="5">
        <f t="shared" si="40"/>
        <v>10.242889706309294</v>
      </c>
      <c r="AQ148" s="5">
        <f t="shared" si="40"/>
        <v>10.281755414786085</v>
      </c>
      <c r="AR148" s="5">
        <f t="shared" si="40"/>
        <v>10.307612527582545</v>
      </c>
      <c r="AS148" s="5">
        <f t="shared" si="40"/>
        <v>10.19779160913064</v>
      </c>
      <c r="AT148" s="5">
        <f t="shared" si="40"/>
        <v>10.206470017679392</v>
      </c>
      <c r="AU148" s="5">
        <f t="shared" si="40"/>
        <v>10.119104388593835</v>
      </c>
      <c r="AV148" s="5">
        <f t="shared" si="40"/>
        <v>10.11848155486104</v>
      </c>
      <c r="AW148" s="5">
        <f t="shared" si="40"/>
        <v>10.224751364012379</v>
      </c>
      <c r="AX148" s="5">
        <f t="shared" si="40"/>
        <v>10.107972978195018</v>
      </c>
      <c r="AY148" s="5">
        <f t="shared" si="40"/>
        <v>10.182365362508135</v>
      </c>
      <c r="AZ148" s="5">
        <f t="shared" si="40"/>
        <v>10.031035527228084</v>
      </c>
      <c r="BA148" s="5">
        <f t="shared" si="40"/>
        <v>9.795787521610082</v>
      </c>
      <c r="BB148" s="5">
        <f t="shared" si="40"/>
        <v>9.6610807152911793</v>
      </c>
      <c r="BC148" s="5">
        <f t="shared" si="40"/>
        <v>9.516733686973323</v>
      </c>
      <c r="BD148" s="5">
        <f t="shared" si="40"/>
        <v>9.4874703077374196</v>
      </c>
      <c r="BE148" s="5">
        <f t="shared" si="40"/>
        <v>9.3257750525951231</v>
      </c>
      <c r="BF148" s="5">
        <f t="shared" si="40"/>
        <v>9.1319419001606121</v>
      </c>
      <c r="BG148" s="5">
        <f t="shared" si="40"/>
        <v>9.0691532405272941</v>
      </c>
      <c r="BH148" s="5">
        <f t="shared" si="40"/>
        <v>9.0189994421670505</v>
      </c>
      <c r="BI148" s="5">
        <f t="shared" si="40"/>
        <v>8.8483828241585574</v>
      </c>
      <c r="BJ148" s="5">
        <f t="shared" si="40"/>
        <v>8.5868712983500721</v>
      </c>
      <c r="BK148" s="5" t="e">
        <f t="shared" si="40"/>
        <v>#DIV/0!</v>
      </c>
    </row>
    <row r="149" spans="1:63" s="17" customFormat="1">
      <c r="B149" s="17" t="s">
        <v>17</v>
      </c>
      <c r="C149" s="17" t="s">
        <v>127</v>
      </c>
      <c r="D149" s="88">
        <f t="shared" ref="D149:S152" si="41">$B$146/D138</f>
        <v>21.404454978998331</v>
      </c>
      <c r="E149" s="88">
        <f t="shared" si="41"/>
        <v>21.261567641017233</v>
      </c>
      <c r="F149" s="88">
        <f t="shared" si="41"/>
        <v>21.119634160136226</v>
      </c>
      <c r="G149" s="88">
        <f t="shared" si="41"/>
        <v>20.978648168797623</v>
      </c>
      <c r="H149" s="88">
        <f t="shared" si="41"/>
        <v>20.838603341950936</v>
      </c>
      <c r="I149" s="88">
        <f t="shared" si="41"/>
        <v>20.699493396769103</v>
      </c>
      <c r="J149" s="88">
        <f t="shared" si="41"/>
        <v>20.561312092366645</v>
      </c>
      <c r="K149" s="88">
        <f t="shared" si="41"/>
        <v>20.424053229519654</v>
      </c>
      <c r="L149" s="88">
        <f t="shared" si="41"/>
        <v>20.287710650387705</v>
      </c>
      <c r="M149" s="88">
        <f t="shared" si="41"/>
        <v>20.152278238237571</v>
      </c>
      <c r="N149" s="88">
        <f t="shared" si="41"/>
        <v>20.017749917168825</v>
      </c>
      <c r="O149" s="88">
        <f t="shared" si="41"/>
        <v>19.733832912156501</v>
      </c>
      <c r="P149" s="88">
        <f t="shared" si="41"/>
        <v>19.670941284949315</v>
      </c>
      <c r="Q149" s="88">
        <f t="shared" si="41"/>
        <v>19.841898668572515</v>
      </c>
      <c r="R149" s="88">
        <f t="shared" si="41"/>
        <v>19.708089465650577</v>
      </c>
      <c r="S149" s="88">
        <f t="shared" si="41"/>
        <v>19.089313563016091</v>
      </c>
      <c r="T149" s="88">
        <f t="shared" si="40"/>
        <v>18.941963069797971</v>
      </c>
      <c r="U149" s="88">
        <f t="shared" si="40"/>
        <v>19.154773484233825</v>
      </c>
      <c r="V149" s="88">
        <f t="shared" si="40"/>
        <v>19.206840803655059</v>
      </c>
      <c r="W149" s="88">
        <f t="shared" si="40"/>
        <v>19.559449196848135</v>
      </c>
      <c r="X149" s="88">
        <f t="shared" si="40"/>
        <v>18.72088367302425</v>
      </c>
      <c r="Y149" s="88">
        <f t="shared" si="40"/>
        <v>17.999469667776143</v>
      </c>
      <c r="Z149" s="88">
        <f t="shared" si="40"/>
        <v>18.112657880788905</v>
      </c>
      <c r="AA149" s="88">
        <f t="shared" si="40"/>
        <v>18.298915481423137</v>
      </c>
      <c r="AB149" s="88">
        <f t="shared" si="40"/>
        <v>18.261224400374001</v>
      </c>
      <c r="AC149" s="88">
        <f t="shared" si="40"/>
        <v>17.983787069519899</v>
      </c>
      <c r="AD149" s="88">
        <f t="shared" si="40"/>
        <v>18.442653760416981</v>
      </c>
      <c r="AE149" s="88">
        <f t="shared" si="40"/>
        <v>17.837609691693984</v>
      </c>
      <c r="AF149" s="88">
        <f t="shared" si="40"/>
        <v>17.740294090884863</v>
      </c>
      <c r="AG149" s="88">
        <f t="shared" si="40"/>
        <v>19.941609355660379</v>
      </c>
      <c r="AH149" s="88">
        <f t="shared" si="40"/>
        <v>19.341626829465742</v>
      </c>
      <c r="AI149" s="88">
        <f t="shared" si="40"/>
        <v>19.324692537315414</v>
      </c>
      <c r="AJ149" s="88">
        <f t="shared" si="40"/>
        <v>19.975307879318748</v>
      </c>
      <c r="AK149" s="88">
        <f t="shared" si="40"/>
        <v>20.349047618195893</v>
      </c>
      <c r="AL149" s="88">
        <f t="shared" si="40"/>
        <v>20.615136723378523</v>
      </c>
      <c r="AM149" s="88">
        <f t="shared" si="40"/>
        <v>20.247101667748808</v>
      </c>
      <c r="AN149" s="88">
        <f t="shared" si="40"/>
        <v>20.680481912862462</v>
      </c>
      <c r="AO149" s="88">
        <f t="shared" si="40"/>
        <v>20.656170536912402</v>
      </c>
      <c r="AP149" s="88">
        <f t="shared" si="40"/>
        <v>20.196813501478132</v>
      </c>
      <c r="AQ149" s="88">
        <f t="shared" si="40"/>
        <v>19.998204687675749</v>
      </c>
      <c r="AR149" s="88">
        <f t="shared" si="40"/>
        <v>19.930475556519148</v>
      </c>
      <c r="AS149" s="88">
        <f t="shared" si="40"/>
        <v>19.599659908884806</v>
      </c>
      <c r="AT149" s="88">
        <f t="shared" si="40"/>
        <v>19.524634214788453</v>
      </c>
      <c r="AU149" s="88">
        <f t="shared" si="40"/>
        <v>19.238894921967908</v>
      </c>
      <c r="AV149" s="88">
        <f t="shared" si="40"/>
        <v>18.980967977914027</v>
      </c>
      <c r="AW149" s="88">
        <f t="shared" si="40"/>
        <v>19.066458749504157</v>
      </c>
      <c r="AX149" s="88">
        <f t="shared" si="40"/>
        <v>18.845123655872772</v>
      </c>
      <c r="AY149" s="88">
        <f t="shared" si="40"/>
        <v>18.634733258731352</v>
      </c>
      <c r="AZ149" s="88">
        <f t="shared" si="40"/>
        <v>17.827804075970946</v>
      </c>
      <c r="BA149" s="88">
        <f t="shared" si="40"/>
        <v>17.995963752000335</v>
      </c>
      <c r="BB149" s="88">
        <f t="shared" si="40"/>
        <v>18.094163043353714</v>
      </c>
      <c r="BC149" s="88">
        <f t="shared" si="40"/>
        <v>17.961449004859016</v>
      </c>
      <c r="BD149" s="88">
        <f t="shared" si="40"/>
        <v>18.095542841835996</v>
      </c>
      <c r="BE149" s="88">
        <f t="shared" si="40"/>
        <v>17.672321801431565</v>
      </c>
      <c r="BF149" s="88">
        <f t="shared" si="40"/>
        <v>17.347236623508632</v>
      </c>
      <c r="BG149" s="88">
        <f t="shared" si="40"/>
        <v>17.360180904337557</v>
      </c>
      <c r="BH149" s="88">
        <f t="shared" si="40"/>
        <v>17.456611801590689</v>
      </c>
      <c r="BI149" s="88">
        <f t="shared" si="40"/>
        <v>17.106338285992123</v>
      </c>
      <c r="BJ149" s="88">
        <f t="shared" si="40"/>
        <v>16.729141266998944</v>
      </c>
      <c r="BK149" s="88" t="e">
        <f t="shared" si="40"/>
        <v>#DIV/0!</v>
      </c>
    </row>
    <row r="150" spans="1:63" s="17" customFormat="1">
      <c r="B150" s="17" t="s">
        <v>17</v>
      </c>
      <c r="C150" s="17" t="s">
        <v>128</v>
      </c>
      <c r="D150" s="88">
        <f t="shared" si="41"/>
        <v>17.123563983198672</v>
      </c>
      <c r="E150" s="88">
        <f t="shared" si="40"/>
        <v>17.009254112813792</v>
      </c>
      <c r="F150" s="88">
        <f t="shared" si="40"/>
        <v>16.895707328108983</v>
      </c>
      <c r="G150" s="88">
        <f t="shared" si="40"/>
        <v>16.782918535038103</v>
      </c>
      <c r="H150" s="88">
        <f t="shared" si="40"/>
        <v>16.670882673560754</v>
      </c>
      <c r="I150" s="88">
        <f t="shared" si="40"/>
        <v>16.55959471741529</v>
      </c>
      <c r="J150" s="88">
        <f t="shared" si="40"/>
        <v>16.44904967389332</v>
      </c>
      <c r="K150" s="88">
        <f t="shared" si="40"/>
        <v>16.339242583615732</v>
      </c>
      <c r="L150" s="88">
        <f t="shared" si="40"/>
        <v>16.230168520310169</v>
      </c>
      <c r="M150" s="88">
        <f t="shared" si="40"/>
        <v>16.12182259059006</v>
      </c>
      <c r="N150" s="88">
        <f t="shared" si="40"/>
        <v>16.014199933735064</v>
      </c>
      <c r="O150" s="88">
        <f t="shared" si="40"/>
        <v>15.787066329725198</v>
      </c>
      <c r="P150" s="88">
        <f t="shared" si="40"/>
        <v>15.736753027959448</v>
      </c>
      <c r="Q150" s="88">
        <f t="shared" si="40"/>
        <v>15.87351893485801</v>
      </c>
      <c r="R150" s="88">
        <f t="shared" si="40"/>
        <v>15.766471572520457</v>
      </c>
      <c r="S150" s="88">
        <f t="shared" si="40"/>
        <v>15.271450850412871</v>
      </c>
      <c r="T150" s="88">
        <f t="shared" si="40"/>
        <v>15.153570455838377</v>
      </c>
      <c r="U150" s="88">
        <f t="shared" si="40"/>
        <v>15.323818787387067</v>
      </c>
      <c r="V150" s="88">
        <f t="shared" si="40"/>
        <v>15.365472642924049</v>
      </c>
      <c r="W150" s="88">
        <f t="shared" si="40"/>
        <v>15.647559357478508</v>
      </c>
      <c r="X150" s="88">
        <f t="shared" si="40"/>
        <v>14.976706938419401</v>
      </c>
      <c r="Y150" s="88">
        <f t="shared" si="40"/>
        <v>14.399575734220914</v>
      </c>
      <c r="Z150" s="88">
        <f t="shared" si="40"/>
        <v>14.49012630463112</v>
      </c>
      <c r="AA150" s="88">
        <f t="shared" si="40"/>
        <v>14.639132385138511</v>
      </c>
      <c r="AB150" s="88">
        <f t="shared" si="40"/>
        <v>14.608979520299199</v>
      </c>
      <c r="AC150" s="88">
        <f t="shared" si="40"/>
        <v>14.387029655615917</v>
      </c>
      <c r="AD150" s="88">
        <f t="shared" si="40"/>
        <v>14.754123008333586</v>
      </c>
      <c r="AE150" s="88">
        <f t="shared" si="40"/>
        <v>14.270087753355192</v>
      </c>
      <c r="AF150" s="88">
        <f t="shared" si="40"/>
        <v>14.192235272707894</v>
      </c>
      <c r="AG150" s="88">
        <f t="shared" si="40"/>
        <v>15.953287484528294</v>
      </c>
      <c r="AH150" s="88">
        <f t="shared" si="40"/>
        <v>15.473301463572598</v>
      </c>
      <c r="AI150" s="88">
        <f t="shared" si="40"/>
        <v>15.459754029852329</v>
      </c>
      <c r="AJ150" s="88">
        <f t="shared" si="40"/>
        <v>15.980246303454997</v>
      </c>
      <c r="AK150" s="88">
        <f t="shared" si="40"/>
        <v>16.279238094556714</v>
      </c>
      <c r="AL150" s="88">
        <f t="shared" si="40"/>
        <v>16.492109378702818</v>
      </c>
      <c r="AM150" s="88">
        <f t="shared" si="40"/>
        <v>16.197681334199039</v>
      </c>
      <c r="AN150" s="88">
        <f t="shared" si="40"/>
        <v>16.544385530289969</v>
      </c>
      <c r="AO150" s="88">
        <f t="shared" si="40"/>
        <v>16.524936429529916</v>
      </c>
      <c r="AP150" s="88">
        <f t="shared" si="40"/>
        <v>16.157450801182513</v>
      </c>
      <c r="AQ150" s="88">
        <f t="shared" si="40"/>
        <v>15.998563750140598</v>
      </c>
      <c r="AR150" s="88">
        <f t="shared" si="40"/>
        <v>15.944380445215318</v>
      </c>
      <c r="AS150" s="88">
        <f t="shared" si="40"/>
        <v>15.679727927107846</v>
      </c>
      <c r="AT150" s="88">
        <f t="shared" si="40"/>
        <v>15.619707371830753</v>
      </c>
      <c r="AU150" s="88">
        <f t="shared" si="40"/>
        <v>15.391115937574328</v>
      </c>
      <c r="AV150" s="88">
        <f t="shared" si="40"/>
        <v>15.18477438233122</v>
      </c>
      <c r="AW150" s="88">
        <f t="shared" si="40"/>
        <v>15.253166999603335</v>
      </c>
      <c r="AX150" s="88">
        <f t="shared" si="40"/>
        <v>15.076098924698224</v>
      </c>
      <c r="AY150" s="88">
        <f t="shared" si="40"/>
        <v>14.907786606985082</v>
      </c>
      <c r="AZ150" s="88">
        <f t="shared" si="40"/>
        <v>14.262243260776751</v>
      </c>
      <c r="BA150" s="88">
        <f t="shared" si="40"/>
        <v>14.396771001600271</v>
      </c>
      <c r="BB150" s="88">
        <f t="shared" si="40"/>
        <v>14.475330434682977</v>
      </c>
      <c r="BC150" s="88">
        <f t="shared" si="40"/>
        <v>14.369159203887213</v>
      </c>
      <c r="BD150" s="88">
        <f t="shared" si="40"/>
        <v>14.476434273468799</v>
      </c>
      <c r="BE150" s="88">
        <f t="shared" si="40"/>
        <v>14.137857441145252</v>
      </c>
      <c r="BF150" s="88">
        <f t="shared" si="40"/>
        <v>13.877789298806903</v>
      </c>
      <c r="BG150" s="88">
        <f t="shared" si="40"/>
        <v>13.888144723470045</v>
      </c>
      <c r="BH150" s="88">
        <f t="shared" si="40"/>
        <v>13.965289441272549</v>
      </c>
      <c r="BI150" s="88">
        <f t="shared" si="40"/>
        <v>13.685070628793699</v>
      </c>
      <c r="BJ150" s="88">
        <f t="shared" si="40"/>
        <v>13.383313013599158</v>
      </c>
      <c r="BK150" s="88" t="e">
        <f t="shared" si="40"/>
        <v>#DIV/0!</v>
      </c>
    </row>
    <row r="151" spans="1:63" s="91" customFormat="1">
      <c r="B151" s="91" t="s">
        <v>17</v>
      </c>
      <c r="C151" s="91" t="s">
        <v>129</v>
      </c>
      <c r="D151" s="24">
        <f t="shared" si="41"/>
        <v>16.062054879824025</v>
      </c>
      <c r="E151" s="24">
        <f t="shared" si="41"/>
        <v>16.028644242411524</v>
      </c>
      <c r="F151" s="24">
        <f t="shared" si="41"/>
        <v>15.995303102376583</v>
      </c>
      <c r="G151" s="24">
        <f t="shared" si="41"/>
        <v>15.962031315157887</v>
      </c>
      <c r="H151" s="24">
        <f t="shared" si="41"/>
        <v>15.928828736494831</v>
      </c>
      <c r="I151" s="24">
        <f t="shared" si="41"/>
        <v>15.895695222426882</v>
      </c>
      <c r="J151" s="24">
        <f t="shared" si="41"/>
        <v>15.86263062929296</v>
      </c>
      <c r="K151" s="24">
        <f t="shared" si="41"/>
        <v>15.829634813730816</v>
      </c>
      <c r="L151" s="24">
        <f t="shared" si="41"/>
        <v>15.796707632676407</v>
      </c>
      <c r="M151" s="24">
        <f t="shared" si="41"/>
        <v>15.763848943363275</v>
      </c>
      <c r="N151" s="24">
        <f t="shared" si="41"/>
        <v>15.731058603321934</v>
      </c>
      <c r="O151" s="24">
        <f t="shared" si="41"/>
        <v>15.593617381954559</v>
      </c>
      <c r="P151" s="24">
        <f t="shared" si="41"/>
        <v>15.714414071787269</v>
      </c>
      <c r="Q151" s="24">
        <f t="shared" si="41"/>
        <v>15.920566574736794</v>
      </c>
      <c r="R151" s="24">
        <f t="shared" si="41"/>
        <v>15.784501523247876</v>
      </c>
      <c r="S151" s="24">
        <f t="shared" si="41"/>
        <v>15.297794672056954</v>
      </c>
      <c r="T151" s="24">
        <f t="shared" si="40"/>
        <v>15.246521952683423</v>
      </c>
      <c r="U151" s="24">
        <f t="shared" si="40"/>
        <v>15.408661776862827</v>
      </c>
      <c r="V151" s="24">
        <f t="shared" si="40"/>
        <v>15.663303875388586</v>
      </c>
      <c r="W151" s="24">
        <f t="shared" si="40"/>
        <v>16.024497871077642</v>
      </c>
      <c r="X151" s="24">
        <f t="shared" si="40"/>
        <v>15.406883280669019</v>
      </c>
      <c r="Y151" s="24">
        <f t="shared" si="40"/>
        <v>14.752766151016811</v>
      </c>
      <c r="Z151" s="24">
        <f t="shared" si="40"/>
        <v>14.736050594302485</v>
      </c>
      <c r="AA151" s="24">
        <f t="shared" si="40"/>
        <v>14.799651752913643</v>
      </c>
      <c r="AB151" s="24">
        <f t="shared" si="40"/>
        <v>14.554500261133862</v>
      </c>
      <c r="AC151" s="24">
        <f t="shared" si="40"/>
        <v>14.341886566327227</v>
      </c>
      <c r="AD151" s="24">
        <f t="shared" si="40"/>
        <v>14.389308889287772</v>
      </c>
      <c r="AE151" s="24">
        <f t="shared" si="40"/>
        <v>13.911548988676804</v>
      </c>
      <c r="AF151" s="24">
        <f t="shared" si="40"/>
        <v>13.701078514066257</v>
      </c>
      <c r="AG151" s="24">
        <f t="shared" si="40"/>
        <v>13.364413373481659</v>
      </c>
      <c r="AH151" s="24">
        <f t="shared" si="40"/>
        <v>13.751370278085878</v>
      </c>
      <c r="AI151" s="24">
        <f t="shared" si="40"/>
        <v>13.774602068036815</v>
      </c>
      <c r="AJ151" s="24">
        <f t="shared" si="40"/>
        <v>14.022637557916743</v>
      </c>
      <c r="AK151" s="24">
        <f t="shared" si="40"/>
        <v>14.239095874393948</v>
      </c>
      <c r="AL151" s="24">
        <f t="shared" si="40"/>
        <v>13.98769889490271</v>
      </c>
      <c r="AM151" s="24">
        <f t="shared" si="40"/>
        <v>13.648088851143306</v>
      </c>
      <c r="AN151" s="24">
        <f t="shared" si="40"/>
        <v>13.918167959980899</v>
      </c>
      <c r="AO151" s="24">
        <f t="shared" si="40"/>
        <v>13.888261085458412</v>
      </c>
      <c r="AP151" s="24">
        <f t="shared" si="40"/>
        <v>13.61924556122854</v>
      </c>
      <c r="AQ151" s="24">
        <f t="shared" si="40"/>
        <v>13.624639624722192</v>
      </c>
      <c r="AR151" s="24">
        <f t="shared" si="40"/>
        <v>13.646023709968564</v>
      </c>
      <c r="AS151" s="24">
        <f t="shared" si="40"/>
        <v>13.479021526161688</v>
      </c>
      <c r="AT151" s="24">
        <f t="shared" si="40"/>
        <v>13.457092684898379</v>
      </c>
      <c r="AU151" s="24">
        <f t="shared" si="40"/>
        <v>13.335169123340341</v>
      </c>
      <c r="AV151" s="24">
        <f t="shared" si="40"/>
        <v>13.298028823014535</v>
      </c>
      <c r="AW151" s="24">
        <f t="shared" si="40"/>
        <v>13.406618835806698</v>
      </c>
      <c r="AX151" s="24">
        <f t="shared" si="40"/>
        <v>13.226315752148537</v>
      </c>
      <c r="AY151" s="24">
        <f t="shared" si="40"/>
        <v>13.268663040680279</v>
      </c>
      <c r="AZ151" s="24">
        <f t="shared" si="40"/>
        <v>12.951788167341327</v>
      </c>
      <c r="BA151" s="24">
        <f t="shared" si="40"/>
        <v>12.682614029093692</v>
      </c>
      <c r="BB151" s="24">
        <f t="shared" ref="BB151:BK151" si="42">$B$146/BB140</f>
        <v>12.527656809709731</v>
      </c>
      <c r="BC151" s="24">
        <f t="shared" si="42"/>
        <v>12.309756890991038</v>
      </c>
      <c r="BD151" s="24">
        <f t="shared" si="42"/>
        <v>12.238840593898587</v>
      </c>
      <c r="BE151" s="24">
        <f t="shared" si="42"/>
        <v>11.991388664021107</v>
      </c>
      <c r="BF151" s="24">
        <f t="shared" si="42"/>
        <v>11.739909405174636</v>
      </c>
      <c r="BG151" s="24">
        <f t="shared" si="42"/>
        <v>11.66335247214051</v>
      </c>
      <c r="BH151" s="24">
        <f t="shared" si="42"/>
        <v>11.620710106509399</v>
      </c>
      <c r="BI151" s="24">
        <f t="shared" si="42"/>
        <v>11.391234136641849</v>
      </c>
      <c r="BJ151" s="24">
        <f t="shared" si="42"/>
        <v>11.079234492709086</v>
      </c>
      <c r="BK151" s="24" t="e">
        <f t="shared" si="42"/>
        <v>#DIV/0!</v>
      </c>
    </row>
    <row r="152" spans="1:63" s="91" customFormat="1">
      <c r="B152" s="91" t="s">
        <v>17</v>
      </c>
      <c r="C152" s="91" t="s">
        <v>130</v>
      </c>
      <c r="D152" s="24">
        <f t="shared" si="41"/>
        <v>12.849881756893742</v>
      </c>
      <c r="E152" s="24">
        <f t="shared" si="41"/>
        <v>12.823154231670195</v>
      </c>
      <c r="F152" s="24">
        <f t="shared" si="41"/>
        <v>12.796482299223147</v>
      </c>
      <c r="G152" s="24">
        <f t="shared" si="41"/>
        <v>12.769865843920616</v>
      </c>
      <c r="H152" s="24">
        <f t="shared" si="41"/>
        <v>12.743304750371127</v>
      </c>
      <c r="I152" s="24">
        <f t="shared" si="41"/>
        <v>12.716798903423223</v>
      </c>
      <c r="J152" s="24">
        <f t="shared" si="41"/>
        <v>12.690348188164954</v>
      </c>
      <c r="K152" s="24">
        <f t="shared" si="41"/>
        <v>12.663952489923386</v>
      </c>
      <c r="L152" s="24">
        <f t="shared" si="41"/>
        <v>12.637611694264107</v>
      </c>
      <c r="M152" s="24">
        <f t="shared" si="41"/>
        <v>12.611325686990723</v>
      </c>
      <c r="N152" s="24">
        <f t="shared" si="41"/>
        <v>12.585094354144365</v>
      </c>
      <c r="O152" s="24">
        <f t="shared" si="41"/>
        <v>12.475147142732848</v>
      </c>
      <c r="P152" s="24">
        <f t="shared" si="41"/>
        <v>12.571781109419273</v>
      </c>
      <c r="Q152" s="24">
        <f t="shared" si="41"/>
        <v>12.736720505402289</v>
      </c>
      <c r="R152" s="24">
        <f t="shared" si="41"/>
        <v>12.627864653817422</v>
      </c>
      <c r="S152" s="24">
        <f t="shared" si="41"/>
        <v>12.238503739481901</v>
      </c>
      <c r="T152" s="24">
        <f t="shared" ref="T152:BK152" si="43">$B$146/T141</f>
        <v>12.197477223196481</v>
      </c>
      <c r="U152" s="24">
        <f t="shared" si="43"/>
        <v>12.327204536354211</v>
      </c>
      <c r="V152" s="24">
        <f t="shared" si="43"/>
        <v>12.530906320983442</v>
      </c>
      <c r="W152" s="24">
        <f t="shared" si="43"/>
        <v>12.819863494301735</v>
      </c>
      <c r="X152" s="24">
        <f t="shared" si="43"/>
        <v>12.325763217061954</v>
      </c>
      <c r="Y152" s="24">
        <f t="shared" si="43"/>
        <v>11.8024669931063</v>
      </c>
      <c r="Z152" s="24">
        <f t="shared" si="43"/>
        <v>11.789120261842056</v>
      </c>
      <c r="AA152" s="24">
        <f t="shared" si="43"/>
        <v>11.840028110789723</v>
      </c>
      <c r="AB152" s="24">
        <f t="shared" si="43"/>
        <v>11.643942164337963</v>
      </c>
      <c r="AC152" s="24">
        <f t="shared" si="43"/>
        <v>11.473891356815521</v>
      </c>
      <c r="AD152" s="24">
        <f t="shared" si="43"/>
        <v>11.511897679466264</v>
      </c>
      <c r="AE152" s="24">
        <f t="shared" si="43"/>
        <v>11.130126064459121</v>
      </c>
      <c r="AF152" s="24">
        <f t="shared" si="43"/>
        <v>10.961992345639676</v>
      </c>
      <c r="AG152" s="24">
        <f t="shared" si="43"/>
        <v>10.693607740404483</v>
      </c>
      <c r="AH152" s="24">
        <f t="shared" si="43"/>
        <v>11.006316835632996</v>
      </c>
      <c r="AI152" s="24">
        <f t="shared" si="43"/>
        <v>11.026415189057264</v>
      </c>
      <c r="AJ152" s="24">
        <f t="shared" si="43"/>
        <v>11.228598587890415</v>
      </c>
      <c r="AK152" s="24">
        <f t="shared" si="43"/>
        <v>11.408270420137846</v>
      </c>
      <c r="AL152" s="24">
        <f t="shared" si="43"/>
        <v>11.219214432370766</v>
      </c>
      <c r="AM152" s="24">
        <f t="shared" si="43"/>
        <v>10.958151148699963</v>
      </c>
      <c r="AN152" s="24">
        <f t="shared" si="43"/>
        <v>11.183758852772547</v>
      </c>
      <c r="AO152" s="24">
        <f t="shared" si="43"/>
        <v>11.168223587254056</v>
      </c>
      <c r="AP152" s="24">
        <f t="shared" si="43"/>
        <v>10.956521361895369</v>
      </c>
      <c r="AQ152" s="24">
        <f t="shared" si="43"/>
        <v>10.970088301376034</v>
      </c>
      <c r="AR152" s="24">
        <f t="shared" si="43"/>
        <v>10.993938271781349</v>
      </c>
      <c r="AS152" s="24">
        <f t="shared" si="43"/>
        <v>10.871617176538429</v>
      </c>
      <c r="AT152" s="24">
        <f t="shared" si="43"/>
        <v>10.871631094806773</v>
      </c>
      <c r="AU152" s="24">
        <f t="shared" si="43"/>
        <v>10.796121699020464</v>
      </c>
      <c r="AV152" s="24">
        <f t="shared" si="43"/>
        <v>10.78944243215348</v>
      </c>
      <c r="AW152" s="24">
        <f t="shared" si="43"/>
        <v>10.908501932024746</v>
      </c>
      <c r="AX152" s="24">
        <f t="shared" si="43"/>
        <v>10.799145311756654</v>
      </c>
      <c r="AY152" s="24">
        <f t="shared" si="43"/>
        <v>10.866995895508081</v>
      </c>
      <c r="AZ152" s="24">
        <f t="shared" si="43"/>
        <v>10.644339505331308</v>
      </c>
      <c r="BA152" s="24">
        <f t="shared" si="43"/>
        <v>10.451689544852117</v>
      </c>
      <c r="BB152" s="24">
        <f t="shared" si="43"/>
        <v>10.364610324831672</v>
      </c>
      <c r="BC152" s="24">
        <f t="shared" si="43"/>
        <v>10.22858095106827</v>
      </c>
      <c r="BD152" s="24">
        <f t="shared" si="43"/>
        <v>10.219254386131109</v>
      </c>
      <c r="BE152" s="24">
        <f t="shared" si="43"/>
        <v>10.051564338471485</v>
      </c>
      <c r="BF152" s="24">
        <f t="shared" si="43"/>
        <v>9.8688845485342096</v>
      </c>
      <c r="BG152" s="24">
        <f t="shared" si="43"/>
        <v>9.8367385288526989</v>
      </c>
      <c r="BH152" s="24">
        <f t="shared" si="43"/>
        <v>9.8292757189533457</v>
      </c>
      <c r="BI152" s="24">
        <f t="shared" si="43"/>
        <v>9.6494967471347266</v>
      </c>
      <c r="BJ152" s="24">
        <f t="shared" si="43"/>
        <v>9.3855441765550047</v>
      </c>
      <c r="BK152" s="24" t="e">
        <f t="shared" si="43"/>
        <v>#DIV/0!</v>
      </c>
    </row>
    <row r="153" spans="1:63" s="17" customFormat="1"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7"/>
      <c r="BK153" s="18"/>
    </row>
    <row r="154" spans="1:63" s="17" customFormat="1"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7"/>
      <c r="BK154" s="18"/>
    </row>
    <row r="155" spans="1:63" s="17" customFormat="1"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7"/>
      <c r="BK155" s="18"/>
    </row>
    <row r="156" spans="1:63" s="17" customFormat="1"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7"/>
      <c r="BK156" s="18"/>
    </row>
    <row r="157" spans="1:63" s="17" customFormat="1"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7"/>
      <c r="BK157" s="18"/>
    </row>
    <row r="158" spans="1:63" s="17" customFormat="1"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7"/>
      <c r="BK158" s="18"/>
    </row>
    <row r="159" spans="1:63" s="17" customFormat="1"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7"/>
      <c r="BK159" s="18"/>
    </row>
    <row r="160" spans="1:63" s="17" customFormat="1"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7"/>
      <c r="BK160" s="18"/>
    </row>
    <row r="161" spans="2:63" s="17" customFormat="1"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7"/>
      <c r="BK161" s="18"/>
    </row>
    <row r="162" spans="2:63" s="17" customFormat="1"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7"/>
      <c r="BK162" s="18"/>
    </row>
    <row r="163" spans="2:63" s="17" customFormat="1"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7"/>
      <c r="BK163" s="18"/>
    </row>
    <row r="164" spans="2:63" s="17" customFormat="1"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7"/>
      <c r="BK164" s="18"/>
    </row>
    <row r="165" spans="2:63" s="17" customFormat="1"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7"/>
      <c r="BK165" s="18"/>
    </row>
    <row r="166" spans="2:63" s="17" customFormat="1"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7"/>
      <c r="BK166" s="18"/>
    </row>
    <row r="167" spans="2:63" s="17" customFormat="1">
      <c r="H167" s="82"/>
      <c r="I167" s="82"/>
      <c r="J167" s="82"/>
      <c r="K167" s="82"/>
      <c r="L167" s="82"/>
      <c r="M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7"/>
      <c r="BK167" s="18"/>
    </row>
    <row r="168" spans="2:63" s="17" customFormat="1">
      <c r="B168" s="17" t="s">
        <v>294</v>
      </c>
      <c r="D168" s="17">
        <v>1960</v>
      </c>
      <c r="E168" s="17">
        <v>1961</v>
      </c>
      <c r="F168" s="17">
        <v>1962</v>
      </c>
      <c r="G168" s="17">
        <v>1963</v>
      </c>
      <c r="H168" s="17">
        <v>1964</v>
      </c>
      <c r="I168" s="17">
        <v>1965</v>
      </c>
      <c r="J168" s="17">
        <v>1966</v>
      </c>
      <c r="K168" s="17">
        <v>1967</v>
      </c>
      <c r="L168" s="17">
        <v>1968</v>
      </c>
      <c r="M168" s="17">
        <v>1969</v>
      </c>
      <c r="N168" s="17">
        <v>1970</v>
      </c>
      <c r="O168" s="17">
        <v>1971</v>
      </c>
      <c r="P168" s="17">
        <v>1972</v>
      </c>
      <c r="Q168" s="17">
        <v>1973</v>
      </c>
      <c r="R168" s="17">
        <v>1974</v>
      </c>
      <c r="S168" s="17">
        <v>1975</v>
      </c>
      <c r="T168" s="17">
        <v>1976</v>
      </c>
      <c r="U168" s="17">
        <v>1977</v>
      </c>
      <c r="V168" s="17">
        <v>1978</v>
      </c>
      <c r="W168" s="17">
        <v>1979</v>
      </c>
      <c r="X168" s="17">
        <v>1980</v>
      </c>
      <c r="Y168" s="17">
        <v>1981</v>
      </c>
      <c r="Z168" s="17">
        <v>1982</v>
      </c>
      <c r="AA168" s="17">
        <v>1983</v>
      </c>
      <c r="AB168" s="17">
        <v>1984</v>
      </c>
      <c r="AC168" s="17">
        <v>1985</v>
      </c>
      <c r="AD168" s="17">
        <v>1986</v>
      </c>
      <c r="AE168" s="17">
        <v>1987</v>
      </c>
      <c r="AF168" s="17">
        <v>1988</v>
      </c>
      <c r="AG168" s="17">
        <v>1989</v>
      </c>
      <c r="AH168" s="17">
        <v>1990</v>
      </c>
      <c r="AI168" s="17">
        <v>1991</v>
      </c>
      <c r="AJ168" s="17">
        <v>1992</v>
      </c>
      <c r="AK168" s="17">
        <v>1993</v>
      </c>
      <c r="AL168" s="17">
        <v>1994</v>
      </c>
      <c r="AM168" s="17">
        <v>1995</v>
      </c>
      <c r="AN168" s="17">
        <v>1996</v>
      </c>
      <c r="AO168" s="17">
        <v>1997</v>
      </c>
      <c r="AP168" s="17">
        <v>1998</v>
      </c>
      <c r="AQ168" s="17">
        <v>1999</v>
      </c>
      <c r="AR168" s="17">
        <v>2000</v>
      </c>
      <c r="AS168" s="17">
        <v>2001</v>
      </c>
      <c r="AT168" s="17">
        <v>2002</v>
      </c>
      <c r="AU168" s="17">
        <v>2003</v>
      </c>
      <c r="AV168" s="17">
        <v>2004</v>
      </c>
      <c r="AW168" s="17">
        <v>2005</v>
      </c>
      <c r="AX168" s="17">
        <v>2006</v>
      </c>
      <c r="AY168" s="17">
        <v>2007</v>
      </c>
      <c r="AZ168" s="17">
        <v>2008</v>
      </c>
      <c r="BA168" s="17">
        <v>2009</v>
      </c>
      <c r="BB168" s="17">
        <v>2010</v>
      </c>
      <c r="BC168" s="17">
        <v>2011</v>
      </c>
      <c r="BD168" s="17">
        <v>2012</v>
      </c>
      <c r="BE168" s="17">
        <v>2013</v>
      </c>
      <c r="BF168" s="17">
        <v>2014</v>
      </c>
      <c r="BG168" s="17">
        <v>2015</v>
      </c>
      <c r="BH168" s="17">
        <v>2016</v>
      </c>
      <c r="BI168" s="17">
        <v>2017</v>
      </c>
      <c r="BJ168" s="17">
        <v>2018</v>
      </c>
      <c r="BK168" s="17">
        <v>2019</v>
      </c>
    </row>
    <row r="169" spans="2:63" s="17" customFormat="1">
      <c r="C169" s="92" t="s">
        <v>295</v>
      </c>
      <c r="D169" s="93">
        <f>D123</f>
        <v>6.2</v>
      </c>
      <c r="E169" s="93">
        <f t="shared" ref="E169:BK169" si="44">E123</f>
        <v>6</v>
      </c>
      <c r="F169" s="93">
        <f t="shared" si="44"/>
        <v>5.4</v>
      </c>
      <c r="G169" s="93">
        <f t="shared" si="44"/>
        <v>4.7</v>
      </c>
      <c r="H169" s="93">
        <f t="shared" si="44"/>
        <v>4.7</v>
      </c>
      <c r="I169" s="93">
        <f t="shared" si="44"/>
        <v>4.2</v>
      </c>
      <c r="J169" s="93">
        <f t="shared" si="44"/>
        <v>3.7</v>
      </c>
      <c r="K169" s="93">
        <f t="shared" si="44"/>
        <v>3.2</v>
      </c>
      <c r="L169" s="93">
        <f t="shared" si="44"/>
        <v>2.9</v>
      </c>
      <c r="M169" s="93">
        <f t="shared" si="44"/>
        <v>2.6</v>
      </c>
      <c r="N169" s="93">
        <f t="shared" si="44"/>
        <v>2.5</v>
      </c>
      <c r="O169" s="93">
        <f t="shared" si="44"/>
        <v>2.4</v>
      </c>
      <c r="P169" s="93">
        <f t="shared" si="44"/>
        <v>2.2999999999999998</v>
      </c>
      <c r="Q169" s="93">
        <f t="shared" si="44"/>
        <v>2.4</v>
      </c>
      <c r="R169" s="93">
        <f t="shared" si="44"/>
        <v>2.6</v>
      </c>
      <c r="S169" s="93">
        <f t="shared" si="44"/>
        <v>3.2</v>
      </c>
      <c r="T169" s="93">
        <f t="shared" si="44"/>
        <v>3.9</v>
      </c>
      <c r="U169" s="93">
        <f t="shared" si="44"/>
        <v>3.9</v>
      </c>
      <c r="V169" s="93">
        <f t="shared" si="44"/>
        <v>3.8</v>
      </c>
      <c r="W169" s="93">
        <f t="shared" si="44"/>
        <v>4</v>
      </c>
      <c r="X169" s="93">
        <f t="shared" si="44"/>
        <v>4.8</v>
      </c>
      <c r="Y169" s="93">
        <f t="shared" si="44"/>
        <v>5.5</v>
      </c>
      <c r="Z169" s="93">
        <f t="shared" si="44"/>
        <v>5.7</v>
      </c>
      <c r="AA169" s="93">
        <f t="shared" si="44"/>
        <v>5.2</v>
      </c>
      <c r="AB169" s="93">
        <f t="shared" si="44"/>
        <v>5</v>
      </c>
      <c r="AC169" s="93">
        <f t="shared" si="44"/>
        <v>4.5999999999999996</v>
      </c>
      <c r="AD169" s="93">
        <f t="shared" si="44"/>
        <v>4.4000000000000004</v>
      </c>
      <c r="AE169" s="93">
        <f t="shared" si="44"/>
        <v>4.2</v>
      </c>
      <c r="AF169" s="93">
        <f t="shared" si="44"/>
        <v>3.7</v>
      </c>
      <c r="AG169" s="93">
        <f t="shared" si="44"/>
        <v>3.7</v>
      </c>
      <c r="AH169" s="93">
        <f t="shared" si="44"/>
        <v>3.5</v>
      </c>
      <c r="AI169" s="93">
        <f t="shared" si="44"/>
        <v>3.4</v>
      </c>
      <c r="AJ169" s="93">
        <f t="shared" si="44"/>
        <v>2.8</v>
      </c>
      <c r="AK169" s="93">
        <f t="shared" si="44"/>
        <v>2.2999999999999998</v>
      </c>
      <c r="AL169" s="93">
        <f t="shared" si="44"/>
        <v>2.2999999999999998</v>
      </c>
      <c r="AM169" s="93">
        <f t="shared" si="44"/>
        <v>2.2999999999999998</v>
      </c>
      <c r="AN169" s="93">
        <f t="shared" si="44"/>
        <v>2.2999999999999998</v>
      </c>
      <c r="AO169" s="93">
        <f t="shared" si="44"/>
        <v>2.5</v>
      </c>
      <c r="AP169" s="93">
        <f t="shared" si="44"/>
        <v>2.6</v>
      </c>
      <c r="AQ169" s="93">
        <f t="shared" si="44"/>
        <v>2.8</v>
      </c>
      <c r="AR169" s="93">
        <f t="shared" si="44"/>
        <v>2.8</v>
      </c>
      <c r="AS169" s="93">
        <f t="shared" si="44"/>
        <v>3</v>
      </c>
      <c r="AT169" s="93">
        <f t="shared" si="44"/>
        <v>3.1</v>
      </c>
      <c r="AU169" s="93">
        <f t="shared" si="44"/>
        <v>3.4</v>
      </c>
      <c r="AV169" s="93">
        <f t="shared" si="44"/>
        <v>3.2</v>
      </c>
      <c r="AW169" s="93">
        <f t="shared" si="44"/>
        <v>3.3</v>
      </c>
      <c r="AX169" s="93">
        <f t="shared" si="44"/>
        <v>3.2</v>
      </c>
      <c r="AY169" s="93">
        <f t="shared" si="44"/>
        <v>3.4</v>
      </c>
      <c r="AZ169" s="93">
        <f t="shared" si="44"/>
        <v>3.1</v>
      </c>
      <c r="BA169" s="93">
        <f t="shared" si="44"/>
        <v>3.2</v>
      </c>
      <c r="BB169" s="93">
        <f t="shared" si="44"/>
        <v>2.9</v>
      </c>
      <c r="BC169" s="93">
        <f t="shared" si="44"/>
        <v>2.9</v>
      </c>
      <c r="BD169" s="93">
        <f t="shared" si="44"/>
        <v>2.9</v>
      </c>
      <c r="BE169" s="93">
        <f t="shared" si="44"/>
        <v>2.8</v>
      </c>
      <c r="BF169" s="93">
        <f t="shared" si="44"/>
        <v>2.9</v>
      </c>
      <c r="BG169" s="93">
        <f t="shared" si="44"/>
        <v>2.9</v>
      </c>
      <c r="BH169" s="93">
        <f t="shared" si="44"/>
        <v>3</v>
      </c>
      <c r="BI169" s="93">
        <f t="shared" si="44"/>
        <v>3</v>
      </c>
      <c r="BJ169" s="93">
        <f t="shared" si="44"/>
        <v>3</v>
      </c>
      <c r="BK169" s="93">
        <f t="shared" si="44"/>
        <v>0</v>
      </c>
    </row>
    <row r="170" spans="2:63" s="17" customFormat="1">
      <c r="C170" s="92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  <c r="BJ170" s="93"/>
      <c r="BK170" s="93"/>
    </row>
    <row r="171" spans="2:63" s="17" customFormat="1">
      <c r="C171" s="92" t="s">
        <v>131</v>
      </c>
      <c r="D171" s="82">
        <f t="shared" ref="D171:M171" si="45">SUM(D169:D170)</f>
        <v>6.2</v>
      </c>
      <c r="E171" s="82">
        <f t="shared" si="45"/>
        <v>6</v>
      </c>
      <c r="F171" s="82">
        <f t="shared" si="45"/>
        <v>5.4</v>
      </c>
      <c r="G171" s="82">
        <f t="shared" si="45"/>
        <v>4.7</v>
      </c>
      <c r="H171" s="82">
        <f t="shared" si="45"/>
        <v>4.7</v>
      </c>
      <c r="I171" s="82">
        <f t="shared" si="45"/>
        <v>4.2</v>
      </c>
      <c r="J171" s="82">
        <f t="shared" si="45"/>
        <v>3.7</v>
      </c>
      <c r="K171" s="82">
        <f t="shared" si="45"/>
        <v>3.2</v>
      </c>
      <c r="L171" s="82">
        <f t="shared" si="45"/>
        <v>2.9</v>
      </c>
      <c r="M171" s="82">
        <f t="shared" si="45"/>
        <v>2.6</v>
      </c>
      <c r="N171" s="82">
        <f>SUM(N169:N170)</f>
        <v>2.5</v>
      </c>
      <c r="O171" s="82">
        <f>SUM(O169:O170)</f>
        <v>2.4</v>
      </c>
      <c r="P171" s="82">
        <f t="shared" ref="P171:BK171" si="46">SUM(P169:P170)</f>
        <v>2.2999999999999998</v>
      </c>
      <c r="Q171" s="82">
        <f t="shared" si="46"/>
        <v>2.4</v>
      </c>
      <c r="R171" s="82">
        <f t="shared" si="46"/>
        <v>2.6</v>
      </c>
      <c r="S171" s="82">
        <f t="shared" si="46"/>
        <v>3.2</v>
      </c>
      <c r="T171" s="82">
        <f t="shared" si="46"/>
        <v>3.9</v>
      </c>
      <c r="U171" s="82">
        <f t="shared" si="46"/>
        <v>3.9</v>
      </c>
      <c r="V171" s="82">
        <f t="shared" si="46"/>
        <v>3.8</v>
      </c>
      <c r="W171" s="82">
        <f t="shared" si="46"/>
        <v>4</v>
      </c>
      <c r="X171" s="82">
        <f t="shared" si="46"/>
        <v>4.8</v>
      </c>
      <c r="Y171" s="82">
        <f t="shared" si="46"/>
        <v>5.5</v>
      </c>
      <c r="Z171" s="82">
        <f t="shared" si="46"/>
        <v>5.7</v>
      </c>
      <c r="AA171" s="82">
        <f t="shared" si="46"/>
        <v>5.2</v>
      </c>
      <c r="AB171" s="82">
        <f t="shared" si="46"/>
        <v>5</v>
      </c>
      <c r="AC171" s="82">
        <f t="shared" si="46"/>
        <v>4.5999999999999996</v>
      </c>
      <c r="AD171" s="82">
        <f t="shared" si="46"/>
        <v>4.4000000000000004</v>
      </c>
      <c r="AE171" s="82">
        <f t="shared" si="46"/>
        <v>4.2</v>
      </c>
      <c r="AF171" s="82">
        <f t="shared" si="46"/>
        <v>3.7</v>
      </c>
      <c r="AG171" s="82">
        <f t="shared" si="46"/>
        <v>3.7</v>
      </c>
      <c r="AH171" s="82">
        <f t="shared" si="46"/>
        <v>3.5</v>
      </c>
      <c r="AI171" s="82">
        <f t="shared" si="46"/>
        <v>3.4</v>
      </c>
      <c r="AJ171" s="82">
        <f t="shared" si="46"/>
        <v>2.8</v>
      </c>
      <c r="AK171" s="82">
        <f t="shared" si="46"/>
        <v>2.2999999999999998</v>
      </c>
      <c r="AL171" s="82">
        <f t="shared" si="46"/>
        <v>2.2999999999999998</v>
      </c>
      <c r="AM171" s="82">
        <f t="shared" si="46"/>
        <v>2.2999999999999998</v>
      </c>
      <c r="AN171" s="82">
        <f t="shared" si="46"/>
        <v>2.2999999999999998</v>
      </c>
      <c r="AO171" s="82">
        <f t="shared" si="46"/>
        <v>2.5</v>
      </c>
      <c r="AP171" s="82">
        <f t="shared" si="46"/>
        <v>2.6</v>
      </c>
      <c r="AQ171" s="82">
        <f t="shared" si="46"/>
        <v>2.8</v>
      </c>
      <c r="AR171" s="82">
        <f t="shared" si="46"/>
        <v>2.8</v>
      </c>
      <c r="AS171" s="82">
        <f t="shared" si="46"/>
        <v>3</v>
      </c>
      <c r="AT171" s="82">
        <f t="shared" si="46"/>
        <v>3.1</v>
      </c>
      <c r="AU171" s="82">
        <f t="shared" si="46"/>
        <v>3.4</v>
      </c>
      <c r="AV171" s="82">
        <f t="shared" si="46"/>
        <v>3.2</v>
      </c>
      <c r="AW171" s="82">
        <f t="shared" si="46"/>
        <v>3.3</v>
      </c>
      <c r="AX171" s="82">
        <f t="shared" si="46"/>
        <v>3.2</v>
      </c>
      <c r="AY171" s="82">
        <f t="shared" si="46"/>
        <v>3.4</v>
      </c>
      <c r="AZ171" s="82">
        <f t="shared" si="46"/>
        <v>3.1</v>
      </c>
      <c r="BA171" s="82">
        <f t="shared" si="46"/>
        <v>3.2</v>
      </c>
      <c r="BB171" s="82">
        <f t="shared" si="46"/>
        <v>2.9</v>
      </c>
      <c r="BC171" s="82">
        <f t="shared" si="46"/>
        <v>2.9</v>
      </c>
      <c r="BD171" s="82">
        <f t="shared" si="46"/>
        <v>2.9</v>
      </c>
      <c r="BE171" s="82">
        <f t="shared" si="46"/>
        <v>2.8</v>
      </c>
      <c r="BF171" s="82">
        <f t="shared" si="46"/>
        <v>2.9</v>
      </c>
      <c r="BG171" s="82">
        <f t="shared" si="46"/>
        <v>2.9</v>
      </c>
      <c r="BH171" s="82">
        <f t="shared" si="46"/>
        <v>3</v>
      </c>
      <c r="BI171" s="82">
        <f t="shared" si="46"/>
        <v>3</v>
      </c>
      <c r="BJ171" s="82">
        <f t="shared" si="46"/>
        <v>3</v>
      </c>
      <c r="BK171" s="82">
        <f t="shared" si="46"/>
        <v>0</v>
      </c>
    </row>
    <row r="172" spans="2:63" s="17" customFormat="1">
      <c r="E172" s="94">
        <v>1</v>
      </c>
      <c r="F172" s="94" t="s">
        <v>132</v>
      </c>
      <c r="H172" s="95">
        <v>41888</v>
      </c>
      <c r="I172" s="96" t="s">
        <v>36</v>
      </c>
      <c r="J172" s="82"/>
      <c r="K172" s="22">
        <v>1</v>
      </c>
      <c r="L172" s="22" t="s">
        <v>16</v>
      </c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7"/>
      <c r="BK172" s="18"/>
    </row>
    <row r="173" spans="2:63" s="17" customFormat="1">
      <c r="E173" s="94">
        <v>158.23699999999999</v>
      </c>
      <c r="F173" s="94" t="s">
        <v>36</v>
      </c>
      <c r="H173" s="95">
        <v>1</v>
      </c>
      <c r="I173" s="95" t="s">
        <v>37</v>
      </c>
      <c r="J173" s="82"/>
      <c r="K173" s="22">
        <v>282.5</v>
      </c>
      <c r="L173" s="22" t="s">
        <v>17</v>
      </c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7"/>
      <c r="BK173" s="18"/>
    </row>
    <row r="174" spans="2:63" s="17" customFormat="1">
      <c r="H174" s="82"/>
      <c r="I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7"/>
      <c r="BK174" s="18"/>
    </row>
    <row r="175" spans="2:63" s="17" customFormat="1">
      <c r="B175" s="17" t="s">
        <v>294</v>
      </c>
      <c r="G175" s="89" t="s">
        <v>47</v>
      </c>
      <c r="H175" s="82">
        <f>H172/E173</f>
        <v>264.71684877746674</v>
      </c>
      <c r="I175" s="82" t="s">
        <v>133</v>
      </c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7"/>
      <c r="BK175" s="18"/>
    </row>
    <row r="176" spans="2:63" s="17" customFormat="1">
      <c r="D176" s="17">
        <v>1960</v>
      </c>
      <c r="E176" s="17">
        <v>1961</v>
      </c>
      <c r="F176" s="17">
        <v>1962</v>
      </c>
      <c r="G176" s="17">
        <v>1963</v>
      </c>
      <c r="H176" s="17">
        <v>1964</v>
      </c>
      <c r="I176" s="17">
        <v>1965</v>
      </c>
      <c r="J176" s="17">
        <v>1966</v>
      </c>
      <c r="K176" s="17">
        <v>1967</v>
      </c>
      <c r="L176" s="17">
        <v>1968</v>
      </c>
      <c r="M176" s="17">
        <v>1969</v>
      </c>
      <c r="N176" s="17">
        <v>1970</v>
      </c>
      <c r="O176" s="17">
        <v>1971</v>
      </c>
      <c r="P176" s="17">
        <v>1972</v>
      </c>
      <c r="Q176" s="17">
        <v>1973</v>
      </c>
      <c r="R176" s="17">
        <v>1974</v>
      </c>
      <c r="S176" s="17">
        <v>1975</v>
      </c>
      <c r="T176" s="17">
        <v>1976</v>
      </c>
      <c r="U176" s="17">
        <v>1977</v>
      </c>
      <c r="V176" s="17">
        <v>1978</v>
      </c>
      <c r="W176" s="17">
        <v>1979</v>
      </c>
      <c r="X176" s="17">
        <v>1980</v>
      </c>
      <c r="Y176" s="17">
        <v>1981</v>
      </c>
      <c r="Z176" s="17">
        <v>1982</v>
      </c>
      <c r="AA176" s="17">
        <v>1983</v>
      </c>
      <c r="AB176" s="17">
        <v>1984</v>
      </c>
      <c r="AC176" s="17">
        <v>1985</v>
      </c>
      <c r="AD176" s="17">
        <v>1986</v>
      </c>
      <c r="AE176" s="17">
        <v>1987</v>
      </c>
      <c r="AF176" s="17">
        <v>1988</v>
      </c>
      <c r="AG176" s="17">
        <v>1989</v>
      </c>
      <c r="AH176" s="17">
        <v>1990</v>
      </c>
      <c r="AI176" s="17">
        <v>1991</v>
      </c>
      <c r="AJ176" s="17">
        <v>1992</v>
      </c>
      <c r="AK176" s="17">
        <v>1993</v>
      </c>
      <c r="AL176" s="17">
        <v>1994</v>
      </c>
      <c r="AM176" s="17">
        <v>1995</v>
      </c>
      <c r="AN176" s="17">
        <v>1996</v>
      </c>
      <c r="AO176" s="17">
        <v>1997</v>
      </c>
      <c r="AP176" s="17">
        <v>1998</v>
      </c>
      <c r="AQ176" s="17">
        <v>1999</v>
      </c>
      <c r="AR176" s="17">
        <v>2000</v>
      </c>
      <c r="AS176" s="17">
        <v>2001</v>
      </c>
      <c r="AT176" s="17">
        <v>2002</v>
      </c>
      <c r="AU176" s="17">
        <v>2003</v>
      </c>
      <c r="AV176" s="17">
        <v>2004</v>
      </c>
      <c r="AW176" s="17">
        <v>2005</v>
      </c>
      <c r="AX176" s="17">
        <v>2006</v>
      </c>
      <c r="AY176" s="17">
        <v>2007</v>
      </c>
      <c r="AZ176" s="17">
        <v>2008</v>
      </c>
      <c r="BA176" s="17">
        <v>2009</v>
      </c>
      <c r="BB176" s="17">
        <v>2010</v>
      </c>
      <c r="BC176" s="17">
        <v>2011</v>
      </c>
      <c r="BD176" s="17">
        <v>2012</v>
      </c>
      <c r="BE176" s="17">
        <v>2013</v>
      </c>
      <c r="BF176" s="17">
        <v>2014</v>
      </c>
      <c r="BG176" s="17">
        <v>2015</v>
      </c>
      <c r="BH176" s="17">
        <v>2016</v>
      </c>
      <c r="BI176" s="17">
        <v>2017</v>
      </c>
      <c r="BJ176" s="17">
        <v>2018</v>
      </c>
      <c r="BK176" s="17">
        <v>2019</v>
      </c>
    </row>
    <row r="177" spans="1:63" s="17" customFormat="1">
      <c r="C177" s="92" t="s">
        <v>134</v>
      </c>
      <c r="D177" s="93">
        <f>D228</f>
        <v>0.48125256524136528</v>
      </c>
      <c r="E177" s="93">
        <f t="shared" ref="E177:BK177" si="47">E228</f>
        <v>0.46799676691245662</v>
      </c>
      <c r="F177" s="93">
        <f t="shared" si="47"/>
        <v>0.42324866480351919</v>
      </c>
      <c r="G177" s="93">
        <f t="shared" si="47"/>
        <v>0.37017742435118134</v>
      </c>
      <c r="H177" s="93">
        <f t="shared" si="47"/>
        <v>0.37198049140072897</v>
      </c>
      <c r="I177" s="93">
        <f t="shared" si="47"/>
        <v>0.33402719821767091</v>
      </c>
      <c r="J177" s="93">
        <f t="shared" si="47"/>
        <v>0.2956953526390162</v>
      </c>
      <c r="K177" s="93">
        <f t="shared" si="47"/>
        <v>0.25698216738179414</v>
      </c>
      <c r="L177" s="93">
        <f t="shared" si="47"/>
        <v>0.23402445454636409</v>
      </c>
      <c r="M177" s="93">
        <f t="shared" si="47"/>
        <v>0.21083699913653484</v>
      </c>
      <c r="N177" s="93">
        <f t="shared" si="47"/>
        <v>0.20371533451343421</v>
      </c>
      <c r="O177" s="93">
        <f t="shared" si="47"/>
        <v>0.19700621668503765</v>
      </c>
      <c r="P177" s="93">
        <f t="shared" si="47"/>
        <v>0.183542170333166</v>
      </c>
      <c r="Q177" s="93">
        <f t="shared" si="47"/>
        <v>0.19526892966783316</v>
      </c>
      <c r="R177" s="93">
        <f t="shared" si="47"/>
        <v>0.21004227428874533</v>
      </c>
      <c r="S177" s="93">
        <f t="shared" si="47"/>
        <v>0.24343938748407712</v>
      </c>
      <c r="T177" s="93">
        <f t="shared" si="47"/>
        <v>0.30474292373500711</v>
      </c>
      <c r="U177" s="93">
        <f t="shared" si="47"/>
        <v>0.30061071951723328</v>
      </c>
      <c r="V177" s="93">
        <f t="shared" si="47"/>
        <v>0.30293297011823528</v>
      </c>
      <c r="W177" s="93">
        <f t="shared" si="47"/>
        <v>0.32268903754231398</v>
      </c>
      <c r="X177" s="93">
        <f t="shared" si="47"/>
        <v>0.37258263115460521</v>
      </c>
      <c r="Y177" s="93">
        <f t="shared" si="47"/>
        <v>0.41261765703687664</v>
      </c>
      <c r="Z177" s="93">
        <f t="shared" si="47"/>
        <v>0.42856046493323202</v>
      </c>
      <c r="AA177" s="93">
        <f t="shared" si="47"/>
        <v>0.38775500298872123</v>
      </c>
      <c r="AB177" s="93">
        <f t="shared" si="47"/>
        <v>0.37418397902078404</v>
      </c>
      <c r="AC177" s="93">
        <f t="shared" si="47"/>
        <v>0.33433724631419554</v>
      </c>
      <c r="AD177" s="93">
        <f t="shared" si="47"/>
        <v>0.32047663132016857</v>
      </c>
      <c r="AE177" s="93">
        <f t="shared" si="47"/>
        <v>0.29422571247039037</v>
      </c>
      <c r="AF177" s="93">
        <f t="shared" si="47"/>
        <v>0.2598068110944538</v>
      </c>
      <c r="AG177" s="93">
        <f t="shared" si="47"/>
        <v>0.24097664990987702</v>
      </c>
      <c r="AH177" s="93">
        <f t="shared" si="47"/>
        <v>0.23651343017304446</v>
      </c>
      <c r="AI177" s="93">
        <f t="shared" si="47"/>
        <v>0.22879602755562473</v>
      </c>
      <c r="AJ177" s="93">
        <f t="shared" si="47"/>
        <v>0.19512041851076095</v>
      </c>
      <c r="AK177" s="93">
        <f t="shared" si="47"/>
        <v>0.16522952061439491</v>
      </c>
      <c r="AL177" s="93">
        <f t="shared" si="47"/>
        <v>0.16121917754443646</v>
      </c>
      <c r="AM177" s="93">
        <f t="shared" si="47"/>
        <v>0.1576532470024721</v>
      </c>
      <c r="AN177" s="93">
        <f t="shared" si="47"/>
        <v>0.16380916052556463</v>
      </c>
      <c r="AO177" s="93">
        <f t="shared" si="47"/>
        <v>0.1756122685563461</v>
      </c>
      <c r="AP177" s="93">
        <f t="shared" si="47"/>
        <v>0.18055756515281296</v>
      </c>
      <c r="AQ177" s="93">
        <f t="shared" si="47"/>
        <v>0.20000798384598845</v>
      </c>
      <c r="AR177" s="93">
        <f t="shared" si="47"/>
        <v>0.19972636037911398</v>
      </c>
      <c r="AS177" s="93">
        <f t="shared" si="47"/>
        <v>0.20441122955083277</v>
      </c>
      <c r="AT177" s="93">
        <f t="shared" si="47"/>
        <v>0.2133220845592646</v>
      </c>
      <c r="AU177" s="93">
        <f t="shared" si="47"/>
        <v>0.23232077768305892</v>
      </c>
      <c r="AV177" s="93">
        <f t="shared" si="47"/>
        <v>0.21248589689331851</v>
      </c>
      <c r="AW177" s="93">
        <f t="shared" si="47"/>
        <v>0.22229816753563159</v>
      </c>
      <c r="AX177" s="93">
        <f t="shared" si="47"/>
        <v>0.20699644321525101</v>
      </c>
      <c r="AY177" s="93">
        <f t="shared" si="47"/>
        <v>0.22074146094446251</v>
      </c>
      <c r="AZ177" s="93">
        <f t="shared" si="47"/>
        <v>0.20210030729643652</v>
      </c>
      <c r="BA177" s="93">
        <f t="shared" si="47"/>
        <v>0.19654742342602549</v>
      </c>
      <c r="BB177" s="93">
        <f t="shared" si="47"/>
        <v>0.17342486358419118</v>
      </c>
      <c r="BC177" s="93">
        <f t="shared" si="47"/>
        <v>0.17206251300141828</v>
      </c>
      <c r="BD177" s="93">
        <f t="shared" si="47"/>
        <v>0.16674210484928542</v>
      </c>
      <c r="BE177" s="93">
        <f t="shared" si="47"/>
        <v>0.15805949955114823</v>
      </c>
      <c r="BF177" s="93">
        <f t="shared" si="47"/>
        <v>0.16247759940385742</v>
      </c>
      <c r="BG177" s="93">
        <f t="shared" si="47"/>
        <v>0.16408026412782439</v>
      </c>
      <c r="BH177" s="93">
        <f t="shared" si="47"/>
        <v>0.16556637457495221</v>
      </c>
      <c r="BI177" s="93">
        <f t="shared" si="47"/>
        <v>0.16634753335368779</v>
      </c>
      <c r="BJ177" s="93">
        <f t="shared" si="47"/>
        <v>0.16250380233639511</v>
      </c>
      <c r="BK177" s="93">
        <f t="shared" si="47"/>
        <v>0.15203275930175408</v>
      </c>
    </row>
    <row r="178" spans="1:63" s="17" customFormat="1">
      <c r="C178" s="89" t="s">
        <v>135</v>
      </c>
      <c r="D178" s="93">
        <f>D177*$H$175</f>
        <v>127.39566253676644</v>
      </c>
      <c r="E178" s="93">
        <f t="shared" ref="E178:M178" si="48">E177*$H$175</f>
        <v>123.88662937510813</v>
      </c>
      <c r="F178" s="93">
        <f t="shared" si="48"/>
        <v>112.0410527960579</v>
      </c>
      <c r="G178" s="93">
        <f t="shared" si="48"/>
        <v>97.992201262803803</v>
      </c>
      <c r="H178" s="93">
        <f t="shared" si="48"/>
        <v>98.469503490294542</v>
      </c>
      <c r="I178" s="93">
        <f t="shared" si="48"/>
        <v>88.422627318148102</v>
      </c>
      <c r="J178" s="93">
        <f t="shared" si="48"/>
        <v>78.275541948742145</v>
      </c>
      <c r="K178" s="93">
        <f t="shared" si="48"/>
        <v>68.027509541312043</v>
      </c>
      <c r="L178" s="93">
        <f t="shared" si="48"/>
        <v>61.950216144378999</v>
      </c>
      <c r="M178" s="93">
        <f t="shared" si="48"/>
        <v>55.812106017120975</v>
      </c>
      <c r="N178" s="93">
        <f>N177*$H$175</f>
        <v>53.926881400043811</v>
      </c>
      <c r="O178" s="93">
        <f>O177*$H$175</f>
        <v>52.150864870433956</v>
      </c>
      <c r="P178" s="93">
        <f t="shared" ref="P178:BK178" si="49">P177*$H$175</f>
        <v>48.586704948372748</v>
      </c>
      <c r="Q178" s="93">
        <f t="shared" si="49"/>
        <v>51.69097572581758</v>
      </c>
      <c r="R178" s="93">
        <f t="shared" si="49"/>
        <v>55.601728959768991</v>
      </c>
      <c r="S178" s="93">
        <f t="shared" si="49"/>
        <v>64.442507523101568</v>
      </c>
      <c r="T178" s="93">
        <f t="shared" si="49"/>
        <v>80.670586458362962</v>
      </c>
      <c r="U178" s="93">
        <f t="shared" si="49"/>
        <v>79.576722379328913</v>
      </c>
      <c r="V178" s="93">
        <f t="shared" si="49"/>
        <v>80.191461240497745</v>
      </c>
      <c r="W178" s="93">
        <f t="shared" si="49"/>
        <v>85.421225153235014</v>
      </c>
      <c r="X178" s="93">
        <f t="shared" si="49"/>
        <v>98.628900028464301</v>
      </c>
      <c r="Y178" s="93">
        <f t="shared" si="49"/>
        <v>109.2268459207435</v>
      </c>
      <c r="Z178" s="93">
        <f t="shared" si="49"/>
        <v>113.44717578773121</v>
      </c>
      <c r="AA178" s="93">
        <f t="shared" si="49"/>
        <v>102.64528248887149</v>
      </c>
      <c r="AB178" s="93">
        <f t="shared" si="49"/>
        <v>99.052803789395682</v>
      </c>
      <c r="AC178" s="93">
        <f t="shared" si="49"/>
        <v>88.504702273229555</v>
      </c>
      <c r="AD178" s="93">
        <f t="shared" si="49"/>
        <v>84.835563949893029</v>
      </c>
      <c r="AE178" s="93">
        <f t="shared" si="49"/>
        <v>77.886503434466732</v>
      </c>
      <c r="AF178" s="93">
        <f t="shared" si="49"/>
        <v>68.77524032384639</v>
      </c>
      <c r="AG178" s="93">
        <f t="shared" si="49"/>
        <v>63.790579393093459</v>
      </c>
      <c r="AH178" s="93">
        <f t="shared" si="49"/>
        <v>62.609089928957751</v>
      </c>
      <c r="AI178" s="93">
        <f t="shared" si="49"/>
        <v>60.566163427327425</v>
      </c>
      <c r="AJ178" s="93">
        <f t="shared" si="49"/>
        <v>51.651662320309129</v>
      </c>
      <c r="AK178" s="93">
        <f t="shared" si="49"/>
        <v>43.739038022054103</v>
      </c>
      <c r="AL178" s="93">
        <f t="shared" si="49"/>
        <v>42.67743264205815</v>
      </c>
      <c r="AM178" s="93">
        <f t="shared" si="49"/>
        <v>41.733470746030015</v>
      </c>
      <c r="AN178" s="93">
        <f t="shared" si="49"/>
        <v>43.363044775209666</v>
      </c>
      <c r="AO178" s="93">
        <f t="shared" si="49"/>
        <v>46.487526338898149</v>
      </c>
      <c r="AP178" s="93">
        <f t="shared" si="49"/>
        <v>47.796629670184785</v>
      </c>
      <c r="AQ178" s="93">
        <f t="shared" si="49"/>
        <v>52.945483214044536</v>
      </c>
      <c r="AR178" s="93">
        <f t="shared" si="49"/>
        <v>52.870932737351737</v>
      </c>
      <c r="AS178" s="93">
        <f t="shared" si="49"/>
        <v>54.111096541423841</v>
      </c>
      <c r="AT178" s="93">
        <f t="shared" si="49"/>
        <v>56.469949999168819</v>
      </c>
      <c r="AU178" s="93">
        <f t="shared" si="49"/>
        <v>61.499224173789777</v>
      </c>
      <c r="AV178" s="93">
        <f t="shared" si="49"/>
        <v>56.248597035252985</v>
      </c>
      <c r="AW178" s="93">
        <f t="shared" si="49"/>
        <v>58.84607039903775</v>
      </c>
      <c r="AX178" s="93">
        <f t="shared" si="49"/>
        <v>54.795446156085085</v>
      </c>
      <c r="AY178" s="93">
        <f t="shared" si="49"/>
        <v>58.433983935752359</v>
      </c>
      <c r="AZ178" s="93">
        <f t="shared" si="49"/>
        <v>53.499356484470347</v>
      </c>
      <c r="BA178" s="93">
        <f t="shared" si="49"/>
        <v>52.02941456466791</v>
      </c>
      <c r="BB178" s="93">
        <f t="shared" si="49"/>
        <v>45.908483387669136</v>
      </c>
      <c r="BC178" s="93">
        <f t="shared" si="49"/>
        <v>45.54784623446735</v>
      </c>
      <c r="BD178" s="93">
        <f t="shared" si="49"/>
        <v>44.139444554224795</v>
      </c>
      <c r="BE178" s="93">
        <f t="shared" si="49"/>
        <v>41.841012640523381</v>
      </c>
      <c r="BF178" s="93">
        <f t="shared" si="49"/>
        <v>43.010558111116744</v>
      </c>
      <c r="BG178" s="93">
        <f t="shared" si="49"/>
        <v>43.434810466492088</v>
      </c>
      <c r="BH178" s="93">
        <f t="shared" si="49"/>
        <v>43.82820894099104</v>
      </c>
      <c r="BI178" s="93">
        <f t="shared" si="49"/>
        <v>44.034994831292778</v>
      </c>
      <c r="BJ178" s="93">
        <f t="shared" si="49"/>
        <v>43.017494468846849</v>
      </c>
      <c r="BK178" s="93">
        <f t="shared" si="49"/>
        <v>40.245632953303435</v>
      </c>
    </row>
    <row r="179" spans="1:63" s="91" customFormat="1">
      <c r="C179" s="97" t="s">
        <v>16</v>
      </c>
      <c r="D179" s="98">
        <f t="shared" ref="D179:M179" si="50">D171*1000/D178</f>
        <v>48.667277021387427</v>
      </c>
      <c r="E179" s="98">
        <f t="shared" si="50"/>
        <v>48.431376576022558</v>
      </c>
      <c r="F179" s="98">
        <f t="shared" si="50"/>
        <v>48.196619589333203</v>
      </c>
      <c r="G179" s="98">
        <f t="shared" si="50"/>
        <v>47.9630005187366</v>
      </c>
      <c r="H179" s="98">
        <f t="shared" si="50"/>
        <v>47.730513848516019</v>
      </c>
      <c r="I179" s="98">
        <f t="shared" si="50"/>
        <v>47.499154089690578</v>
      </c>
      <c r="J179" s="98">
        <f t="shared" si="50"/>
        <v>47.268915779885667</v>
      </c>
      <c r="K179" s="98">
        <f t="shared" si="50"/>
        <v>47.03979348320388</v>
      </c>
      <c r="L179" s="98">
        <f t="shared" si="50"/>
        <v>46.811781790096774</v>
      </c>
      <c r="M179" s="98">
        <f t="shared" si="50"/>
        <v>46.584875317237113</v>
      </c>
      <c r="N179" s="98">
        <f>N171*1000/N178</f>
        <v>46.359068707391799</v>
      </c>
      <c r="O179" s="98">
        <f>O171*1000/O178</f>
        <v>46.020329786719202</v>
      </c>
      <c r="P179" s="98">
        <f t="shared" ref="P179:BK179" si="51">P171*1000/P178</f>
        <v>47.338052713060776</v>
      </c>
      <c r="Q179" s="98">
        <f t="shared" si="51"/>
        <v>46.429767794096712</v>
      </c>
      <c r="R179" s="98">
        <f t="shared" si="51"/>
        <v>46.761135825133202</v>
      </c>
      <c r="S179" s="98">
        <f t="shared" si="51"/>
        <v>49.656664878424436</v>
      </c>
      <c r="T179" s="98">
        <f t="shared" si="51"/>
        <v>48.344758247331356</v>
      </c>
      <c r="U179" s="98">
        <f t="shared" si="51"/>
        <v>49.009306784581462</v>
      </c>
      <c r="V179" s="98">
        <f t="shared" si="51"/>
        <v>47.386591305570946</v>
      </c>
      <c r="W179" s="98">
        <f t="shared" si="51"/>
        <v>46.826769258161534</v>
      </c>
      <c r="X179" s="98">
        <f t="shared" si="51"/>
        <v>48.667277021387441</v>
      </c>
      <c r="Y179" s="98">
        <f t="shared" si="51"/>
        <v>50.353921269418286</v>
      </c>
      <c r="Z179" s="98">
        <f t="shared" si="51"/>
        <v>50.243648292004714</v>
      </c>
      <c r="AA179" s="98">
        <f t="shared" si="51"/>
        <v>50.65990247105384</v>
      </c>
      <c r="AB179" s="98">
        <f t="shared" si="51"/>
        <v>50.478126905230383</v>
      </c>
      <c r="AC179" s="98">
        <f t="shared" si="51"/>
        <v>51.974639559816744</v>
      </c>
      <c r="AD179" s="98">
        <f t="shared" si="51"/>
        <v>51.865040970303447</v>
      </c>
      <c r="AE179" s="98">
        <f t="shared" si="51"/>
        <v>53.924618705394273</v>
      </c>
      <c r="AF179" s="98">
        <f t="shared" si="51"/>
        <v>53.798430693627132</v>
      </c>
      <c r="AG179" s="98">
        <f t="shared" si="51"/>
        <v>58.002294934486756</v>
      </c>
      <c r="AH179" s="98">
        <f t="shared" si="51"/>
        <v>55.902425733570539</v>
      </c>
      <c r="AI179" s="98">
        <f t="shared" si="51"/>
        <v>56.136955151197867</v>
      </c>
      <c r="AJ179" s="98">
        <f t="shared" si="51"/>
        <v>54.209291128643045</v>
      </c>
      <c r="AK179" s="98">
        <f t="shared" si="51"/>
        <v>52.584604143335156</v>
      </c>
      <c r="AL179" s="98">
        <f t="shared" si="51"/>
        <v>53.89265139940435</v>
      </c>
      <c r="AM179" s="98">
        <f t="shared" si="51"/>
        <v>55.111639623665674</v>
      </c>
      <c r="AN179" s="98">
        <f t="shared" si="51"/>
        <v>53.040555890920579</v>
      </c>
      <c r="AO179" s="98">
        <f t="shared" si="51"/>
        <v>53.777866814740378</v>
      </c>
      <c r="AP179" s="98">
        <f t="shared" si="51"/>
        <v>54.397140926902267</v>
      </c>
      <c r="AQ179" s="98">
        <f t="shared" si="51"/>
        <v>52.884586748983729</v>
      </c>
      <c r="AR179" s="98">
        <f t="shared" si="51"/>
        <v>52.959156478468621</v>
      </c>
      <c r="AS179" s="98">
        <f t="shared" si="51"/>
        <v>55.441493367324398</v>
      </c>
      <c r="AT179" s="98">
        <f t="shared" si="51"/>
        <v>54.896453778436651</v>
      </c>
      <c r="AU179" s="98">
        <f t="shared" si="51"/>
        <v>55.285250272295933</v>
      </c>
      <c r="AV179" s="98">
        <f t="shared" si="51"/>
        <v>56.890307823934648</v>
      </c>
      <c r="AW179" s="98">
        <f t="shared" si="51"/>
        <v>56.07851089499362</v>
      </c>
      <c r="AX179" s="98">
        <f t="shared" si="51"/>
        <v>58.399013503508762</v>
      </c>
      <c r="AY179" s="98">
        <f t="shared" si="51"/>
        <v>58.185319072857837</v>
      </c>
      <c r="AZ179" s="98">
        <f t="shared" si="51"/>
        <v>57.944622210546775</v>
      </c>
      <c r="BA179" s="98">
        <f t="shared" si="51"/>
        <v>61.503671082492886</v>
      </c>
      <c r="BB179" s="98">
        <f t="shared" si="51"/>
        <v>63.169152757917729</v>
      </c>
      <c r="BC179" s="98">
        <f t="shared" si="51"/>
        <v>63.669311279212309</v>
      </c>
      <c r="BD179" s="98">
        <f t="shared" si="51"/>
        <v>65.700872072311284</v>
      </c>
      <c r="BE179" s="98">
        <f t="shared" si="51"/>
        <v>66.919986474901322</v>
      </c>
      <c r="BF179" s="98">
        <f t="shared" si="51"/>
        <v>67.425305026452335</v>
      </c>
      <c r="BG179" s="99">
        <f t="shared" si="51"/>
        <v>66.766723944547053</v>
      </c>
      <c r="BH179" s="99">
        <f t="shared" si="51"/>
        <v>68.449066765176468</v>
      </c>
      <c r="BI179" s="99">
        <f t="shared" si="51"/>
        <v>68.12763374887686</v>
      </c>
      <c r="BJ179" s="99">
        <f t="shared" si="51"/>
        <v>69.739068652001379</v>
      </c>
      <c r="BK179" s="98">
        <f t="shared" si="51"/>
        <v>0</v>
      </c>
    </row>
    <row r="180" spans="1:63" s="91" customFormat="1">
      <c r="C180" s="97" t="s">
        <v>17</v>
      </c>
      <c r="D180" s="98">
        <f>$K$173/D179</f>
        <v>5.8047217204252446</v>
      </c>
      <c r="E180" s="98">
        <f t="shared" ref="E180:BK180" si="52">$K$173/E179</f>
        <v>5.832995466411341</v>
      </c>
      <c r="F180" s="98">
        <f t="shared" si="52"/>
        <v>5.8614069286826584</v>
      </c>
      <c r="G180" s="98">
        <f t="shared" si="52"/>
        <v>5.8899567780302284</v>
      </c>
      <c r="H180" s="98">
        <f t="shared" si="52"/>
        <v>5.9186456885123846</v>
      </c>
      <c r="I180" s="98">
        <f t="shared" si="52"/>
        <v>5.947474337470676</v>
      </c>
      <c r="J180" s="98">
        <f t="shared" si="52"/>
        <v>5.9764434055458526</v>
      </c>
      <c r="K180" s="98">
        <f t="shared" si="52"/>
        <v>6.0055535766939538</v>
      </c>
      <c r="L180" s="98">
        <f t="shared" si="52"/>
        <v>6.0348055382024368</v>
      </c>
      <c r="M180" s="98">
        <f t="shared" si="52"/>
        <v>6.0641999807064142</v>
      </c>
      <c r="N180" s="98">
        <f t="shared" si="52"/>
        <v>6.0937375982049513</v>
      </c>
      <c r="O180" s="98">
        <f t="shared" si="52"/>
        <v>6.1385913857906642</v>
      </c>
      <c r="P180" s="98">
        <f t="shared" si="52"/>
        <v>5.9677148469196961</v>
      </c>
      <c r="Q180" s="98">
        <f t="shared" si="52"/>
        <v>6.0844586010597776</v>
      </c>
      <c r="R180" s="98">
        <f t="shared" si="52"/>
        <v>6.0413417042825923</v>
      </c>
      <c r="S180" s="98">
        <f t="shared" si="52"/>
        <v>5.6890651172738096</v>
      </c>
      <c r="T180" s="98">
        <f t="shared" si="52"/>
        <v>5.8434463267916756</v>
      </c>
      <c r="U180" s="98">
        <f t="shared" si="52"/>
        <v>5.7642113005539537</v>
      </c>
      <c r="V180" s="98">
        <f t="shared" si="52"/>
        <v>5.96160205274753</v>
      </c>
      <c r="W180" s="98">
        <f t="shared" si="52"/>
        <v>6.0328740264472227</v>
      </c>
      <c r="X180" s="98">
        <f t="shared" si="52"/>
        <v>5.8047217204252428</v>
      </c>
      <c r="Y180" s="98">
        <f t="shared" si="52"/>
        <v>5.6102879950200073</v>
      </c>
      <c r="Z180" s="98">
        <f t="shared" si="52"/>
        <v>5.6226012561463277</v>
      </c>
      <c r="AA180" s="98">
        <f t="shared" si="52"/>
        <v>5.5764023659819602</v>
      </c>
      <c r="AB180" s="98">
        <f t="shared" si="52"/>
        <v>5.5964834141008559</v>
      </c>
      <c r="AC180" s="98">
        <f t="shared" si="52"/>
        <v>5.4353431287363803</v>
      </c>
      <c r="AD180" s="98">
        <f t="shared" si="52"/>
        <v>5.4468288217829048</v>
      </c>
      <c r="AE180" s="98">
        <f t="shared" si="52"/>
        <v>5.2387945762468693</v>
      </c>
      <c r="AF180" s="98">
        <f t="shared" si="52"/>
        <v>5.2510825382396229</v>
      </c>
      <c r="AG180" s="98">
        <f t="shared" si="52"/>
        <v>4.8704969401483522</v>
      </c>
      <c r="AH180" s="98">
        <f t="shared" si="52"/>
        <v>5.0534479728373043</v>
      </c>
      <c r="AI180" s="98">
        <f t="shared" si="52"/>
        <v>5.0323356377117641</v>
      </c>
      <c r="AJ180" s="98">
        <f t="shared" si="52"/>
        <v>5.2112837876740459</v>
      </c>
      <c r="AK180" s="98">
        <f t="shared" si="52"/>
        <v>5.372294887491428</v>
      </c>
      <c r="AL180" s="98">
        <f t="shared" si="52"/>
        <v>5.2419020527745337</v>
      </c>
      <c r="AM180" s="98">
        <f t="shared" si="52"/>
        <v>5.1259589068493385</v>
      </c>
      <c r="AN180" s="98">
        <f t="shared" si="52"/>
        <v>5.3261131082594479</v>
      </c>
      <c r="AO180" s="98">
        <f t="shared" si="52"/>
        <v>5.2530904762954904</v>
      </c>
      <c r="AP180" s="98">
        <f t="shared" si="52"/>
        <v>5.193287646856616</v>
      </c>
      <c r="AQ180" s="98">
        <f t="shared" si="52"/>
        <v>5.3418210742741357</v>
      </c>
      <c r="AR180" s="98">
        <f t="shared" si="52"/>
        <v>5.3342994636792378</v>
      </c>
      <c r="AS180" s="98">
        <f t="shared" si="52"/>
        <v>5.0954615909840779</v>
      </c>
      <c r="AT180" s="98">
        <f t="shared" si="52"/>
        <v>5.1460518950855461</v>
      </c>
      <c r="AU180" s="98">
        <f t="shared" si="52"/>
        <v>5.109862008557533</v>
      </c>
      <c r="AV180" s="98">
        <f t="shared" si="52"/>
        <v>4.965696457018427</v>
      </c>
      <c r="AW180" s="98">
        <f t="shared" si="52"/>
        <v>5.0375802690085347</v>
      </c>
      <c r="AX180" s="98">
        <f t="shared" si="52"/>
        <v>4.8374104809668861</v>
      </c>
      <c r="AY180" s="98">
        <f t="shared" si="52"/>
        <v>4.8551766064264825</v>
      </c>
      <c r="AZ180" s="98">
        <f t="shared" si="52"/>
        <v>4.8753445828589914</v>
      </c>
      <c r="BA180" s="98">
        <f t="shared" si="52"/>
        <v>4.5932217545370895</v>
      </c>
      <c r="BB180" s="98">
        <f t="shared" si="52"/>
        <v>4.4721195024194937</v>
      </c>
      <c r="BC180" s="98">
        <f t="shared" si="52"/>
        <v>4.4369884693920785</v>
      </c>
      <c r="BD180" s="98">
        <f t="shared" si="52"/>
        <v>4.2997907195063805</v>
      </c>
      <c r="BE180" s="98">
        <f t="shared" si="52"/>
        <v>4.2214593110528051</v>
      </c>
      <c r="BF180" s="98">
        <f t="shared" si="52"/>
        <v>4.1898216091001652</v>
      </c>
      <c r="BG180" s="98">
        <f t="shared" si="52"/>
        <v>4.2311496402703499</v>
      </c>
      <c r="BH180" s="98">
        <f t="shared" si="52"/>
        <v>4.1271563419433228</v>
      </c>
      <c r="BI180" s="98">
        <f t="shared" si="52"/>
        <v>4.1466286799467369</v>
      </c>
      <c r="BJ180" s="98">
        <f t="shared" si="52"/>
        <v>4.0508140624830782</v>
      </c>
      <c r="BK180" s="98" t="e">
        <f t="shared" si="52"/>
        <v>#DIV/0!</v>
      </c>
    </row>
    <row r="181" spans="1:63" s="17" customFormat="1">
      <c r="H181" s="82"/>
      <c r="I181" s="82"/>
      <c r="J181" s="82"/>
      <c r="K181" s="82"/>
      <c r="L181" s="82"/>
      <c r="M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  <c r="BB181" s="82"/>
      <c r="BC181" s="87"/>
      <c r="BK181" s="18"/>
    </row>
    <row r="182" spans="1:63" s="17" customFormat="1">
      <c r="H182" s="82"/>
      <c r="I182" s="82"/>
      <c r="J182" s="82"/>
      <c r="K182" s="82"/>
      <c r="L182" s="82"/>
      <c r="M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7"/>
      <c r="BK182" s="18"/>
    </row>
    <row r="183" spans="1:63" s="17" customFormat="1">
      <c r="B183" s="17" t="s">
        <v>136</v>
      </c>
      <c r="C183" s="81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7"/>
      <c r="BK183" s="18"/>
    </row>
    <row r="184" spans="1:63">
      <c r="C184" s="20" t="s">
        <v>137</v>
      </c>
      <c r="D184" s="17">
        <v>1960</v>
      </c>
      <c r="E184" s="17">
        <v>1961</v>
      </c>
      <c r="F184" s="17">
        <v>1962</v>
      </c>
      <c r="G184" s="17">
        <v>1963</v>
      </c>
      <c r="H184" s="17">
        <v>1964</v>
      </c>
      <c r="I184" s="17">
        <v>1965</v>
      </c>
      <c r="J184" s="17">
        <v>1966</v>
      </c>
      <c r="K184" s="17">
        <v>1967</v>
      </c>
      <c r="L184" s="17">
        <v>1968</v>
      </c>
      <c r="M184" s="17">
        <v>1969</v>
      </c>
      <c r="N184" s="17">
        <v>1970</v>
      </c>
      <c r="O184" s="17">
        <v>1971</v>
      </c>
      <c r="P184" s="17">
        <v>1972</v>
      </c>
      <c r="Q184" s="17">
        <v>1973</v>
      </c>
      <c r="R184" s="17">
        <v>1974</v>
      </c>
      <c r="S184" s="17">
        <v>1975</v>
      </c>
      <c r="T184" s="17">
        <v>1976</v>
      </c>
      <c r="U184" s="17">
        <v>1977</v>
      </c>
      <c r="V184" s="17">
        <v>1978</v>
      </c>
      <c r="W184" s="17">
        <v>1979</v>
      </c>
      <c r="X184" s="17">
        <v>1980</v>
      </c>
      <c r="Y184" s="17">
        <v>1981</v>
      </c>
      <c r="Z184" s="17">
        <v>1982</v>
      </c>
      <c r="AA184" s="17">
        <v>1983</v>
      </c>
      <c r="AB184" s="17">
        <v>1984</v>
      </c>
      <c r="AC184" s="17">
        <v>1985</v>
      </c>
      <c r="AD184" s="17">
        <v>1986</v>
      </c>
      <c r="AE184" s="17">
        <v>1987</v>
      </c>
      <c r="AF184" s="17">
        <v>1988</v>
      </c>
      <c r="AG184" s="17">
        <v>1989</v>
      </c>
      <c r="AH184" s="17">
        <v>1990</v>
      </c>
      <c r="AI184" s="17">
        <v>1991</v>
      </c>
      <c r="AJ184" s="17">
        <v>1992</v>
      </c>
      <c r="AK184" s="17">
        <v>1993</v>
      </c>
      <c r="AL184" s="17">
        <v>1994</v>
      </c>
      <c r="AM184" s="17">
        <v>1995</v>
      </c>
      <c r="AN184" s="17">
        <v>1996</v>
      </c>
      <c r="AO184" s="17">
        <v>1997</v>
      </c>
      <c r="AP184" s="17">
        <v>1998</v>
      </c>
      <c r="AQ184" s="17">
        <v>1999</v>
      </c>
      <c r="AR184" s="17">
        <v>2000</v>
      </c>
      <c r="AS184" s="17">
        <v>2001</v>
      </c>
      <c r="AT184" s="17">
        <v>2002</v>
      </c>
      <c r="AU184" s="17">
        <v>2003</v>
      </c>
      <c r="AV184" s="17">
        <v>2004</v>
      </c>
      <c r="AW184" s="17">
        <v>2005</v>
      </c>
      <c r="AX184" s="17">
        <v>2006</v>
      </c>
      <c r="AY184" s="17">
        <v>2007</v>
      </c>
      <c r="AZ184" s="17">
        <v>2008</v>
      </c>
      <c r="BA184" s="17">
        <v>2009</v>
      </c>
      <c r="BB184" s="17">
        <v>2010</v>
      </c>
      <c r="BC184" s="17">
        <v>2011</v>
      </c>
      <c r="BD184" s="17">
        <v>2012</v>
      </c>
      <c r="BE184" s="17">
        <v>2013</v>
      </c>
      <c r="BF184" s="17">
        <v>2014</v>
      </c>
      <c r="BG184" s="17">
        <v>2015</v>
      </c>
      <c r="BH184" s="17">
        <v>2016</v>
      </c>
      <c r="BI184" s="17">
        <v>2017</v>
      </c>
      <c r="BJ184" s="17">
        <v>2018</v>
      </c>
      <c r="BK184" s="18">
        <v>2019</v>
      </c>
    </row>
    <row r="185" spans="1:63">
      <c r="A185" s="5" t="s">
        <v>66</v>
      </c>
      <c r="C185" s="3" t="s">
        <v>138</v>
      </c>
      <c r="D185" s="100">
        <f t="shared" ref="D185:M185" si="53">D193*D$240</f>
        <v>6.5438872147933882</v>
      </c>
      <c r="E185" s="100">
        <f t="shared" si="53"/>
        <v>7.0428250330699669</v>
      </c>
      <c r="F185" s="100">
        <f t="shared" si="53"/>
        <v>7.4871045981392932</v>
      </c>
      <c r="G185" s="100">
        <f t="shared" si="53"/>
        <v>7.9915690656675578</v>
      </c>
      <c r="H185" s="100">
        <f t="shared" si="53"/>
        <v>8.8949596685803982</v>
      </c>
      <c r="I185" s="100">
        <f t="shared" si="53"/>
        <v>9.6176263261250021</v>
      </c>
      <c r="J185" s="100">
        <f t="shared" si="53"/>
        <v>10.208908891458524</v>
      </c>
      <c r="K185" s="100">
        <f t="shared" si="53"/>
        <v>10.967285368515768</v>
      </c>
      <c r="L185" s="100">
        <f t="shared" si="53"/>
        <v>11.675838396461234</v>
      </c>
      <c r="M185" s="100">
        <f t="shared" si="53"/>
        <v>12.107618310894328</v>
      </c>
      <c r="N185" s="101">
        <v>12.025529773165252</v>
      </c>
      <c r="O185" s="101">
        <v>12.717726504840185</v>
      </c>
      <c r="P185" s="101">
        <v>13.597761745529283</v>
      </c>
      <c r="Q185" s="101">
        <v>14.505932063775447</v>
      </c>
      <c r="R185" s="101">
        <v>14.04698840057708</v>
      </c>
      <c r="S185" s="101">
        <v>13.740329745648701</v>
      </c>
      <c r="T185" s="101">
        <v>14.38434895445473</v>
      </c>
      <c r="U185" s="101">
        <v>14.817243547939031</v>
      </c>
      <c r="V185" s="101">
        <v>15.75615801689573</v>
      </c>
      <c r="W185" s="101">
        <v>16.05636240053478</v>
      </c>
      <c r="X185" s="101">
        <v>16.496450451990619</v>
      </c>
      <c r="Y185" s="101">
        <v>16.120415199838838</v>
      </c>
      <c r="Z185" s="101">
        <v>16.659250201399971</v>
      </c>
      <c r="AA185" s="101">
        <v>17.011657361351951</v>
      </c>
      <c r="AB185" s="101">
        <v>17.597446261517199</v>
      </c>
      <c r="AC185" s="101">
        <v>17.78804680644836</v>
      </c>
      <c r="AD185" s="101">
        <v>18.754249263625539</v>
      </c>
      <c r="AE185" s="101">
        <v>19.369814850502323</v>
      </c>
      <c r="AF185" s="101">
        <v>20.362527459701511</v>
      </c>
      <c r="AG185" s="101">
        <v>20.808700159033009</v>
      </c>
      <c r="AH185" s="101">
        <v>21.515020074175361</v>
      </c>
      <c r="AI185" s="101">
        <v>21.308590259112584</v>
      </c>
      <c r="AJ185" s="101">
        <v>21.504010496757502</v>
      </c>
      <c r="AK185" s="101">
        <v>21.372669288801454</v>
      </c>
      <c r="AL185" s="101">
        <v>20.592872589414142</v>
      </c>
      <c r="AM185" s="101">
        <v>19.904985890799242</v>
      </c>
      <c r="AN185" s="101">
        <v>20.434516695862943</v>
      </c>
      <c r="AO185" s="101">
        <v>20.367755840543445</v>
      </c>
      <c r="AP185" s="101">
        <v>20.045429136315505</v>
      </c>
      <c r="AQ185" s="101">
        <v>20.162463981616717</v>
      </c>
      <c r="AR185" s="101">
        <v>19.924240143247921</v>
      </c>
      <c r="AS185" s="101">
        <v>19.595718518089711</v>
      </c>
      <c r="AT185" s="101">
        <v>19.567260255764662</v>
      </c>
      <c r="AU185" s="101">
        <v>18.75297280468007</v>
      </c>
      <c r="AV185" s="101">
        <v>18.386576686108576</v>
      </c>
      <c r="AW185" s="101">
        <v>17.815769988989214</v>
      </c>
      <c r="AX185" s="101">
        <v>17.062957646129924</v>
      </c>
      <c r="AY185" s="101">
        <v>16.596698498754606</v>
      </c>
      <c r="AZ185" s="101">
        <v>15.59006082798421</v>
      </c>
      <c r="BA185" s="101">
        <v>14.730537789600652</v>
      </c>
      <c r="BB185" s="101">
        <v>13.756184731831965</v>
      </c>
      <c r="BC185" s="102">
        <v>13.071047285083079</v>
      </c>
      <c r="BD185" s="101">
        <v>12.451023554465582</v>
      </c>
      <c r="BE185" s="101">
        <v>11.816283224564971</v>
      </c>
      <c r="BF185" s="62">
        <v>11.555918823238915</v>
      </c>
      <c r="BG185" s="62">
        <v>11.305379674271336</v>
      </c>
      <c r="BH185" s="62">
        <v>11.165761309788699</v>
      </c>
      <c r="BI185" s="62">
        <v>11.001545551081506</v>
      </c>
      <c r="BJ185" s="103">
        <v>10.803436773393853</v>
      </c>
      <c r="BK185" s="104">
        <f t="array" ref="BK185">TREND(AZ185:BJ185,AZ184:BJ184,BK184)</f>
        <v>9.6926454434271818</v>
      </c>
    </row>
    <row r="186" spans="1:63">
      <c r="A186" s="5" t="s">
        <v>66</v>
      </c>
      <c r="C186" s="3" t="s">
        <v>139</v>
      </c>
      <c r="D186" s="100">
        <f t="shared" ref="D186:M186" si="54">D194*D$241</f>
        <v>4.6504537827170796E-2</v>
      </c>
      <c r="E186" s="100">
        <f t="shared" si="54"/>
        <v>5.2561432251562325E-2</v>
      </c>
      <c r="F186" s="100">
        <f t="shared" si="54"/>
        <v>5.7888633080363482E-2</v>
      </c>
      <c r="G186" s="100">
        <f t="shared" si="54"/>
        <v>6.463811351851706E-2</v>
      </c>
      <c r="H186" s="100">
        <f t="shared" si="54"/>
        <v>7.2985057271527848E-2</v>
      </c>
      <c r="I186" s="100">
        <f t="shared" si="54"/>
        <v>7.9160851408586225E-2</v>
      </c>
      <c r="J186" s="100">
        <f t="shared" si="54"/>
        <v>8.5303025510897856E-2</v>
      </c>
      <c r="K186" s="100">
        <f t="shared" si="54"/>
        <v>9.2691636839759631E-2</v>
      </c>
      <c r="L186" s="100">
        <f t="shared" si="54"/>
        <v>0.10135784345595458</v>
      </c>
      <c r="M186" s="100">
        <f t="shared" si="54"/>
        <v>0.10856341564077783</v>
      </c>
      <c r="N186" s="101">
        <v>0.10772665526079492</v>
      </c>
      <c r="O186" s="101">
        <v>0.11577242683168536</v>
      </c>
      <c r="P186" s="101">
        <v>0.12246679892276156</v>
      </c>
      <c r="Q186" s="101">
        <v>0.13427683282727998</v>
      </c>
      <c r="R186" s="101">
        <v>0.12964957754771769</v>
      </c>
      <c r="S186" s="101">
        <v>0.1299656263133111</v>
      </c>
      <c r="T186" s="101">
        <v>0.13412829635794429</v>
      </c>
      <c r="U186" s="101">
        <v>0.1415020782758252</v>
      </c>
      <c r="V186" s="101">
        <v>0.14593201313464541</v>
      </c>
      <c r="W186" s="101">
        <v>0.14756626995076999</v>
      </c>
      <c r="X186" s="101">
        <v>0.15209564573081019</v>
      </c>
      <c r="Y186" s="101">
        <v>0.15116657615101159</v>
      </c>
      <c r="Z186" s="101">
        <v>0.16411351964576498</v>
      </c>
      <c r="AA186" s="101">
        <v>0.17517207423515929</v>
      </c>
      <c r="AB186" s="101">
        <v>0.19308207426353868</v>
      </c>
      <c r="AC186" s="101">
        <v>0.20800272096211481</v>
      </c>
      <c r="AD186" s="101">
        <v>0.23800855842763041</v>
      </c>
      <c r="AE186" s="101">
        <v>0.3528958759662133</v>
      </c>
      <c r="AF186" s="101">
        <v>0.42305744948593099</v>
      </c>
      <c r="AG186" s="101">
        <v>0.59878268278387792</v>
      </c>
      <c r="AH186" s="101">
        <v>0.98542951659185851</v>
      </c>
      <c r="AI186" s="101">
        <v>1.1151288478849979</v>
      </c>
      <c r="AJ186" s="101">
        <v>1.4114713135387458</v>
      </c>
      <c r="AK186" s="101">
        <v>1.8065658479796309</v>
      </c>
      <c r="AL186" s="101">
        <v>2.3667444506789126</v>
      </c>
      <c r="AM186" s="101">
        <v>2.770348815088572</v>
      </c>
      <c r="AN186" s="101">
        <v>3.1866199946881819</v>
      </c>
      <c r="AO186" s="101">
        <v>3.4891218581983852</v>
      </c>
      <c r="AP186" s="101">
        <v>3.5985977808097482</v>
      </c>
      <c r="AQ186" s="101">
        <v>3.9389156424530123</v>
      </c>
      <c r="AR186" s="101">
        <v>4.11132756589239</v>
      </c>
      <c r="AS186" s="101">
        <v>4.4321421797921756</v>
      </c>
      <c r="AT186" s="101">
        <v>4.9647602408389693</v>
      </c>
      <c r="AU186" s="101">
        <v>5.4060076961966637</v>
      </c>
      <c r="AV186" s="101">
        <v>5.9252694002487694</v>
      </c>
      <c r="AW186" s="101">
        <v>6.5135227224455354</v>
      </c>
      <c r="AX186" s="101">
        <v>7.1225912832541134</v>
      </c>
      <c r="AY186" s="101">
        <v>7.6823845755008762</v>
      </c>
      <c r="AZ186" s="101">
        <v>8.0175520512103748</v>
      </c>
      <c r="BA186" s="101">
        <v>8.1757260865169652</v>
      </c>
      <c r="BB186" s="101">
        <v>8.4475219001165875</v>
      </c>
      <c r="BC186" s="102">
        <v>8.8951040779642341</v>
      </c>
      <c r="BD186" s="62">
        <v>9.4263813326849082</v>
      </c>
      <c r="BE186" s="62">
        <v>9.6891437436867189</v>
      </c>
      <c r="BF186" s="62">
        <v>10.024047314005823</v>
      </c>
      <c r="BG186" s="62">
        <v>10.439238305018035</v>
      </c>
      <c r="BH186" s="62">
        <v>10.878597168004854</v>
      </c>
      <c r="BI186" s="62">
        <v>11.010810686373279</v>
      </c>
      <c r="BJ186" s="62">
        <v>10.819622311914484</v>
      </c>
    </row>
    <row r="187" spans="1:63">
      <c r="A187" s="5" t="s">
        <v>66</v>
      </c>
      <c r="C187" s="3" t="s">
        <v>140</v>
      </c>
      <c r="D187" s="62">
        <f t="shared" ref="D187:M187" si="55">SUM(D185:D186)</f>
        <v>6.5903917526205591</v>
      </c>
      <c r="E187" s="62">
        <f t="shared" si="55"/>
        <v>7.0953864653215293</v>
      </c>
      <c r="F187" s="62">
        <f t="shared" si="55"/>
        <v>7.5449932312196566</v>
      </c>
      <c r="G187" s="62">
        <f t="shared" si="55"/>
        <v>8.0562071791860745</v>
      </c>
      <c r="H187" s="62">
        <f t="shared" si="55"/>
        <v>8.9679447258519254</v>
      </c>
      <c r="I187" s="62">
        <f t="shared" si="55"/>
        <v>9.6967871775335883</v>
      </c>
      <c r="J187" s="62">
        <f t="shared" si="55"/>
        <v>10.294211916969422</v>
      </c>
      <c r="K187" s="62">
        <f t="shared" si="55"/>
        <v>11.059977005355528</v>
      </c>
      <c r="L187" s="62">
        <f t="shared" si="55"/>
        <v>11.777196239917188</v>
      </c>
      <c r="M187" s="62">
        <f t="shared" si="55"/>
        <v>12.216181726535105</v>
      </c>
      <c r="N187" s="62">
        <f t="shared" ref="N187:BJ187" si="56">N185+N186</f>
        <v>12.133256428426046</v>
      </c>
      <c r="O187" s="62">
        <f t="shared" si="56"/>
        <v>12.833498931671871</v>
      </c>
      <c r="P187" s="62">
        <f t="shared" si="56"/>
        <v>13.720228544452045</v>
      </c>
      <c r="Q187" s="62">
        <f t="shared" si="56"/>
        <v>14.640208896602728</v>
      </c>
      <c r="R187" s="62">
        <f t="shared" si="56"/>
        <v>14.176637978124797</v>
      </c>
      <c r="S187" s="62">
        <f t="shared" si="56"/>
        <v>13.870295371962012</v>
      </c>
      <c r="T187" s="62">
        <f t="shared" si="56"/>
        <v>14.518477250812674</v>
      </c>
      <c r="U187" s="62">
        <f t="shared" si="56"/>
        <v>14.958745626214856</v>
      </c>
      <c r="V187" s="62">
        <f t="shared" si="56"/>
        <v>15.902090030030376</v>
      </c>
      <c r="W187" s="62">
        <f t="shared" si="56"/>
        <v>16.203928670485549</v>
      </c>
      <c r="X187" s="62">
        <f t="shared" si="56"/>
        <v>16.648546097721429</v>
      </c>
      <c r="Y187" s="62">
        <f t="shared" si="56"/>
        <v>16.271581775989851</v>
      </c>
      <c r="Z187" s="62">
        <f t="shared" si="56"/>
        <v>16.823363721045734</v>
      </c>
      <c r="AA187" s="62">
        <f t="shared" si="56"/>
        <v>17.186829435587111</v>
      </c>
      <c r="AB187" s="62">
        <f t="shared" si="56"/>
        <v>17.790528335780738</v>
      </c>
      <c r="AC187" s="62">
        <f t="shared" si="56"/>
        <v>17.996049527410474</v>
      </c>
      <c r="AD187" s="62">
        <f t="shared" si="56"/>
        <v>18.992257822053169</v>
      </c>
      <c r="AE187" s="62">
        <f t="shared" si="56"/>
        <v>19.722710726468534</v>
      </c>
      <c r="AF187" s="62">
        <f t="shared" si="56"/>
        <v>20.785584909187442</v>
      </c>
      <c r="AG187" s="62">
        <f t="shared" si="56"/>
        <v>21.407482841816886</v>
      </c>
      <c r="AH187" s="62">
        <f t="shared" si="56"/>
        <v>22.500449590767218</v>
      </c>
      <c r="AI187" s="62">
        <f t="shared" si="56"/>
        <v>22.423719106997581</v>
      </c>
      <c r="AJ187" s="62">
        <f t="shared" si="56"/>
        <v>22.915481810296249</v>
      </c>
      <c r="AK187" s="62">
        <f t="shared" si="56"/>
        <v>23.179235136781084</v>
      </c>
      <c r="AL187" s="62">
        <f t="shared" si="56"/>
        <v>22.959617040093054</v>
      </c>
      <c r="AM187" s="62">
        <f t="shared" si="56"/>
        <v>22.675334705887813</v>
      </c>
      <c r="AN187" s="62">
        <f t="shared" si="56"/>
        <v>23.621136690551126</v>
      </c>
      <c r="AO187" s="62">
        <f t="shared" si="56"/>
        <v>23.85687769874183</v>
      </c>
      <c r="AP187" s="62">
        <f t="shared" si="56"/>
        <v>23.644026917125252</v>
      </c>
      <c r="AQ187" s="62">
        <f t="shared" si="56"/>
        <v>24.101379624069729</v>
      </c>
      <c r="AR187" s="62">
        <f t="shared" si="56"/>
        <v>24.035567709140309</v>
      </c>
      <c r="AS187" s="62">
        <f t="shared" si="56"/>
        <v>24.027860697881888</v>
      </c>
      <c r="AT187" s="62">
        <f t="shared" si="56"/>
        <v>24.532020496603632</v>
      </c>
      <c r="AU187" s="62">
        <f t="shared" si="56"/>
        <v>24.158980500876734</v>
      </c>
      <c r="AV187" s="62">
        <f t="shared" si="56"/>
        <v>24.311846086357345</v>
      </c>
      <c r="AW187" s="62">
        <f t="shared" si="56"/>
        <v>24.32929271143475</v>
      </c>
      <c r="AX187" s="62">
        <f t="shared" si="56"/>
        <v>24.185548929384037</v>
      </c>
      <c r="AY187" s="62">
        <f t="shared" si="56"/>
        <v>24.279083074255482</v>
      </c>
      <c r="AZ187" s="62">
        <f t="shared" si="56"/>
        <v>23.607612879194583</v>
      </c>
      <c r="BA187" s="62">
        <f t="shared" si="56"/>
        <v>22.906263876117617</v>
      </c>
      <c r="BB187" s="62">
        <f t="shared" si="56"/>
        <v>22.203706631948553</v>
      </c>
      <c r="BC187" s="62">
        <f t="shared" si="56"/>
        <v>21.966151363047313</v>
      </c>
      <c r="BD187" s="62">
        <f t="shared" si="56"/>
        <v>21.87740488715049</v>
      </c>
      <c r="BE187" s="62">
        <f t="shared" si="56"/>
        <v>21.50542696825169</v>
      </c>
      <c r="BF187" s="62">
        <f t="shared" si="56"/>
        <v>21.579966137244739</v>
      </c>
      <c r="BG187" s="62">
        <f t="shared" si="56"/>
        <v>21.744617979289373</v>
      </c>
      <c r="BH187" s="62">
        <f t="shared" si="56"/>
        <v>22.044358477793551</v>
      </c>
      <c r="BI187" s="62">
        <f t="shared" si="56"/>
        <v>22.012356237454785</v>
      </c>
      <c r="BJ187" s="62">
        <f t="shared" si="56"/>
        <v>21.623059085308338</v>
      </c>
      <c r="BK187" s="18" t="s">
        <v>141</v>
      </c>
    </row>
    <row r="188" spans="1:63" s="17" customFormat="1">
      <c r="A188" s="3"/>
      <c r="C188" s="17" t="s">
        <v>142</v>
      </c>
      <c r="D188" s="105">
        <f t="shared" ref="D188:AI188" si="57">D128/D187</f>
        <v>10.327261649193586</v>
      </c>
      <c r="E188" s="105">
        <f t="shared" si="57"/>
        <v>10.839465950994509</v>
      </c>
      <c r="F188" s="105">
        <f t="shared" si="57"/>
        <v>11.089208092831514</v>
      </c>
      <c r="G188" s="105">
        <f t="shared" si="57"/>
        <v>11.344196836957876</v>
      </c>
      <c r="H188" s="105">
        <f t="shared" si="57"/>
        <v>11.787684160816211</v>
      </c>
      <c r="I188" s="105">
        <f t="shared" si="57"/>
        <v>11.947049871158082</v>
      </c>
      <c r="J188" s="105">
        <f t="shared" si="57"/>
        <v>12.285292067042615</v>
      </c>
      <c r="K188" s="105">
        <f t="shared" si="57"/>
        <v>12.205730620835096</v>
      </c>
      <c r="L188" s="105">
        <f t="shared" si="57"/>
        <v>12.118189855432309</v>
      </c>
      <c r="M188" s="105">
        <f t="shared" si="57"/>
        <v>12.104199438914192</v>
      </c>
      <c r="N188" s="105">
        <f t="shared" si="57"/>
        <v>12.770413360504575</v>
      </c>
      <c r="O188" s="105">
        <f t="shared" si="57"/>
        <v>12.863475571154616</v>
      </c>
      <c r="P188" s="105">
        <f t="shared" si="57"/>
        <v>12.735749950073343</v>
      </c>
      <c r="Q188" s="105">
        <f t="shared" si="57"/>
        <v>12.561890427852854</v>
      </c>
      <c r="R188" s="105">
        <f t="shared" si="57"/>
        <v>12.688918224304851</v>
      </c>
      <c r="S188" s="105">
        <f t="shared" si="57"/>
        <v>13.085171954368173</v>
      </c>
      <c r="T188" s="105">
        <f t="shared" si="57"/>
        <v>13.110514051282163</v>
      </c>
      <c r="U188" s="105">
        <f t="shared" si="57"/>
        <v>12.972036883890848</v>
      </c>
      <c r="V188" s="105">
        <f t="shared" si="57"/>
        <v>12.728653882461597</v>
      </c>
      <c r="W188" s="105">
        <f t="shared" si="57"/>
        <v>12.431972770092653</v>
      </c>
      <c r="X188" s="105">
        <f t="shared" si="57"/>
        <v>12.911782130297878</v>
      </c>
      <c r="Y188" s="105">
        <f t="shared" si="57"/>
        <v>13.48778520867859</v>
      </c>
      <c r="Z188" s="105">
        <f t="shared" si="57"/>
        <v>13.504481253994898</v>
      </c>
      <c r="AA188" s="105">
        <f t="shared" si="57"/>
        <v>13.45293504346118</v>
      </c>
      <c r="AB188" s="105">
        <f t="shared" si="57"/>
        <v>13.710913773674353</v>
      </c>
      <c r="AC188" s="105">
        <f t="shared" si="57"/>
        <v>13.920905230807538</v>
      </c>
      <c r="AD188" s="105">
        <f t="shared" si="57"/>
        <v>13.919287663262216</v>
      </c>
      <c r="AE188" s="105">
        <f t="shared" si="57"/>
        <v>14.423534571149501</v>
      </c>
      <c r="AF188" s="105">
        <f t="shared" si="57"/>
        <v>14.692307256892025</v>
      </c>
      <c r="AG188" s="105">
        <f t="shared" si="57"/>
        <v>15.475574706656293</v>
      </c>
      <c r="AH188" s="105">
        <f t="shared" si="57"/>
        <v>14.924070678916152</v>
      </c>
      <c r="AI188" s="105">
        <f t="shared" si="57"/>
        <v>14.946436779767327</v>
      </c>
      <c r="AJ188" s="105">
        <f t="shared" ref="AJ188:BJ188" si="58">AJ128/AJ187</f>
        <v>14.745053269976687</v>
      </c>
      <c r="AK188" s="105">
        <f t="shared" si="58"/>
        <v>14.584212895945685</v>
      </c>
      <c r="AL188" s="105">
        <f t="shared" si="58"/>
        <v>15.025058971915756</v>
      </c>
      <c r="AM188" s="105">
        <f t="shared" si="58"/>
        <v>15.483070241465436</v>
      </c>
      <c r="AN188" s="105">
        <f t="shared" si="58"/>
        <v>15.230952037287661</v>
      </c>
      <c r="AO188" s="105">
        <f t="shared" si="58"/>
        <v>15.329990144489351</v>
      </c>
      <c r="AP188" s="105">
        <f t="shared" si="58"/>
        <v>15.672148458417229</v>
      </c>
      <c r="AQ188" s="105">
        <f t="shared" si="58"/>
        <v>15.65514115313071</v>
      </c>
      <c r="AR188" s="105">
        <f t="shared" si="58"/>
        <v>15.64445261082828</v>
      </c>
      <c r="AS188" s="105">
        <f t="shared" si="58"/>
        <v>15.863755196216916</v>
      </c>
      <c r="AT188" s="105">
        <f t="shared" si="58"/>
        <v>15.918146654657487</v>
      </c>
      <c r="AU188" s="105">
        <f t="shared" si="58"/>
        <v>16.137299336197234</v>
      </c>
      <c r="AV188" s="105">
        <f t="shared" si="58"/>
        <v>16.214523512519648</v>
      </c>
      <c r="AW188" s="105">
        <f t="shared" si="58"/>
        <v>16.136761748749077</v>
      </c>
      <c r="AX188" s="105">
        <f t="shared" si="58"/>
        <v>16.425597829510071</v>
      </c>
      <c r="AY188" s="105">
        <f t="shared" si="58"/>
        <v>16.388827320333299</v>
      </c>
      <c r="AZ188" s="105">
        <f t="shared" si="58"/>
        <v>16.725477583037655</v>
      </c>
      <c r="BA188" s="105">
        <f t="shared" si="58"/>
        <v>17.19543624094316</v>
      </c>
      <c r="BB188" s="105">
        <f t="shared" si="58"/>
        <v>17.529375002638606</v>
      </c>
      <c r="BC188" s="105">
        <f t="shared" si="58"/>
        <v>17.894746034631218</v>
      </c>
      <c r="BD188" s="105">
        <f t="shared" si="58"/>
        <v>18.055592152614295</v>
      </c>
      <c r="BE188" s="105">
        <f t="shared" si="58"/>
        <v>18.450198667795</v>
      </c>
      <c r="BF188" s="105">
        <f t="shared" si="58"/>
        <v>18.900933273293681</v>
      </c>
      <c r="BG188" s="105">
        <f t="shared" si="58"/>
        <v>19.098192499658332</v>
      </c>
      <c r="BH188" s="105">
        <f t="shared" si="58"/>
        <v>19.261848804887528</v>
      </c>
      <c r="BI188" s="105">
        <f t="shared" si="58"/>
        <v>19.662638353250891</v>
      </c>
      <c r="BJ188" s="105">
        <f t="shared" si="58"/>
        <v>20.262197789473987</v>
      </c>
      <c r="BK188" s="18">
        <f>BA188/N188</f>
        <v>1.3465058456231322</v>
      </c>
    </row>
    <row r="189" spans="1:63" s="17" customFormat="1">
      <c r="A189" s="3"/>
      <c r="C189" s="17" t="s">
        <v>143</v>
      </c>
      <c r="D189" s="105">
        <f t="shared" ref="D189:AI189" si="59">(D185/(D185+D186*1.25))*(D128/D185)</f>
        <v>10.309075371216512</v>
      </c>
      <c r="E189" s="105">
        <f t="shared" si="59"/>
        <v>10.819428822719486</v>
      </c>
      <c r="F189" s="105">
        <f t="shared" si="59"/>
        <v>11.067978446773136</v>
      </c>
      <c r="G189" s="105">
        <f t="shared" si="59"/>
        <v>11.321487651737248</v>
      </c>
      <c r="H189" s="105">
        <f t="shared" si="59"/>
        <v>11.763749525871409</v>
      </c>
      <c r="I189" s="105">
        <f t="shared" si="59"/>
        <v>11.922716749483017</v>
      </c>
      <c r="J189" s="105">
        <f t="shared" si="59"/>
        <v>12.25989415236795</v>
      </c>
      <c r="K189" s="105">
        <f t="shared" si="59"/>
        <v>12.180210593613785</v>
      </c>
      <c r="L189" s="105">
        <f t="shared" si="59"/>
        <v>12.092172700698026</v>
      </c>
      <c r="M189" s="105">
        <f t="shared" si="59"/>
        <v>12.077366991552548</v>
      </c>
      <c r="N189" s="105">
        <f t="shared" si="59"/>
        <v>12.74213020593514</v>
      </c>
      <c r="O189" s="105">
        <f t="shared" si="59"/>
        <v>12.834530138788063</v>
      </c>
      <c r="P189" s="105">
        <f t="shared" si="59"/>
        <v>12.707393392702333</v>
      </c>
      <c r="Q189" s="105">
        <f t="shared" si="59"/>
        <v>12.533152585953388</v>
      </c>
      <c r="R189" s="105">
        <f t="shared" si="59"/>
        <v>12.659973417224334</v>
      </c>
      <c r="S189" s="105">
        <f t="shared" si="59"/>
        <v>13.054591348559491</v>
      </c>
      <c r="T189" s="105">
        <f t="shared" si="59"/>
        <v>13.08030360276585</v>
      </c>
      <c r="U189" s="105">
        <f t="shared" si="59"/>
        <v>12.941432052825817</v>
      </c>
      <c r="V189" s="105">
        <f t="shared" si="59"/>
        <v>12.699518305492454</v>
      </c>
      <c r="W189" s="105">
        <f t="shared" si="59"/>
        <v>12.403733127283193</v>
      </c>
      <c r="X189" s="105">
        <f t="shared" si="59"/>
        <v>12.88235987875718</v>
      </c>
      <c r="Y189" s="105">
        <f t="shared" si="59"/>
        <v>13.45653167340555</v>
      </c>
      <c r="Z189" s="105">
        <f t="shared" si="59"/>
        <v>13.471627002025482</v>
      </c>
      <c r="AA189" s="105">
        <f t="shared" si="59"/>
        <v>13.41874332255288</v>
      </c>
      <c r="AB189" s="105">
        <f t="shared" si="59"/>
        <v>13.67381301799729</v>
      </c>
      <c r="AC189" s="105">
        <f t="shared" si="59"/>
        <v>13.88079582656513</v>
      </c>
      <c r="AD189" s="105">
        <f t="shared" si="59"/>
        <v>13.875815175710677</v>
      </c>
      <c r="AE189" s="105">
        <f t="shared" si="59"/>
        <v>14.359302293050815</v>
      </c>
      <c r="AF189" s="105">
        <f t="shared" si="59"/>
        <v>14.617926110485817</v>
      </c>
      <c r="AG189" s="105">
        <f t="shared" si="59"/>
        <v>15.368110432805528</v>
      </c>
      <c r="AH189" s="105">
        <f t="shared" si="59"/>
        <v>14.762436787023567</v>
      </c>
      <c r="AI189" s="105">
        <f t="shared" si="59"/>
        <v>14.762897501517381</v>
      </c>
      <c r="AJ189" s="105">
        <f t="shared" ref="AJ189:BJ189" si="60">(AJ185/(AJ185+AJ186*1.25))*(AJ128/AJ185)</f>
        <v>14.521442442067187</v>
      </c>
      <c r="AK189" s="105">
        <f t="shared" si="60"/>
        <v>14.30547439012525</v>
      </c>
      <c r="AL189" s="105">
        <f t="shared" si="60"/>
        <v>14.647580125923175</v>
      </c>
      <c r="AM189" s="105">
        <f t="shared" si="60"/>
        <v>15.024177218551349</v>
      </c>
      <c r="AN189" s="105">
        <f t="shared" si="60"/>
        <v>14.734026916888887</v>
      </c>
      <c r="AO189" s="105">
        <f t="shared" si="60"/>
        <v>14.789249904304961</v>
      </c>
      <c r="AP189" s="105">
        <f t="shared" si="60"/>
        <v>15.097685225705007</v>
      </c>
      <c r="AQ189" s="105">
        <f t="shared" si="60"/>
        <v>15.040614987308478</v>
      </c>
      <c r="AR189" s="105">
        <f t="shared" si="60"/>
        <v>15.002884923512017</v>
      </c>
      <c r="AS189" s="105">
        <f t="shared" si="60"/>
        <v>15.16445231622605</v>
      </c>
      <c r="AT189" s="105">
        <f t="shared" si="60"/>
        <v>15.151558209606399</v>
      </c>
      <c r="AU189" s="105">
        <f t="shared" si="60"/>
        <v>15.282372693158992</v>
      </c>
      <c r="AV189" s="105">
        <f t="shared" si="60"/>
        <v>15.283313385413933</v>
      </c>
      <c r="AW189" s="105">
        <f t="shared" si="60"/>
        <v>15.124467977946669</v>
      </c>
      <c r="AX189" s="105">
        <f t="shared" si="60"/>
        <v>15.299202413883636</v>
      </c>
      <c r="AY189" s="105">
        <f t="shared" si="60"/>
        <v>15.187426406527958</v>
      </c>
      <c r="AZ189" s="105">
        <f t="shared" si="60"/>
        <v>15.416546394209128</v>
      </c>
      <c r="BA189" s="105">
        <f t="shared" si="60"/>
        <v>15.786778168301231</v>
      </c>
      <c r="BB189" s="105">
        <f t="shared" si="60"/>
        <v>16.006897069259278</v>
      </c>
      <c r="BC189" s="105">
        <f t="shared" si="60"/>
        <v>16.249684994248724</v>
      </c>
      <c r="BD189" s="105">
        <f t="shared" si="60"/>
        <v>16.29980590941647</v>
      </c>
      <c r="BE189" s="105">
        <f t="shared" si="60"/>
        <v>16.582420626201824</v>
      </c>
      <c r="BF189" s="105">
        <f t="shared" si="60"/>
        <v>16.934396460051055</v>
      </c>
      <c r="BG189" s="105">
        <f t="shared" si="60"/>
        <v>17.051638723714031</v>
      </c>
      <c r="BH189" s="105">
        <f t="shared" si="60"/>
        <v>17.146461265365652</v>
      </c>
      <c r="BI189" s="105">
        <f t="shared" si="60"/>
        <v>17.477083401641558</v>
      </c>
      <c r="BJ189" s="105">
        <f t="shared" si="60"/>
        <v>18.009344639552928</v>
      </c>
      <c r="BK189" s="18">
        <f>BA189/N189</f>
        <v>1.2389434037448406</v>
      </c>
    </row>
    <row r="190" spans="1:63" s="17" customFormat="1">
      <c r="A190" s="3"/>
      <c r="C190" s="17" t="s">
        <v>144</v>
      </c>
      <c r="D190" s="105">
        <f t="shared" ref="D190:AI190" si="61">(D186*1.25/(D185+D186*1.25))*(D128/D186)</f>
        <v>12.886344214020639</v>
      </c>
      <c r="E190" s="105">
        <f t="shared" si="61"/>
        <v>13.524286028399359</v>
      </c>
      <c r="F190" s="105">
        <f t="shared" si="61"/>
        <v>13.834973058466417</v>
      </c>
      <c r="G190" s="105">
        <f t="shared" si="61"/>
        <v>14.151859564671561</v>
      </c>
      <c r="H190" s="105">
        <f t="shared" si="61"/>
        <v>14.704686907339259</v>
      </c>
      <c r="I190" s="105">
        <f t="shared" si="61"/>
        <v>14.903395936853771</v>
      </c>
      <c r="J190" s="105">
        <f t="shared" si="61"/>
        <v>15.324867690459939</v>
      </c>
      <c r="K190" s="105">
        <f t="shared" si="61"/>
        <v>15.225263242017228</v>
      </c>
      <c r="L190" s="105">
        <f t="shared" si="61"/>
        <v>15.115215875872531</v>
      </c>
      <c r="M190" s="105">
        <f t="shared" si="61"/>
        <v>15.096708739440682</v>
      </c>
      <c r="N190" s="105">
        <f t="shared" si="61"/>
        <v>15.927662757418929</v>
      </c>
      <c r="O190" s="105">
        <f t="shared" si="61"/>
        <v>16.043162673485078</v>
      </c>
      <c r="P190" s="105">
        <f t="shared" si="61"/>
        <v>15.884241740877915</v>
      </c>
      <c r="Q190" s="105">
        <f t="shared" si="61"/>
        <v>15.666440732441734</v>
      </c>
      <c r="R190" s="105">
        <f t="shared" si="61"/>
        <v>15.824966771530418</v>
      </c>
      <c r="S190" s="105">
        <f t="shared" si="61"/>
        <v>16.318239185699362</v>
      </c>
      <c r="T190" s="105">
        <f t="shared" si="61"/>
        <v>16.350379503457312</v>
      </c>
      <c r="U190" s="105">
        <f t="shared" si="61"/>
        <v>16.176790066032272</v>
      </c>
      <c r="V190" s="105">
        <f t="shared" si="61"/>
        <v>15.874397881865567</v>
      </c>
      <c r="W190" s="105">
        <f t="shared" si="61"/>
        <v>15.504666409103992</v>
      </c>
      <c r="X190" s="105">
        <f t="shared" si="61"/>
        <v>16.102949848446475</v>
      </c>
      <c r="Y190" s="105">
        <f t="shared" si="61"/>
        <v>16.820664591756934</v>
      </c>
      <c r="Z190" s="105">
        <f t="shared" si="61"/>
        <v>16.839533752531857</v>
      </c>
      <c r="AA190" s="105">
        <f t="shared" si="61"/>
        <v>16.773429153191099</v>
      </c>
      <c r="AB190" s="105">
        <f t="shared" si="61"/>
        <v>17.092266272496612</v>
      </c>
      <c r="AC190" s="105">
        <f t="shared" si="61"/>
        <v>17.350994783206417</v>
      </c>
      <c r="AD190" s="105">
        <f t="shared" si="61"/>
        <v>17.344768969638348</v>
      </c>
      <c r="AE190" s="105">
        <f t="shared" si="61"/>
        <v>17.949127866313518</v>
      </c>
      <c r="AF190" s="105">
        <f t="shared" si="61"/>
        <v>18.272407638107271</v>
      </c>
      <c r="AG190" s="105">
        <f t="shared" si="61"/>
        <v>19.210138041006907</v>
      </c>
      <c r="AH190" s="105">
        <f t="shared" si="61"/>
        <v>18.453045983779461</v>
      </c>
      <c r="AI190" s="105">
        <f t="shared" si="61"/>
        <v>18.453621876896726</v>
      </c>
      <c r="AJ190" s="105">
        <f t="shared" ref="AJ190:BJ190" si="62">(AJ186*1.25/(AJ185+AJ186*1.25))*(AJ128/AJ186)</f>
        <v>18.151803052583983</v>
      </c>
      <c r="AK190" s="105">
        <f t="shared" si="62"/>
        <v>17.881842987656562</v>
      </c>
      <c r="AL190" s="105">
        <f t="shared" si="62"/>
        <v>18.309475157403973</v>
      </c>
      <c r="AM190" s="105">
        <f t="shared" si="62"/>
        <v>18.780221523189184</v>
      </c>
      <c r="AN190" s="105">
        <f t="shared" si="62"/>
        <v>18.41753364611111</v>
      </c>
      <c r="AO190" s="105">
        <f t="shared" si="62"/>
        <v>18.486562380381205</v>
      </c>
      <c r="AP190" s="105">
        <f t="shared" si="62"/>
        <v>18.872106532131259</v>
      </c>
      <c r="AQ190" s="105">
        <f t="shared" si="62"/>
        <v>18.800768734135598</v>
      </c>
      <c r="AR190" s="105">
        <f t="shared" si="62"/>
        <v>18.753606154390017</v>
      </c>
      <c r="AS190" s="105">
        <f t="shared" si="62"/>
        <v>18.955565395282566</v>
      </c>
      <c r="AT190" s="105">
        <f t="shared" si="62"/>
        <v>18.939447762008001</v>
      </c>
      <c r="AU190" s="105">
        <f t="shared" si="62"/>
        <v>19.102965866448741</v>
      </c>
      <c r="AV190" s="105">
        <f t="shared" si="62"/>
        <v>19.10414173176742</v>
      </c>
      <c r="AW190" s="105">
        <f t="shared" si="62"/>
        <v>18.905584972433335</v>
      </c>
      <c r="AX190" s="105">
        <f t="shared" si="62"/>
        <v>19.124003017354543</v>
      </c>
      <c r="AY190" s="105">
        <f t="shared" si="62"/>
        <v>18.984283008159952</v>
      </c>
      <c r="AZ190" s="105">
        <f t="shared" si="62"/>
        <v>19.270682992761408</v>
      </c>
      <c r="BA190" s="105">
        <f t="shared" si="62"/>
        <v>19.733472710376542</v>
      </c>
      <c r="BB190" s="105">
        <f t="shared" si="62"/>
        <v>20.008621336574095</v>
      </c>
      <c r="BC190" s="105">
        <f t="shared" si="62"/>
        <v>20.312106242810902</v>
      </c>
      <c r="BD190" s="105">
        <f t="shared" si="62"/>
        <v>20.374757386770593</v>
      </c>
      <c r="BE190" s="105">
        <f t="shared" si="62"/>
        <v>20.72802578275228</v>
      </c>
      <c r="BF190" s="105">
        <f t="shared" si="62"/>
        <v>21.167995575063813</v>
      </c>
      <c r="BG190" s="105">
        <f t="shared" si="62"/>
        <v>21.314548404642537</v>
      </c>
      <c r="BH190" s="105">
        <f t="shared" si="62"/>
        <v>21.433076581707063</v>
      </c>
      <c r="BI190" s="105">
        <f t="shared" si="62"/>
        <v>21.846354252051945</v>
      </c>
      <c r="BJ190" s="105">
        <f t="shared" si="62"/>
        <v>22.511680799441159</v>
      </c>
      <c r="BK190" s="18">
        <f>BA190/N190</f>
        <v>1.2389434037448406</v>
      </c>
    </row>
    <row r="191" spans="1:63" s="17" customFormat="1">
      <c r="A191" s="3"/>
      <c r="B191" s="106">
        <f>(N191/X191)^(1/10)</f>
        <v>0.99890597530644698</v>
      </c>
      <c r="C191" s="17" t="s">
        <v>119</v>
      </c>
      <c r="D191" s="107">
        <f t="shared" ref="D191:L192" si="63">E191*$B191</f>
        <v>18.419263685956835</v>
      </c>
      <c r="E191" s="107">
        <f t="shared" si="63"/>
        <v>18.439436885244504</v>
      </c>
      <c r="F191" s="107">
        <f t="shared" si="63"/>
        <v>18.45963217868189</v>
      </c>
      <c r="G191" s="107">
        <f t="shared" si="63"/>
        <v>18.479849590467005</v>
      </c>
      <c r="H191" s="107">
        <f t="shared" si="63"/>
        <v>18.500089144824376</v>
      </c>
      <c r="I191" s="107">
        <f t="shared" si="63"/>
        <v>18.52035086600505</v>
      </c>
      <c r="J191" s="107">
        <f t="shared" si="63"/>
        <v>18.540634778286645</v>
      </c>
      <c r="K191" s="107">
        <f t="shared" si="63"/>
        <v>18.560940905973357</v>
      </c>
      <c r="L191" s="107">
        <f t="shared" si="63"/>
        <v>18.581269273396011</v>
      </c>
      <c r="M191" s="107">
        <f>N191*$B191</f>
        <v>18.60161990491207</v>
      </c>
      <c r="N191" s="103">
        <f t="shared" ref="N191:AS191" si="64">(N$120*(N185*N189/(N$185*N$188+N$186*N$189))*1000000000/1.609)/(N185*1000000*$N$5)</f>
        <v>18.621992824905686</v>
      </c>
      <c r="O191" s="103">
        <f t="shared" si="64"/>
        <v>18.757042674793492</v>
      </c>
      <c r="P191" s="103">
        <f t="shared" si="64"/>
        <v>18.571230594429597</v>
      </c>
      <c r="Q191" s="103">
        <f t="shared" si="64"/>
        <v>18.316606523136212</v>
      </c>
      <c r="R191" s="103">
        <f t="shared" si="64"/>
        <v>18.50194690100232</v>
      </c>
      <c r="S191" s="103">
        <f t="shared" si="64"/>
        <v>19.078681954666806</v>
      </c>
      <c r="T191" s="103">
        <f t="shared" si="64"/>
        <v>19.116247561760403</v>
      </c>
      <c r="U191" s="103">
        <f t="shared" si="64"/>
        <v>18.913312806810609</v>
      </c>
      <c r="V191" s="103">
        <f t="shared" si="64"/>
        <v>18.559742545893577</v>
      </c>
      <c r="W191" s="103">
        <f t="shared" si="64"/>
        <v>18.127460775445787</v>
      </c>
      <c r="X191" s="103">
        <f t="shared" si="64"/>
        <v>18.826953274751638</v>
      </c>
      <c r="Y191" s="103">
        <f t="shared" si="64"/>
        <v>19.666091864015687</v>
      </c>
      <c r="Z191" s="103">
        <f t="shared" si="64"/>
        <v>19.68819640511051</v>
      </c>
      <c r="AA191" s="103">
        <f t="shared" si="64"/>
        <v>19.610951801334956</v>
      </c>
      <c r="AB191" s="103">
        <f t="shared" si="64"/>
        <v>19.98379507856944</v>
      </c>
      <c r="AC191" s="103">
        <f t="shared" si="64"/>
        <v>20.286372963439387</v>
      </c>
      <c r="AD191" s="103">
        <f t="shared" si="64"/>
        <v>20.279212269510353</v>
      </c>
      <c r="AE191" s="103">
        <f t="shared" si="64"/>
        <v>20.986669424774043</v>
      </c>
      <c r="AF191" s="103">
        <f t="shared" si="64"/>
        <v>21.365157126714291</v>
      </c>
      <c r="AG191" s="103">
        <f t="shared" si="64"/>
        <v>22.463654512202812</v>
      </c>
      <c r="AH191" s="103">
        <f t="shared" si="64"/>
        <v>21.584384786190739</v>
      </c>
      <c r="AI191" s="103">
        <f t="shared" si="64"/>
        <v>21.58800320066711</v>
      </c>
      <c r="AJ191" s="103">
        <f t="shared" si="64"/>
        <v>21.241794090439988</v>
      </c>
      <c r="AK191" s="103">
        <f t="shared" si="64"/>
        <v>20.937520348552837</v>
      </c>
      <c r="AL191" s="103">
        <f t="shared" si="64"/>
        <v>21.461874233757271</v>
      </c>
      <c r="AM191" s="103">
        <f t="shared" si="64"/>
        <v>22.03645507415257</v>
      </c>
      <c r="AN191" s="103">
        <f t="shared" si="64"/>
        <v>21.627821137594371</v>
      </c>
      <c r="AO191" s="103">
        <f t="shared" si="64"/>
        <v>21.725409174488831</v>
      </c>
      <c r="AP191" s="103">
        <f t="shared" si="64"/>
        <v>22.18786910573942</v>
      </c>
      <c r="AQ191" s="103">
        <f t="shared" si="64"/>
        <v>22.122605917303186</v>
      </c>
      <c r="AR191" s="103">
        <f t="shared" si="64"/>
        <v>22.080430683179507</v>
      </c>
      <c r="AS191" s="103">
        <f t="shared" si="64"/>
        <v>22.343340472766766</v>
      </c>
      <c r="AT191" s="103">
        <f t="shared" ref="AT191:BJ191" si="65">(AT$120*(AT185*AT189/(AT$185*AT$188+AT$186*AT$189))*1000000000/1.609)/(AT185*1000000*$N$5)</f>
        <v>22.360749251836772</v>
      </c>
      <c r="AU191" s="103">
        <f t="shared" si="65"/>
        <v>22.601934891250128</v>
      </c>
      <c r="AV191" s="103">
        <f t="shared" si="65"/>
        <v>22.652432242956866</v>
      </c>
      <c r="AW191" s="103">
        <f t="shared" si="65"/>
        <v>22.480788868282598</v>
      </c>
      <c r="AX191" s="103">
        <f t="shared" si="65"/>
        <v>22.819434540554539</v>
      </c>
      <c r="AY191" s="103">
        <f t="shared" si="65"/>
        <v>22.722290799133809</v>
      </c>
      <c r="AZ191" s="103">
        <f t="shared" si="65"/>
        <v>23.145238960466536</v>
      </c>
      <c r="BA191" s="103">
        <f t="shared" si="65"/>
        <v>23.766039855249421</v>
      </c>
      <c r="BB191" s="103">
        <f t="shared" si="65"/>
        <v>24.19222833033977</v>
      </c>
      <c r="BC191" s="103">
        <f t="shared" si="65"/>
        <v>24.665870464460905</v>
      </c>
      <c r="BD191" s="103">
        <f t="shared" si="65"/>
        <v>24.86262354700882</v>
      </c>
      <c r="BE191" s="103">
        <f t="shared" si="65"/>
        <v>25.392045865047844</v>
      </c>
      <c r="BF191" s="103">
        <f t="shared" si="65"/>
        <v>26.005106414245706</v>
      </c>
      <c r="BG191" s="103">
        <f t="shared" si="65"/>
        <v>26.271171472158613</v>
      </c>
      <c r="BH191" s="103">
        <f t="shared" si="65"/>
        <v>26.494086039097528</v>
      </c>
      <c r="BI191" s="103">
        <f t="shared" si="65"/>
        <v>27.045090164760488</v>
      </c>
      <c r="BJ191" s="103">
        <f t="shared" si="65"/>
        <v>27.869758302924698</v>
      </c>
      <c r="BK191" s="18"/>
    </row>
    <row r="192" spans="1:63" s="17" customFormat="1">
      <c r="A192" s="3"/>
      <c r="B192" s="106">
        <f>(N192/X192)^(1/10)</f>
        <v>0.99890609055465229</v>
      </c>
      <c r="C192" s="17" t="s">
        <v>120</v>
      </c>
      <c r="D192" s="107">
        <f t="shared" si="63"/>
        <v>23.023653428644913</v>
      </c>
      <c r="E192" s="107">
        <f t="shared" si="63"/>
        <v>23.048866801743902</v>
      </c>
      <c r="F192" s="107">
        <f t="shared" si="63"/>
        <v>23.07410778619419</v>
      </c>
      <c r="G192" s="107">
        <f t="shared" si="63"/>
        <v>23.099376412233173</v>
      </c>
      <c r="H192" s="107">
        <f t="shared" si="63"/>
        <v>23.12467271013136</v>
      </c>
      <c r="I192" s="107">
        <f t="shared" si="63"/>
        <v>23.149996710192408</v>
      </c>
      <c r="J192" s="107">
        <f t="shared" si="63"/>
        <v>23.175348442753158</v>
      </c>
      <c r="K192" s="107">
        <f t="shared" si="63"/>
        <v>23.200727938183679</v>
      </c>
      <c r="L192" s="107">
        <f t="shared" si="63"/>
        <v>23.226135226887294</v>
      </c>
      <c r="M192" s="107">
        <f>N192*$B192</f>
        <v>23.251570339300621</v>
      </c>
      <c r="N192" s="103">
        <f t="shared" ref="N192:AS192" si="66">(N$120*(N186*N190/(N$185*N$189+N$186*N$190))*1000000000/1.609)/(N186*1000000*$N$5)</f>
        <v>23.27703330589361</v>
      </c>
      <c r="O192" s="103">
        <f t="shared" si="66"/>
        <v>23.445827399166788</v>
      </c>
      <c r="P192" s="103">
        <f t="shared" si="66"/>
        <v>23.213576886480769</v>
      </c>
      <c r="Q192" s="103">
        <f t="shared" si="66"/>
        <v>22.895277748393806</v>
      </c>
      <c r="R192" s="103">
        <f t="shared" si="66"/>
        <v>23.126951155089962</v>
      </c>
      <c r="S192" s="103">
        <f t="shared" si="66"/>
        <v>23.847830206107091</v>
      </c>
      <c r="T192" s="103">
        <f t="shared" si="66"/>
        <v>23.894800766590958</v>
      </c>
      <c r="U192" s="103">
        <f t="shared" si="66"/>
        <v>23.641113381440114</v>
      </c>
      <c r="V192" s="103">
        <f t="shared" si="66"/>
        <v>23.199190856491384</v>
      </c>
      <c r="W192" s="103">
        <f t="shared" si="66"/>
        <v>22.658857228338718</v>
      </c>
      <c r="X192" s="103">
        <f t="shared" si="66"/>
        <v>23.53320167899912</v>
      </c>
      <c r="Y192" s="103">
        <f t="shared" si="66"/>
        <v>24.58208563884984</v>
      </c>
      <c r="Z192" s="103">
        <f t="shared" si="66"/>
        <v>24.609661441433154</v>
      </c>
      <c r="AA192" s="103">
        <f t="shared" si="66"/>
        <v>24.513054740000396</v>
      </c>
      <c r="AB192" s="103">
        <f t="shared" si="66"/>
        <v>24.97901025138092</v>
      </c>
      <c r="AC192" s="103">
        <f t="shared" si="66"/>
        <v>25.357121732814132</v>
      </c>
      <c r="AD192" s="103">
        <f t="shared" si="66"/>
        <v>25.348023193248896</v>
      </c>
      <c r="AE192" s="103">
        <f t="shared" si="66"/>
        <v>26.231246449596938</v>
      </c>
      <c r="AF192" s="103">
        <f t="shared" si="66"/>
        <v>26.703694550098049</v>
      </c>
      <c r="AG192" s="103">
        <f t="shared" si="66"/>
        <v>28.074114187472453</v>
      </c>
      <c r="AH192" s="103">
        <f t="shared" si="66"/>
        <v>26.967683363307607</v>
      </c>
      <c r="AI192" s="103">
        <f t="shared" si="66"/>
        <v>26.968524986053858</v>
      </c>
      <c r="AJ192" s="103">
        <f t="shared" si="66"/>
        <v>26.52744038168521</v>
      </c>
      <c r="AK192" s="103">
        <f t="shared" si="66"/>
        <v>26.132914862261472</v>
      </c>
      <c r="AL192" s="103">
        <f t="shared" si="66"/>
        <v>26.757865830239854</v>
      </c>
      <c r="AM192" s="103">
        <f t="shared" si="66"/>
        <v>27.445824823464175</v>
      </c>
      <c r="AN192" s="103">
        <f t="shared" si="66"/>
        <v>26.915784859474002</v>
      </c>
      <c r="AO192" s="103">
        <f t="shared" si="66"/>
        <v>27.016664955388904</v>
      </c>
      <c r="AP192" s="103">
        <f t="shared" si="66"/>
        <v>27.580107577062847</v>
      </c>
      <c r="AQ192" s="103">
        <f t="shared" si="66"/>
        <v>27.475852965121081</v>
      </c>
      <c r="AR192" s="103">
        <f t="shared" si="66"/>
        <v>27.406928543738633</v>
      </c>
      <c r="AS192" s="103">
        <f t="shared" si="66"/>
        <v>27.702076177656181</v>
      </c>
      <c r="AT192" s="103">
        <f t="shared" ref="AT192:BJ192" si="67">(AT$120*(AT186*AT190/(AT$185*AT$189+AT$186*AT$190))*1000000000/1.609)/(AT186*1000000*$N$5)</f>
        <v>27.678521517298396</v>
      </c>
      <c r="AU192" s="103">
        <f t="shared" si="67"/>
        <v>27.917490437042186</v>
      </c>
      <c r="AV192" s="103">
        <f t="shared" si="67"/>
        <v>27.919208872232772</v>
      </c>
      <c r="AW192" s="103">
        <f t="shared" si="67"/>
        <v>27.629033698981004</v>
      </c>
      <c r="AX192" s="103">
        <f t="shared" si="67"/>
        <v>27.948234587628079</v>
      </c>
      <c r="AY192" s="103">
        <f t="shared" si="67"/>
        <v>27.744044722670822</v>
      </c>
      <c r="AZ192" s="103">
        <f t="shared" si="67"/>
        <v>28.162595898816875</v>
      </c>
      <c r="BA192" s="103">
        <f t="shared" si="67"/>
        <v>28.838926873085846</v>
      </c>
      <c r="BB192" s="103">
        <f t="shared" si="67"/>
        <v>29.24103506897216</v>
      </c>
      <c r="BC192" s="103">
        <f t="shared" si="67"/>
        <v>29.68455452175688</v>
      </c>
      <c r="BD192" s="103">
        <f t="shared" si="67"/>
        <v>29.77611426826914</v>
      </c>
      <c r="BE192" s="103">
        <f t="shared" si="67"/>
        <v>30.292388397400547</v>
      </c>
      <c r="BF192" s="103">
        <f t="shared" si="67"/>
        <v>30.93536983574451</v>
      </c>
      <c r="BG192" s="103">
        <f t="shared" si="67"/>
        <v>31.149545333250433</v>
      </c>
      <c r="BH192" s="103">
        <f t="shared" si="67"/>
        <v>31.32276499311125</v>
      </c>
      <c r="BI192" s="103">
        <f t="shared" si="67"/>
        <v>31.926737982978775</v>
      </c>
      <c r="BJ192" s="103">
        <f t="shared" si="67"/>
        <v>32.89906069213837</v>
      </c>
      <c r="BK192" s="18"/>
    </row>
    <row r="193" spans="1:63" s="17" customFormat="1">
      <c r="A193" s="3"/>
      <c r="C193" s="17" t="s">
        <v>145</v>
      </c>
      <c r="D193" s="108">
        <f t="shared" ref="D193:M193" si="68">1-D205-D231</f>
        <v>0.80377002333152059</v>
      </c>
      <c r="E193" s="108">
        <f t="shared" si="68"/>
        <v>0.81005298463230091</v>
      </c>
      <c r="F193" s="108">
        <f t="shared" si="68"/>
        <v>0.81860509084337263</v>
      </c>
      <c r="G193" s="108">
        <f t="shared" si="68"/>
        <v>0.82754826700138595</v>
      </c>
      <c r="H193" s="108">
        <f t="shared" si="68"/>
        <v>0.83208400134971261</v>
      </c>
      <c r="I193" s="108">
        <f t="shared" si="68"/>
        <v>0.83875070006529406</v>
      </c>
      <c r="J193" s="108">
        <f t="shared" si="68"/>
        <v>0.84442288746887439</v>
      </c>
      <c r="K193" s="108">
        <f t="shared" si="68"/>
        <v>0.84996499854422136</v>
      </c>
      <c r="L193" s="108">
        <f t="shared" si="68"/>
        <v>0.85376862948138632</v>
      </c>
      <c r="M193" s="108">
        <f t="shared" si="68"/>
        <v>0.85695841029446507</v>
      </c>
      <c r="N193" s="9">
        <f t="shared" ref="N193:BJ193" si="69">N185/N$240</f>
        <v>0.85834063104071556</v>
      </c>
      <c r="O193" s="9">
        <f t="shared" si="69"/>
        <v>0.86286611309020034</v>
      </c>
      <c r="P193" s="9">
        <f t="shared" si="69"/>
        <v>0.8677679703572404</v>
      </c>
      <c r="Q193" s="9">
        <f t="shared" si="69"/>
        <v>0.86943889820832743</v>
      </c>
      <c r="R193" s="9">
        <f t="shared" si="69"/>
        <v>0.86484980183587601</v>
      </c>
      <c r="S193" s="9">
        <f t="shared" si="69"/>
        <v>0.86460936587848114</v>
      </c>
      <c r="T193" s="9">
        <f t="shared" si="69"/>
        <v>0.86431139582873784</v>
      </c>
      <c r="U193" s="9">
        <f t="shared" si="69"/>
        <v>0.86671690062965234</v>
      </c>
      <c r="V193" s="9">
        <f t="shared" si="69"/>
        <v>0.87023306520863808</v>
      </c>
      <c r="W193" s="9">
        <f t="shared" si="69"/>
        <v>0.87063787311961338</v>
      </c>
      <c r="X193" s="9">
        <f t="shared" si="69"/>
        <v>0.87222637859073016</v>
      </c>
      <c r="Y193" s="9">
        <f t="shared" si="69"/>
        <v>0.87173009220143161</v>
      </c>
      <c r="Z193" s="9">
        <f t="shared" si="69"/>
        <v>0.87588577450345617</v>
      </c>
      <c r="AA193" s="9">
        <f t="shared" si="69"/>
        <v>0.87986654571345702</v>
      </c>
      <c r="AB193" s="9">
        <f t="shared" si="69"/>
        <v>0.88041453940553716</v>
      </c>
      <c r="AC193" s="9">
        <f t="shared" si="69"/>
        <v>0.88238856837754032</v>
      </c>
      <c r="AD193" s="9">
        <f t="shared" si="69"/>
        <v>0.88371274347747297</v>
      </c>
      <c r="AE193" s="9">
        <f t="shared" si="69"/>
        <v>0.88334998857908886</v>
      </c>
      <c r="AF193" s="9">
        <f t="shared" si="69"/>
        <v>0.88608490893873082</v>
      </c>
      <c r="AG193" s="9">
        <f t="shared" si="69"/>
        <v>0.87996143913425318</v>
      </c>
      <c r="AH193" s="9">
        <f t="shared" si="69"/>
        <v>0.89521628648489537</v>
      </c>
      <c r="AI193" s="9">
        <f t="shared" si="69"/>
        <v>0.89727633073113833</v>
      </c>
      <c r="AJ193" s="9">
        <f t="shared" si="69"/>
        <v>0.9047500515836624</v>
      </c>
      <c r="AK193" s="9">
        <f t="shared" si="69"/>
        <v>0.91008205256612373</v>
      </c>
      <c r="AL193" s="9">
        <f t="shared" si="69"/>
        <v>0.91318305433229074</v>
      </c>
      <c r="AM193" s="9">
        <f t="shared" si="69"/>
        <v>0.9191990815504355</v>
      </c>
      <c r="AN193" s="9">
        <f t="shared" si="69"/>
        <v>0.9243230802633764</v>
      </c>
      <c r="AO193" s="9">
        <f t="shared" si="69"/>
        <v>0.92805686337672344</v>
      </c>
      <c r="AP193" s="9">
        <f t="shared" si="69"/>
        <v>0.9305816715231735</v>
      </c>
      <c r="AQ193" s="9">
        <f t="shared" si="69"/>
        <v>0.93881219570631536</v>
      </c>
      <c r="AR193" s="9">
        <f t="shared" si="69"/>
        <v>0.94475547000136051</v>
      </c>
      <c r="AS193" s="9">
        <f t="shared" si="69"/>
        <v>0.95018702195172655</v>
      </c>
      <c r="AT193" s="9">
        <f t="shared" si="69"/>
        <v>0.95512510949782381</v>
      </c>
      <c r="AU193" s="9">
        <f t="shared" si="69"/>
        <v>0.9571823017001142</v>
      </c>
      <c r="AV193" s="9">
        <f t="shared" si="69"/>
        <v>0.96075870238483652</v>
      </c>
      <c r="AW193" s="9">
        <f t="shared" si="69"/>
        <v>0.96274338378969626</v>
      </c>
      <c r="AX193" s="9">
        <f t="shared" si="69"/>
        <v>0.96211323023357342</v>
      </c>
      <c r="AY193" s="9">
        <f t="shared" si="69"/>
        <v>0.96226078034759677</v>
      </c>
      <c r="AZ193" s="9">
        <f t="shared" si="69"/>
        <v>0.96355353294192625</v>
      </c>
      <c r="BA193" s="9">
        <f t="shared" si="69"/>
        <v>0.96487116796692018</v>
      </c>
      <c r="BB193" s="9">
        <f t="shared" si="69"/>
        <v>0.96630290438614796</v>
      </c>
      <c r="BC193" s="9">
        <f t="shared" si="69"/>
        <v>0.96645197128065929</v>
      </c>
      <c r="BD193" s="9">
        <f t="shared" si="69"/>
        <v>0.96704505076011349</v>
      </c>
      <c r="BE193" s="9">
        <f t="shared" si="69"/>
        <v>0.967382192987714</v>
      </c>
      <c r="BF193" s="9">
        <f t="shared" si="69"/>
        <v>0.96733014085581537</v>
      </c>
      <c r="BG193" s="9">
        <f t="shared" si="69"/>
        <v>0.96761938060901187</v>
      </c>
      <c r="BH193" s="9">
        <f t="shared" si="69"/>
        <v>0.9681477055293003</v>
      </c>
      <c r="BI193" s="9">
        <f t="shared" si="69"/>
        <v>0.96861579670725306</v>
      </c>
      <c r="BJ193" s="9">
        <f t="shared" si="69"/>
        <v>0.96931011543326129</v>
      </c>
      <c r="BK193" s="18"/>
    </row>
    <row r="194" spans="1:63" s="17" customFormat="1">
      <c r="A194" s="3"/>
      <c r="C194" s="17" t="s">
        <v>146</v>
      </c>
      <c r="D194" s="108">
        <f t="shared" ref="D194:L194" si="70">E194-0.0005</f>
        <v>1.7418232310765926E-2</v>
      </c>
      <c r="E194" s="108">
        <f t="shared" si="70"/>
        <v>1.7918232310765926E-2</v>
      </c>
      <c r="F194" s="108">
        <f t="shared" si="70"/>
        <v>1.8418232310765927E-2</v>
      </c>
      <c r="G194" s="108">
        <f t="shared" si="70"/>
        <v>1.8918232310765927E-2</v>
      </c>
      <c r="H194" s="108">
        <f t="shared" si="70"/>
        <v>1.9418232310765927E-2</v>
      </c>
      <c r="I194" s="108">
        <f t="shared" si="70"/>
        <v>1.9918232310765928E-2</v>
      </c>
      <c r="J194" s="108">
        <f t="shared" si="70"/>
        <v>2.0418232310765928E-2</v>
      </c>
      <c r="K194" s="108">
        <f t="shared" si="70"/>
        <v>2.0918232310765929E-2</v>
      </c>
      <c r="L194" s="108">
        <f t="shared" si="70"/>
        <v>2.1418232310765929E-2</v>
      </c>
      <c r="M194" s="108">
        <f>N194-0.0005</f>
        <v>2.191823231076593E-2</v>
      </c>
      <c r="N194" s="9">
        <f t="shared" ref="N194:BJ194" si="71">N186/N$241</f>
        <v>2.241823231076593E-2</v>
      </c>
      <c r="O194" s="9">
        <f t="shared" si="71"/>
        <v>2.3349565687822475E-2</v>
      </c>
      <c r="P194" s="9">
        <f t="shared" si="71"/>
        <v>2.4390223020672185E-2</v>
      </c>
      <c r="Q194" s="9">
        <f t="shared" si="71"/>
        <v>2.4844922521075844E-2</v>
      </c>
      <c r="R194" s="9">
        <f t="shared" si="71"/>
        <v>2.4616442959233632E-2</v>
      </c>
      <c r="S194" s="9">
        <f t="shared" si="71"/>
        <v>2.5099032046795564E-2</v>
      </c>
      <c r="T194" s="9">
        <f t="shared" si="71"/>
        <v>2.5053919145862011E-2</v>
      </c>
      <c r="U194" s="9">
        <f t="shared" si="71"/>
        <v>2.5889857189100175E-2</v>
      </c>
      <c r="V194" s="9">
        <f t="shared" si="71"/>
        <v>2.5931676248688702E-2</v>
      </c>
      <c r="W194" s="9">
        <f t="shared" si="71"/>
        <v>2.5401196162567252E-2</v>
      </c>
      <c r="X194" s="9">
        <f t="shared" si="71"/>
        <v>2.7038716882629665E-2</v>
      </c>
      <c r="Y194" s="9">
        <f t="shared" si="71"/>
        <v>2.8350591346944894E-2</v>
      </c>
      <c r="Z194" s="9">
        <f t="shared" si="71"/>
        <v>2.9768628389497846E-2</v>
      </c>
      <c r="AA194" s="9">
        <f t="shared" si="71"/>
        <v>2.9393831668946747E-2</v>
      </c>
      <c r="AB194" s="9">
        <f t="shared" si="71"/>
        <v>2.9600732346724792E-2</v>
      </c>
      <c r="AC194" s="9">
        <f t="shared" si="71"/>
        <v>3.0290948323030233E-2</v>
      </c>
      <c r="AD194" s="9">
        <f t="shared" si="71"/>
        <v>3.1223984964009903E-2</v>
      </c>
      <c r="AE194" s="9">
        <f t="shared" si="71"/>
        <v>4.2961787860166738E-2</v>
      </c>
      <c r="AF194" s="9">
        <f t="shared" si="71"/>
        <v>4.6502382612025411E-2</v>
      </c>
      <c r="AG194" s="9">
        <f t="shared" si="71"/>
        <v>6.088514751070271E-2</v>
      </c>
      <c r="AH194" s="9">
        <f t="shared" si="71"/>
        <v>9.5049614897403323E-2</v>
      </c>
      <c r="AI194" s="9">
        <f t="shared" si="71"/>
        <v>0.10701241726545906</v>
      </c>
      <c r="AJ194" s="9">
        <f t="shared" si="71"/>
        <v>0.13001841615579851</v>
      </c>
      <c r="AK194" s="9">
        <f t="shared" si="71"/>
        <v>0.15676979273489378</v>
      </c>
      <c r="AL194" s="9">
        <f t="shared" si="71"/>
        <v>0.18757370006807453</v>
      </c>
      <c r="AM194" s="9">
        <f t="shared" si="71"/>
        <v>0.21061031868275473</v>
      </c>
      <c r="AN194" s="9">
        <f t="shared" si="71"/>
        <v>0.22666021777486256</v>
      </c>
      <c r="AO194" s="9">
        <f t="shared" si="71"/>
        <v>0.23788763004086008</v>
      </c>
      <c r="AP194" s="9">
        <f t="shared" si="71"/>
        <v>0.24263711081143</v>
      </c>
      <c r="AQ194" s="9">
        <f t="shared" si="71"/>
        <v>0.25925329097913186</v>
      </c>
      <c r="AR194" s="9">
        <f t="shared" si="71"/>
        <v>0.26846708658275353</v>
      </c>
      <c r="AS194" s="9">
        <f t="shared" si="71"/>
        <v>0.2816110234957836</v>
      </c>
      <c r="AT194" s="9">
        <f t="shared" si="71"/>
        <v>0.29905704657801369</v>
      </c>
      <c r="AU194" s="9">
        <f t="shared" si="71"/>
        <v>0.31099269384881489</v>
      </c>
      <c r="AV194" s="9">
        <f t="shared" si="71"/>
        <v>0.32629137250588247</v>
      </c>
      <c r="AW194" s="9">
        <f t="shared" si="71"/>
        <v>0.34238378472075193</v>
      </c>
      <c r="AX194" s="9">
        <f t="shared" si="71"/>
        <v>0.35978320744032039</v>
      </c>
      <c r="AY194" s="9">
        <f t="shared" si="71"/>
        <v>0.37182100418695591</v>
      </c>
      <c r="AZ194" s="9">
        <f t="shared" si="71"/>
        <v>0.39820598273454233</v>
      </c>
      <c r="BA194" s="9">
        <f t="shared" si="71"/>
        <v>0.41351156365316033</v>
      </c>
      <c r="BB194" s="9">
        <f t="shared" si="71"/>
        <v>0.41459601327560336</v>
      </c>
      <c r="BC194" s="9">
        <f t="shared" si="71"/>
        <v>0.43139441256885108</v>
      </c>
      <c r="BD194" s="9">
        <f t="shared" si="71"/>
        <v>0.4449308856361196</v>
      </c>
      <c r="BE194" s="9">
        <f t="shared" si="71"/>
        <v>0.44921917090705266</v>
      </c>
      <c r="BF194" s="9">
        <f t="shared" si="71"/>
        <v>0.44968350941648877</v>
      </c>
      <c r="BG194" s="9">
        <f t="shared" si="71"/>
        <v>0.44883683070451025</v>
      </c>
      <c r="BH194" s="9">
        <f t="shared" si="71"/>
        <v>0.44915417225859006</v>
      </c>
      <c r="BI194" s="9">
        <f t="shared" si="71"/>
        <v>0.45023129404233231</v>
      </c>
      <c r="BJ194" s="9">
        <f t="shared" si="71"/>
        <v>0.44760223010406064</v>
      </c>
      <c r="BK194" s="18"/>
    </row>
    <row r="195" spans="1:63" s="17" customFormat="1">
      <c r="A195" s="3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105"/>
      <c r="BC195" s="109"/>
      <c r="BD195" s="105"/>
      <c r="BE195" s="105"/>
      <c r="BF195" s="105"/>
      <c r="BG195" s="105"/>
      <c r="BH195" s="105"/>
      <c r="BI195" s="105"/>
      <c r="BJ195" s="105"/>
      <c r="BK195" s="18"/>
    </row>
    <row r="196" spans="1:63" s="17" customFormat="1">
      <c r="A196" s="3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  <c r="AS196" s="105"/>
      <c r="AT196" s="105"/>
      <c r="AU196" s="105"/>
      <c r="AV196" s="105"/>
      <c r="AW196" s="105"/>
      <c r="AX196" s="105"/>
      <c r="AY196" s="105"/>
      <c r="AZ196" s="105"/>
      <c r="BA196" s="105"/>
      <c r="BB196" s="105"/>
      <c r="BC196" s="109"/>
      <c r="BD196" s="105"/>
      <c r="BE196" s="105"/>
      <c r="BF196" s="105"/>
      <c r="BG196" s="105"/>
      <c r="BH196" s="105"/>
      <c r="BI196" s="105"/>
      <c r="BJ196" s="105"/>
      <c r="BK196" s="18"/>
    </row>
    <row r="197" spans="1:63">
      <c r="A197" s="5" t="s">
        <v>66</v>
      </c>
      <c r="C197" s="3" t="s">
        <v>147</v>
      </c>
      <c r="D197" s="100">
        <f t="shared" ref="D197:M197" si="72">D205*D$240</f>
        <v>1.1163522199652463</v>
      </c>
      <c r="E197" s="100">
        <f t="shared" si="72"/>
        <v>1.1834552000175764</v>
      </c>
      <c r="F197" s="100">
        <f t="shared" si="72"/>
        <v>1.2358207370571883</v>
      </c>
      <c r="G197" s="100">
        <f t="shared" si="72"/>
        <v>1.2951755099812607</v>
      </c>
      <c r="H197" s="100">
        <f t="shared" si="72"/>
        <v>1.4230378400188737</v>
      </c>
      <c r="I197" s="100">
        <f t="shared" si="72"/>
        <v>1.5149554756573282</v>
      </c>
      <c r="J197" s="100">
        <f t="shared" si="72"/>
        <v>1.5852017559024616</v>
      </c>
      <c r="K197" s="100">
        <f t="shared" si="72"/>
        <v>1.6789524641024378</v>
      </c>
      <c r="L197" s="100">
        <f t="shared" si="72"/>
        <v>1.7657841489924047</v>
      </c>
      <c r="M197" s="100">
        <f t="shared" si="72"/>
        <v>1.8101396899691382</v>
      </c>
      <c r="N197" s="101">
        <v>1.780961724292685</v>
      </c>
      <c r="O197" s="101">
        <v>1.8242010619489322</v>
      </c>
      <c r="P197" s="101">
        <v>1.8885089949913523</v>
      </c>
      <c r="Q197" s="101">
        <v>1.9830445512041388</v>
      </c>
      <c r="R197" s="101">
        <v>1.985082546133442</v>
      </c>
      <c r="S197" s="101">
        <v>1.9081819466336563</v>
      </c>
      <c r="T197" s="101">
        <v>1.9534619789908869</v>
      </c>
      <c r="U197" s="101">
        <v>1.977974297989503</v>
      </c>
      <c r="V197" s="101">
        <v>2.0465851207057479</v>
      </c>
      <c r="W197" s="101">
        <v>2.0630160348237321</v>
      </c>
      <c r="X197" s="101">
        <v>2.0440046979915882</v>
      </c>
      <c r="Y197" s="101">
        <v>1.9594057362775841</v>
      </c>
      <c r="Z197" s="101">
        <v>1.9320783264343531</v>
      </c>
      <c r="AA197" s="101">
        <v>1.9349485614491739</v>
      </c>
      <c r="AB197" s="101">
        <v>2.0160522361725111</v>
      </c>
      <c r="AC197" s="101">
        <v>2.0365883590803131</v>
      </c>
      <c r="AD197" s="101">
        <v>2.1473843462467261</v>
      </c>
      <c r="AE197" s="101">
        <v>2.2636382743357073</v>
      </c>
      <c r="AF197" s="101">
        <v>2.3580000676929203</v>
      </c>
      <c r="AG197" s="101">
        <v>2.5976095761350462</v>
      </c>
      <c r="AH197" s="101">
        <v>2.2817871568015358</v>
      </c>
      <c r="AI197" s="101">
        <v>2.2106939081469763</v>
      </c>
      <c r="AJ197" s="101">
        <v>2.0687710142394171</v>
      </c>
      <c r="AK197" s="101">
        <v>1.9464334313285445</v>
      </c>
      <c r="AL197" s="101">
        <v>1.7965594871554418</v>
      </c>
      <c r="AM197" s="101">
        <v>1.5920668886936751</v>
      </c>
      <c r="AN197" s="101">
        <v>1.5092219612428965</v>
      </c>
      <c r="AO197" s="101">
        <v>1.403299863847058</v>
      </c>
      <c r="AP197" s="101">
        <v>1.3147654428385898</v>
      </c>
      <c r="AQ197" s="101">
        <v>1.114096057226313</v>
      </c>
      <c r="AR197" s="101">
        <v>0.96534260957580398</v>
      </c>
      <c r="AS197" s="101">
        <v>0.82288242299427528</v>
      </c>
      <c r="AT197" s="101">
        <v>0.70601157411366944</v>
      </c>
      <c r="AU197" s="101">
        <v>0.60655717727971337</v>
      </c>
      <c r="AV197" s="101">
        <v>0.53849676511394706</v>
      </c>
      <c r="AW197" s="101">
        <v>0.46714339721243969</v>
      </c>
      <c r="AX197" s="101">
        <v>0.46492067377135632</v>
      </c>
      <c r="AY197" s="101">
        <v>0.43016987508957383</v>
      </c>
      <c r="AZ197" s="101">
        <v>0.38759462814285889</v>
      </c>
      <c r="BA197" s="101">
        <v>0.33975898197540166</v>
      </c>
      <c r="BB197" s="101">
        <v>0.30628338326706184</v>
      </c>
      <c r="BC197" s="102">
        <v>0.28166709047877869</v>
      </c>
      <c r="BD197" s="62">
        <v>0.25756372133691235</v>
      </c>
      <c r="BE197" s="62">
        <v>0.24035722613926086</v>
      </c>
      <c r="BF197" s="62">
        <v>0.22780305483362917</v>
      </c>
      <c r="BG197" s="62">
        <v>0.21424534988870131</v>
      </c>
      <c r="BH197" s="62">
        <v>0.20178988232439404</v>
      </c>
      <c r="BI197" s="62">
        <v>0.19011448521269911</v>
      </c>
      <c r="BJ197" s="103">
        <v>0.17955001740664683</v>
      </c>
      <c r="BK197" s="104">
        <f t="array" ref="BK197">TREND(AZ197:BJ197,AZ184:BJ184,BK184)</f>
        <v>0.14150876420548286</v>
      </c>
    </row>
    <row r="198" spans="1:63">
      <c r="A198" s="5" t="s">
        <v>66</v>
      </c>
      <c r="C198" s="3" t="s">
        <v>148</v>
      </c>
      <c r="D198" s="100">
        <f t="shared" ref="D198:M198" si="73">D206*D$241</f>
        <v>0.1144873306493414</v>
      </c>
      <c r="E198" s="100">
        <f t="shared" si="73"/>
        <v>0.12872111288445734</v>
      </c>
      <c r="F198" s="100">
        <f t="shared" si="73"/>
        <v>0.14106169154701603</v>
      </c>
      <c r="G198" s="100">
        <f t="shared" si="73"/>
        <v>0.15676250023387642</v>
      </c>
      <c r="H198" s="100">
        <f t="shared" si="73"/>
        <v>0.17620664812573619</v>
      </c>
      <c r="I198" s="100">
        <f t="shared" si="73"/>
        <v>0.19029352605934158</v>
      </c>
      <c r="J198" s="100">
        <f t="shared" si="73"/>
        <v>0.20421493056972817</v>
      </c>
      <c r="K198" s="100">
        <f t="shared" si="73"/>
        <v>0.22103030023422512</v>
      </c>
      <c r="L198" s="100">
        <f t="shared" si="73"/>
        <v>0.24078556420023273</v>
      </c>
      <c r="M198" s="100">
        <f t="shared" si="73"/>
        <v>0.25697292141914757</v>
      </c>
      <c r="N198" s="101">
        <v>0.25476523818580044</v>
      </c>
      <c r="O198" s="101">
        <v>0.2751959796636495</v>
      </c>
      <c r="P198" s="101">
        <v>0.29681382767421427</v>
      </c>
      <c r="Q198" s="101">
        <v>0.3293829571361177</v>
      </c>
      <c r="R198" s="101">
        <v>0.3410796004379244</v>
      </c>
      <c r="S198" s="101">
        <v>0.32931919244970309</v>
      </c>
      <c r="T198" s="101">
        <v>0.32922287070955469</v>
      </c>
      <c r="U198" s="101">
        <v>0.35637928009854891</v>
      </c>
      <c r="V198" s="101">
        <v>0.37070895192343678</v>
      </c>
      <c r="W198" s="101">
        <v>0.38140316462403212</v>
      </c>
      <c r="X198" s="101">
        <v>0.38429929680572283</v>
      </c>
      <c r="Y198" s="101">
        <v>0.38614208836533132</v>
      </c>
      <c r="Z198" s="101">
        <v>0.40822843538953602</v>
      </c>
      <c r="AA198" s="101">
        <v>0.42602466395932148</v>
      </c>
      <c r="AB198" s="101">
        <v>0.46651569087661626</v>
      </c>
      <c r="AC198" s="101">
        <v>0.50232243075547922</v>
      </c>
      <c r="AD198" s="101">
        <v>0.56632084738064226</v>
      </c>
      <c r="AE198" s="101">
        <v>0.60030389932941364</v>
      </c>
      <c r="AF198" s="101">
        <v>0.77154799692264397</v>
      </c>
      <c r="AG198" s="101">
        <v>1.201810150209637</v>
      </c>
      <c r="AH198" s="101">
        <v>1.3686653267028399</v>
      </c>
      <c r="AI198" s="101">
        <v>1.5642929107011154</v>
      </c>
      <c r="AJ198" s="101">
        <v>1.7501359695857213</v>
      </c>
      <c r="AK198" s="101">
        <v>1.9388172350629256</v>
      </c>
      <c r="AL198" s="101">
        <v>2.2554322449041155</v>
      </c>
      <c r="AM198" s="101">
        <v>2.460961065668668</v>
      </c>
      <c r="AN198" s="101">
        <v>2.7448842498720301</v>
      </c>
      <c r="AO198" s="101">
        <v>3.0312971388494065</v>
      </c>
      <c r="AP198" s="101">
        <v>3.1980326685174232</v>
      </c>
      <c r="AQ198" s="101">
        <v>3.3833597245408544</v>
      </c>
      <c r="AR198" s="101">
        <v>3.5276998858924093</v>
      </c>
      <c r="AS198" s="101">
        <v>3.674704892399002</v>
      </c>
      <c r="AT198" s="101">
        <v>3.8556254329237953</v>
      </c>
      <c r="AU198" s="101">
        <v>4.0882838566438107</v>
      </c>
      <c r="AV198" s="101">
        <v>4.2962843483251607</v>
      </c>
      <c r="AW198" s="101">
        <v>4.50161977718526</v>
      </c>
      <c r="AX198" s="101">
        <v>4.6350340745831042</v>
      </c>
      <c r="AY198" s="101">
        <v>4.8551100096157409</v>
      </c>
      <c r="AZ198" s="101">
        <v>4.6284161153089851</v>
      </c>
      <c r="BA198" s="101">
        <v>4.605416500288162</v>
      </c>
      <c r="BB198" s="101">
        <v>4.7431519040136694</v>
      </c>
      <c r="BC198" s="102">
        <v>4.7980206858079466</v>
      </c>
      <c r="BD198" s="62">
        <v>4.8789052900649832</v>
      </c>
      <c r="BE198" s="62">
        <v>4.9620282759085228</v>
      </c>
      <c r="BF198" s="62">
        <v>5.2006955162332682</v>
      </c>
      <c r="BG198" s="62">
        <v>5.4814380933606053</v>
      </c>
      <c r="BH198" s="62">
        <v>5.8482799912385932</v>
      </c>
      <c r="BI198" s="62">
        <v>5.930679436194235</v>
      </c>
      <c r="BJ198" s="62">
        <v>5.9164029544877135</v>
      </c>
    </row>
    <row r="199" spans="1:63">
      <c r="A199" s="5" t="s">
        <v>66</v>
      </c>
      <c r="C199" s="3" t="s">
        <v>149</v>
      </c>
      <c r="D199" s="62">
        <f>SUM(D197:D198)</f>
        <v>1.2308395506145877</v>
      </c>
      <c r="E199" s="62">
        <f t="shared" ref="E199:M199" si="74">SUM(E197:E198)</f>
        <v>1.3121763129020338</v>
      </c>
      <c r="F199" s="62">
        <f t="shared" si="74"/>
        <v>1.3768824286042043</v>
      </c>
      <c r="G199" s="62">
        <f t="shared" si="74"/>
        <v>1.4519380102151371</v>
      </c>
      <c r="H199" s="62">
        <f t="shared" si="74"/>
        <v>1.59924448814461</v>
      </c>
      <c r="I199" s="62">
        <f t="shared" si="74"/>
        <v>1.7052490017166697</v>
      </c>
      <c r="J199" s="62">
        <f t="shared" si="74"/>
        <v>1.7894166864721899</v>
      </c>
      <c r="K199" s="62">
        <f t="shared" si="74"/>
        <v>1.8999827643366629</v>
      </c>
      <c r="L199" s="62">
        <f t="shared" si="74"/>
        <v>2.0065697131926372</v>
      </c>
      <c r="M199" s="62">
        <f t="shared" si="74"/>
        <v>2.0671126113882856</v>
      </c>
      <c r="N199" s="62">
        <f>N197+N198</f>
        <v>2.0357269624784853</v>
      </c>
      <c r="O199" s="62">
        <f t="shared" ref="O199:BJ199" si="75">O197+O198</f>
        <v>2.0993970416125816</v>
      </c>
      <c r="P199" s="62">
        <f t="shared" si="75"/>
        <v>2.1853228226655665</v>
      </c>
      <c r="Q199" s="62">
        <f t="shared" si="75"/>
        <v>2.3124275083402566</v>
      </c>
      <c r="R199" s="62">
        <f t="shared" si="75"/>
        <v>2.3261621465713667</v>
      </c>
      <c r="S199" s="62">
        <f t="shared" si="75"/>
        <v>2.2375011390833595</v>
      </c>
      <c r="T199" s="62">
        <f t="shared" si="75"/>
        <v>2.2826848497004417</v>
      </c>
      <c r="U199" s="62">
        <f t="shared" si="75"/>
        <v>2.3343535780880518</v>
      </c>
      <c r="V199" s="62">
        <f t="shared" si="75"/>
        <v>2.4172940726291845</v>
      </c>
      <c r="W199" s="62">
        <f t="shared" si="75"/>
        <v>2.444419199447764</v>
      </c>
      <c r="X199" s="62">
        <f t="shared" si="75"/>
        <v>2.4283039947973108</v>
      </c>
      <c r="Y199" s="62">
        <f t="shared" si="75"/>
        <v>2.3455478246429156</v>
      </c>
      <c r="Z199" s="62">
        <f t="shared" si="75"/>
        <v>2.3403067618238893</v>
      </c>
      <c r="AA199" s="62">
        <f t="shared" si="75"/>
        <v>2.3609732254084954</v>
      </c>
      <c r="AB199" s="62">
        <f t="shared" si="75"/>
        <v>2.4825679270491272</v>
      </c>
      <c r="AC199" s="62">
        <f t="shared" si="75"/>
        <v>2.5389107898357923</v>
      </c>
      <c r="AD199" s="62">
        <f t="shared" si="75"/>
        <v>2.7137051936273684</v>
      </c>
      <c r="AE199" s="62">
        <f t="shared" si="75"/>
        <v>2.8639421736651212</v>
      </c>
      <c r="AF199" s="62">
        <f t="shared" si="75"/>
        <v>3.1295480646155642</v>
      </c>
      <c r="AG199" s="62">
        <f t="shared" si="75"/>
        <v>3.7994197263446834</v>
      </c>
      <c r="AH199" s="62">
        <f t="shared" si="75"/>
        <v>3.6504524835043757</v>
      </c>
      <c r="AI199" s="62">
        <f t="shared" si="75"/>
        <v>3.7749868188480917</v>
      </c>
      <c r="AJ199" s="62">
        <f t="shared" si="75"/>
        <v>3.8189069838251384</v>
      </c>
      <c r="AK199" s="62">
        <f t="shared" si="75"/>
        <v>3.8852506663914701</v>
      </c>
      <c r="AL199" s="62">
        <f t="shared" si="75"/>
        <v>4.0519917320595571</v>
      </c>
      <c r="AM199" s="62">
        <f t="shared" si="75"/>
        <v>4.0530279543623431</v>
      </c>
      <c r="AN199" s="62">
        <f t="shared" si="75"/>
        <v>4.2541062111149266</v>
      </c>
      <c r="AO199" s="62">
        <f t="shared" si="75"/>
        <v>4.4345970026964645</v>
      </c>
      <c r="AP199" s="62">
        <f t="shared" si="75"/>
        <v>4.5127981113560125</v>
      </c>
      <c r="AQ199" s="62">
        <f t="shared" si="75"/>
        <v>4.497455781767167</v>
      </c>
      <c r="AR199" s="62">
        <f t="shared" si="75"/>
        <v>4.4930424954682131</v>
      </c>
      <c r="AS199" s="62">
        <f t="shared" si="75"/>
        <v>4.4975873153932771</v>
      </c>
      <c r="AT199" s="62">
        <f t="shared" si="75"/>
        <v>4.561637007037465</v>
      </c>
      <c r="AU199" s="62">
        <f t="shared" si="75"/>
        <v>4.6948410339235238</v>
      </c>
      <c r="AV199" s="62">
        <f t="shared" si="75"/>
        <v>4.8347811134391074</v>
      </c>
      <c r="AW199" s="62">
        <f t="shared" si="75"/>
        <v>4.9687631743976999</v>
      </c>
      <c r="AX199" s="62">
        <f t="shared" si="75"/>
        <v>5.0999547483544605</v>
      </c>
      <c r="AY199" s="62">
        <f t="shared" si="75"/>
        <v>5.2852798847053144</v>
      </c>
      <c r="AZ199" s="62">
        <f t="shared" si="75"/>
        <v>5.0160107434518437</v>
      </c>
      <c r="BA199" s="62">
        <f t="shared" si="75"/>
        <v>4.9451754822635632</v>
      </c>
      <c r="BB199" s="62">
        <f t="shared" si="75"/>
        <v>5.0494352872807315</v>
      </c>
      <c r="BC199" s="62">
        <f t="shared" si="75"/>
        <v>5.0796877762867254</v>
      </c>
      <c r="BD199" s="62">
        <f t="shared" si="75"/>
        <v>5.1364690114018954</v>
      </c>
      <c r="BE199" s="62">
        <f t="shared" si="75"/>
        <v>5.2023855020477834</v>
      </c>
      <c r="BF199" s="62">
        <f t="shared" si="75"/>
        <v>5.4284985710668971</v>
      </c>
      <c r="BG199" s="62">
        <f t="shared" si="75"/>
        <v>5.6956834432493064</v>
      </c>
      <c r="BH199" s="62">
        <f t="shared" si="75"/>
        <v>6.050069873562987</v>
      </c>
      <c r="BI199" s="62">
        <f t="shared" si="75"/>
        <v>6.1207939214069338</v>
      </c>
      <c r="BJ199" s="62">
        <f t="shared" si="75"/>
        <v>6.0959529718943601</v>
      </c>
      <c r="BK199" s="18" t="s">
        <v>141</v>
      </c>
    </row>
    <row r="200" spans="1:63" s="17" customFormat="1">
      <c r="A200" s="3"/>
      <c r="C200" s="17" t="s">
        <v>150</v>
      </c>
      <c r="D200" s="105">
        <f t="shared" ref="D200:AI200" si="76">D129/D199</f>
        <v>12.157311643526784</v>
      </c>
      <c r="E200" s="105">
        <f t="shared" si="76"/>
        <v>12.507313109244713</v>
      </c>
      <c r="F200" s="105">
        <f t="shared" si="76"/>
        <v>12.036394434055165</v>
      </c>
      <c r="G200" s="105">
        <f t="shared" si="76"/>
        <v>12.079096956351007</v>
      </c>
      <c r="H200" s="105">
        <f t="shared" si="76"/>
        <v>11.067100828675537</v>
      </c>
      <c r="I200" s="105">
        <f t="shared" si="76"/>
        <v>11.133975144325927</v>
      </c>
      <c r="J200" s="105">
        <f t="shared" si="76"/>
        <v>10.610273249117302</v>
      </c>
      <c r="K200" s="105">
        <f t="shared" si="76"/>
        <v>9.8234575335825554</v>
      </c>
      <c r="L200" s="105">
        <f t="shared" si="76"/>
        <v>9.3818320271799642</v>
      </c>
      <c r="M200" s="105">
        <f t="shared" si="76"/>
        <v>9.340565140779935</v>
      </c>
      <c r="N200" s="105">
        <f t="shared" si="76"/>
        <v>9.9588011426233987</v>
      </c>
      <c r="O200" s="105">
        <f t="shared" si="76"/>
        <v>10.116619000132593</v>
      </c>
      <c r="P200" s="105">
        <f t="shared" si="76"/>
        <v>10.160604085448682</v>
      </c>
      <c r="Q200" s="105">
        <f t="shared" si="76"/>
        <v>10.089181137939953</v>
      </c>
      <c r="R200" s="105">
        <f t="shared" si="76"/>
        <v>10.16794982880371</v>
      </c>
      <c r="S200" s="105">
        <f t="shared" si="76"/>
        <v>10.498944375788678</v>
      </c>
      <c r="T200" s="105">
        <f t="shared" si="76"/>
        <v>10.573075824797826</v>
      </c>
      <c r="U200" s="105">
        <f t="shared" si="76"/>
        <v>10.476904711252567</v>
      </c>
      <c r="V200" s="105">
        <f t="shared" si="76"/>
        <v>10.450238672254052</v>
      </c>
      <c r="W200" s="105">
        <f t="shared" si="76"/>
        <v>10.268451501964396</v>
      </c>
      <c r="X200" s="105">
        <f t="shared" si="76"/>
        <v>10.734158513862551</v>
      </c>
      <c r="Y200" s="105">
        <f t="shared" si="76"/>
        <v>11.181481666865068</v>
      </c>
      <c r="Z200" s="105">
        <f t="shared" si="76"/>
        <v>11.137770665451541</v>
      </c>
      <c r="AA200" s="105">
        <f t="shared" si="76"/>
        <v>11.040277678494256</v>
      </c>
      <c r="AB200" s="105">
        <f t="shared" si="76"/>
        <v>11.082838741376978</v>
      </c>
      <c r="AC200" s="105">
        <f t="shared" si="76"/>
        <v>11.280506630897554</v>
      </c>
      <c r="AD200" s="105">
        <f t="shared" si="76"/>
        <v>11.02824288735524</v>
      </c>
      <c r="AE200" s="105">
        <f t="shared" si="76"/>
        <v>11.404804294005704</v>
      </c>
      <c r="AF200" s="105">
        <f t="shared" si="76"/>
        <v>11.567964208419065</v>
      </c>
      <c r="AG200" s="105">
        <f t="shared" si="76"/>
        <v>10.460097294445267</v>
      </c>
      <c r="AH200" s="105">
        <f t="shared" si="76"/>
        <v>10.931028462995789</v>
      </c>
      <c r="AI200" s="105">
        <f t="shared" si="76"/>
        <v>11.0392703338541</v>
      </c>
      <c r="AJ200" s="105">
        <f t="shared" ref="AJ200:BJ200" si="77">AJ129/AJ199</f>
        <v>10.785913397330875</v>
      </c>
      <c r="AK200" s="105">
        <f t="shared" si="77"/>
        <v>10.684561580309968</v>
      </c>
      <c r="AL200" s="105">
        <f t="shared" si="77"/>
        <v>10.681685171652722</v>
      </c>
      <c r="AM200" s="105">
        <f t="shared" si="77"/>
        <v>10.99654394241947</v>
      </c>
      <c r="AN200" s="105">
        <f t="shared" si="77"/>
        <v>10.854994611875822</v>
      </c>
      <c r="AO200" s="105">
        <f t="shared" si="77"/>
        <v>10.957433103944659</v>
      </c>
      <c r="AP200" s="105">
        <f t="shared" si="77"/>
        <v>11.266712745703174</v>
      </c>
      <c r="AQ200" s="105">
        <f t="shared" si="77"/>
        <v>11.484026193072612</v>
      </c>
      <c r="AR200" s="105">
        <f t="shared" si="77"/>
        <v>11.602739135581544</v>
      </c>
      <c r="AS200" s="105">
        <f t="shared" si="77"/>
        <v>11.877212437248474</v>
      </c>
      <c r="AT200" s="105">
        <f t="shared" si="77"/>
        <v>11.99262455903491</v>
      </c>
      <c r="AU200" s="105">
        <f t="shared" si="77"/>
        <v>12.234982949357875</v>
      </c>
      <c r="AV200" s="105">
        <f t="shared" si="77"/>
        <v>12.446602770232714</v>
      </c>
      <c r="AW200" s="105">
        <f t="shared" si="77"/>
        <v>12.434804765572165</v>
      </c>
      <c r="AX200" s="105">
        <f t="shared" si="77"/>
        <v>12.588170516751022</v>
      </c>
      <c r="AY200" s="105">
        <f t="shared" si="77"/>
        <v>12.755634795253401</v>
      </c>
      <c r="AZ200" s="105">
        <f t="shared" si="77"/>
        <v>13.344150047401628</v>
      </c>
      <c r="BA200" s="105">
        <f t="shared" si="77"/>
        <v>13.242462322090308</v>
      </c>
      <c r="BB200" s="105">
        <f t="shared" si="77"/>
        <v>13.192089057521684</v>
      </c>
      <c r="BC200" s="105">
        <f t="shared" si="77"/>
        <v>13.303573561247465</v>
      </c>
      <c r="BD200" s="105">
        <f t="shared" si="77"/>
        <v>13.21915889091836</v>
      </c>
      <c r="BE200" s="105">
        <f t="shared" si="77"/>
        <v>13.546516299543674</v>
      </c>
      <c r="BF200" s="105">
        <f t="shared" si="77"/>
        <v>13.812180111758567</v>
      </c>
      <c r="BG200" s="105">
        <f t="shared" si="77"/>
        <v>13.813987519487936</v>
      </c>
      <c r="BH200" s="105">
        <f t="shared" si="77"/>
        <v>13.749477566117891</v>
      </c>
      <c r="BI200" s="105">
        <f t="shared" si="77"/>
        <v>14.037492701641256</v>
      </c>
      <c r="BJ200" s="105">
        <f t="shared" si="77"/>
        <v>14.358640954672516</v>
      </c>
      <c r="BK200" s="18">
        <f>BA200/N200</f>
        <v>1.3297245453986353</v>
      </c>
    </row>
    <row r="201" spans="1:63" s="17" customFormat="1">
      <c r="A201" s="3"/>
      <c r="C201" s="17" t="s">
        <v>151</v>
      </c>
      <c r="D201" s="105">
        <f t="shared" ref="D201:M201" si="78">(D197/(D197+D198*1.25))*(D129/D197)</f>
        <v>11.881031208012727</v>
      </c>
      <c r="E201" s="105">
        <f t="shared" si="78"/>
        <v>12.207921699025327</v>
      </c>
      <c r="F201" s="105">
        <f t="shared" si="78"/>
        <v>11.735810795238189</v>
      </c>
      <c r="G201" s="105">
        <f t="shared" si="78"/>
        <v>11.761627793286891</v>
      </c>
      <c r="H201" s="105">
        <f t="shared" si="78"/>
        <v>10.770426254637018</v>
      </c>
      <c r="I201" s="105">
        <f t="shared" si="78"/>
        <v>10.831787739381227</v>
      </c>
      <c r="J201" s="105">
        <f t="shared" si="78"/>
        <v>10.315949554426153</v>
      </c>
      <c r="K201" s="105">
        <f t="shared" si="78"/>
        <v>9.5458341483344888</v>
      </c>
      <c r="L201" s="105">
        <f t="shared" si="78"/>
        <v>9.1085778702075064</v>
      </c>
      <c r="M201" s="105">
        <f t="shared" si="78"/>
        <v>9.0590222532758613</v>
      </c>
      <c r="N201" s="105">
        <f>(N197/(N197+N198*1.25))*(N$129/N197)</f>
        <v>9.6566750276236544</v>
      </c>
      <c r="O201" s="105">
        <f t="shared" ref="O201:BJ201" si="79">(O197/(O197+O198*1.25))*(O129/O197)</f>
        <v>9.7956087190370074</v>
      </c>
      <c r="P201" s="105">
        <f t="shared" si="79"/>
        <v>9.8269270867196212</v>
      </c>
      <c r="Q201" s="105">
        <f t="shared" si="79"/>
        <v>9.7422584886251027</v>
      </c>
      <c r="R201" s="105">
        <f t="shared" si="79"/>
        <v>9.8084041109744682</v>
      </c>
      <c r="S201" s="105">
        <f t="shared" si="79"/>
        <v>10.126341373995313</v>
      </c>
      <c r="T201" s="105">
        <f t="shared" si="79"/>
        <v>10.205114698093507</v>
      </c>
      <c r="U201" s="105">
        <f t="shared" si="79"/>
        <v>10.091735404412258</v>
      </c>
      <c r="V201" s="105">
        <f t="shared" si="79"/>
        <v>10.06437798440823</v>
      </c>
      <c r="W201" s="105">
        <f t="shared" si="79"/>
        <v>9.8829421927427994</v>
      </c>
      <c r="X201" s="105">
        <f t="shared" si="79"/>
        <v>10.325629340503903</v>
      </c>
      <c r="Y201" s="105">
        <f t="shared" si="79"/>
        <v>10.739477845861595</v>
      </c>
      <c r="Z201" s="105">
        <f t="shared" si="79"/>
        <v>10.672365536113146</v>
      </c>
      <c r="AA201" s="105">
        <f t="shared" si="79"/>
        <v>10.563735644911894</v>
      </c>
      <c r="AB201" s="105">
        <f t="shared" si="79"/>
        <v>10.585539145468289</v>
      </c>
      <c r="AC201" s="105">
        <f t="shared" si="79"/>
        <v>10.748843110023556</v>
      </c>
      <c r="AD201" s="105">
        <f t="shared" si="79"/>
        <v>10.481404045508103</v>
      </c>
      <c r="AE201" s="105">
        <f t="shared" si="79"/>
        <v>10.836928774394663</v>
      </c>
      <c r="AF201" s="105">
        <f t="shared" si="79"/>
        <v>10.896375490959961</v>
      </c>
      <c r="AG201" s="105">
        <f t="shared" si="79"/>
        <v>9.6935459062871772</v>
      </c>
      <c r="AH201" s="105">
        <f t="shared" si="79"/>
        <v>9.9942423374569458</v>
      </c>
      <c r="AI201" s="105">
        <f t="shared" si="79"/>
        <v>10.003000325157752</v>
      </c>
      <c r="AJ201" s="105">
        <f t="shared" si="79"/>
        <v>9.6771928073497246</v>
      </c>
      <c r="AK201" s="105">
        <f t="shared" si="79"/>
        <v>9.4994571422344407</v>
      </c>
      <c r="AL201" s="105">
        <f t="shared" si="79"/>
        <v>9.376843254943001</v>
      </c>
      <c r="AM201" s="105">
        <f t="shared" si="79"/>
        <v>9.5472877504364551</v>
      </c>
      <c r="AN201" s="105">
        <f t="shared" si="79"/>
        <v>9.3472147578007601</v>
      </c>
      <c r="AO201" s="105">
        <f t="shared" si="79"/>
        <v>9.3582160056679164</v>
      </c>
      <c r="AP201" s="105">
        <f t="shared" si="79"/>
        <v>9.571059599089347</v>
      </c>
      <c r="AQ201" s="105">
        <f t="shared" si="79"/>
        <v>9.6661129713042353</v>
      </c>
      <c r="AR201" s="105">
        <f t="shared" si="79"/>
        <v>9.6989610301150453</v>
      </c>
      <c r="AS201" s="105">
        <f t="shared" si="79"/>
        <v>9.8626663234453265</v>
      </c>
      <c r="AT201" s="105">
        <f t="shared" si="79"/>
        <v>9.9005647741111424</v>
      </c>
      <c r="AU201" s="105">
        <f t="shared" si="79"/>
        <v>10.047609621985861</v>
      </c>
      <c r="AV201" s="105">
        <f t="shared" si="79"/>
        <v>10.184143714865673</v>
      </c>
      <c r="AW201" s="105">
        <f t="shared" si="79"/>
        <v>10.138479739420236</v>
      </c>
      <c r="AX201" s="105">
        <f t="shared" si="79"/>
        <v>10.25755570853468</v>
      </c>
      <c r="AY201" s="105">
        <f t="shared" si="79"/>
        <v>10.373365856673379</v>
      </c>
      <c r="AZ201" s="105">
        <f t="shared" si="79"/>
        <v>10.842889281854072</v>
      </c>
      <c r="BA201" s="105">
        <f t="shared" si="79"/>
        <v>10.741570076392984</v>
      </c>
      <c r="BB201" s="105">
        <f t="shared" si="79"/>
        <v>10.68327422888696</v>
      </c>
      <c r="BC201" s="105">
        <f t="shared" si="79"/>
        <v>10.762211093439397</v>
      </c>
      <c r="BD201" s="105">
        <f t="shared" si="79"/>
        <v>10.68245962135097</v>
      </c>
      <c r="BE201" s="105">
        <f t="shared" si="79"/>
        <v>10.938285750244816</v>
      </c>
      <c r="BF201" s="105">
        <f t="shared" si="79"/>
        <v>11.143267941153042</v>
      </c>
      <c r="BG201" s="105">
        <f t="shared" si="79"/>
        <v>11.134959180410453</v>
      </c>
      <c r="BH201" s="105">
        <f t="shared" si="79"/>
        <v>11.073449299979579</v>
      </c>
      <c r="BI201" s="105">
        <f t="shared" si="79"/>
        <v>11.300191923167528</v>
      </c>
      <c r="BJ201" s="105">
        <f t="shared" si="79"/>
        <v>11.554980775711794</v>
      </c>
      <c r="BK201" s="18">
        <f>BA201/N201</f>
        <v>1.112346645782933</v>
      </c>
    </row>
    <row r="202" spans="1:63" s="17" customFormat="1">
      <c r="A202" s="3"/>
      <c r="C202" s="17" t="s">
        <v>152</v>
      </c>
      <c r="D202" s="105">
        <f t="shared" ref="D202:M202" si="80">(D198*1.25/(D197+D198*1.25))*(D129/D198)</f>
        <v>14.851289010015909</v>
      </c>
      <c r="E202" s="105">
        <f t="shared" si="80"/>
        <v>15.259902123781659</v>
      </c>
      <c r="F202" s="105">
        <f t="shared" si="80"/>
        <v>14.669763494047736</v>
      </c>
      <c r="G202" s="105">
        <f t="shared" si="80"/>
        <v>14.702034741608614</v>
      </c>
      <c r="H202" s="105">
        <f t="shared" si="80"/>
        <v>13.463032818296272</v>
      </c>
      <c r="I202" s="105">
        <f t="shared" si="80"/>
        <v>13.539734674226532</v>
      </c>
      <c r="J202" s="105">
        <f t="shared" si="80"/>
        <v>12.894936943032693</v>
      </c>
      <c r="K202" s="105">
        <f t="shared" si="80"/>
        <v>11.932292685418114</v>
      </c>
      <c r="L202" s="105">
        <f t="shared" si="80"/>
        <v>11.385722337759386</v>
      </c>
      <c r="M202" s="105">
        <f t="shared" si="80"/>
        <v>11.323777816594829</v>
      </c>
      <c r="N202" s="105">
        <f>(N198*1.25/(N197+N198*1.25))*(N$129/N198)</f>
        <v>12.070843784529567</v>
      </c>
      <c r="O202" s="105">
        <f t="shared" ref="O202:BJ202" si="81">(O198*1.25/(O197+O198*1.25))*(O129/O198)</f>
        <v>12.244510898796259</v>
      </c>
      <c r="P202" s="105">
        <f t="shared" si="81"/>
        <v>12.283658858399525</v>
      </c>
      <c r="Q202" s="105">
        <f t="shared" si="81"/>
        <v>12.177823110781377</v>
      </c>
      <c r="R202" s="105">
        <f t="shared" si="81"/>
        <v>12.260505138718086</v>
      </c>
      <c r="S202" s="105">
        <f t="shared" si="81"/>
        <v>12.657926717494142</v>
      </c>
      <c r="T202" s="105">
        <f t="shared" si="81"/>
        <v>12.756393372616884</v>
      </c>
      <c r="U202" s="105">
        <f t="shared" si="81"/>
        <v>12.61466925551532</v>
      </c>
      <c r="V202" s="105">
        <f t="shared" si="81"/>
        <v>12.580472480510288</v>
      </c>
      <c r="W202" s="105">
        <f t="shared" si="81"/>
        <v>12.353677740928498</v>
      </c>
      <c r="X202" s="105">
        <f t="shared" si="81"/>
        <v>12.907036675629879</v>
      </c>
      <c r="Y202" s="105">
        <f t="shared" si="81"/>
        <v>13.424347307326993</v>
      </c>
      <c r="Z202" s="105">
        <f t="shared" si="81"/>
        <v>13.340456920141433</v>
      </c>
      <c r="AA202" s="105">
        <f t="shared" si="81"/>
        <v>13.204669556139867</v>
      </c>
      <c r="AB202" s="105">
        <f t="shared" si="81"/>
        <v>13.231923931835361</v>
      </c>
      <c r="AC202" s="105">
        <f t="shared" si="81"/>
        <v>13.436053887529447</v>
      </c>
      <c r="AD202" s="105">
        <f t="shared" si="81"/>
        <v>13.101755056885127</v>
      </c>
      <c r="AE202" s="105">
        <f t="shared" si="81"/>
        <v>13.546160967993327</v>
      </c>
      <c r="AF202" s="105">
        <f t="shared" si="81"/>
        <v>13.620469363699952</v>
      </c>
      <c r="AG202" s="105">
        <f t="shared" si="81"/>
        <v>12.11693238285897</v>
      </c>
      <c r="AH202" s="105">
        <f t="shared" si="81"/>
        <v>12.49280292182118</v>
      </c>
      <c r="AI202" s="105">
        <f t="shared" si="81"/>
        <v>12.503750406447189</v>
      </c>
      <c r="AJ202" s="105">
        <f t="shared" si="81"/>
        <v>12.096491009187154</v>
      </c>
      <c r="AK202" s="105">
        <f t="shared" si="81"/>
        <v>11.874321427793049</v>
      </c>
      <c r="AL202" s="105">
        <f t="shared" si="81"/>
        <v>11.721054068678752</v>
      </c>
      <c r="AM202" s="105">
        <f t="shared" si="81"/>
        <v>11.93410968804557</v>
      </c>
      <c r="AN202" s="105">
        <f t="shared" si="81"/>
        <v>11.684018447250951</v>
      </c>
      <c r="AO202" s="105">
        <f t="shared" si="81"/>
        <v>11.697770007084898</v>
      </c>
      <c r="AP202" s="105">
        <f t="shared" si="81"/>
        <v>11.963824498861683</v>
      </c>
      <c r="AQ202" s="105">
        <f t="shared" si="81"/>
        <v>12.082641214130293</v>
      </c>
      <c r="AR202" s="105">
        <f t="shared" si="81"/>
        <v>12.123701287643808</v>
      </c>
      <c r="AS202" s="105">
        <f t="shared" si="81"/>
        <v>12.328332904306659</v>
      </c>
      <c r="AT202" s="105">
        <f t="shared" si="81"/>
        <v>12.375705967638931</v>
      </c>
      <c r="AU202" s="105">
        <f t="shared" si="81"/>
        <v>12.559512027482327</v>
      </c>
      <c r="AV202" s="105">
        <f t="shared" si="81"/>
        <v>12.73017964358209</v>
      </c>
      <c r="AW202" s="105">
        <f t="shared" si="81"/>
        <v>12.673099674275292</v>
      </c>
      <c r="AX202" s="105">
        <f t="shared" si="81"/>
        <v>12.821944635668347</v>
      </c>
      <c r="AY202" s="105">
        <f t="shared" si="81"/>
        <v>12.966707320841723</v>
      </c>
      <c r="AZ202" s="105">
        <f t="shared" si="81"/>
        <v>13.553611602317591</v>
      </c>
      <c r="BA202" s="105">
        <f t="shared" si="81"/>
        <v>13.426962595491229</v>
      </c>
      <c r="BB202" s="105">
        <f t="shared" si="81"/>
        <v>13.3540927861087</v>
      </c>
      <c r="BC202" s="105">
        <f t="shared" si="81"/>
        <v>13.452763866799247</v>
      </c>
      <c r="BD202" s="105">
        <f t="shared" si="81"/>
        <v>13.353074526688713</v>
      </c>
      <c r="BE202" s="105">
        <f t="shared" si="81"/>
        <v>13.672857187806018</v>
      </c>
      <c r="BF202" s="105">
        <f t="shared" si="81"/>
        <v>13.929084926441304</v>
      </c>
      <c r="BG202" s="105">
        <f t="shared" si="81"/>
        <v>13.918698975513067</v>
      </c>
      <c r="BH202" s="105">
        <f t="shared" si="81"/>
        <v>13.841811624974474</v>
      </c>
      <c r="BI202" s="105">
        <f t="shared" si="81"/>
        <v>14.125239903959411</v>
      </c>
      <c r="BJ202" s="105">
        <f t="shared" si="81"/>
        <v>14.44372596963974</v>
      </c>
      <c r="BK202" s="18">
        <f>BA202/N202</f>
        <v>1.1123466457829332</v>
      </c>
    </row>
    <row r="203" spans="1:63" s="17" customFormat="1">
      <c r="A203" s="3"/>
      <c r="B203" s="106">
        <f>(N203/X203)^(1/10)</f>
        <v>0.99332441129095328</v>
      </c>
      <c r="C203" s="17" t="s">
        <v>153</v>
      </c>
      <c r="D203" s="107">
        <f t="shared" ref="D203:L204" si="82">E203*$B203</f>
        <v>13.198187025887085</v>
      </c>
      <c r="E203" s="107">
        <f t="shared" si="82"/>
        <v>13.286884804063495</v>
      </c>
      <c r="F203" s="107">
        <f t="shared" si="82"/>
        <v>13.376178671372299</v>
      </c>
      <c r="G203" s="107">
        <f t="shared" si="82"/>
        <v>13.466072633801708</v>
      </c>
      <c r="H203" s="107">
        <f t="shared" si="82"/>
        <v>13.556570724261984</v>
      </c>
      <c r="I203" s="107">
        <f t="shared" si="82"/>
        <v>13.647677002766368</v>
      </c>
      <c r="J203" s="107">
        <f t="shared" si="82"/>
        <v>13.739395556613223</v>
      </c>
      <c r="K203" s="107">
        <f t="shared" si="82"/>
        <v>13.831730500569401</v>
      </c>
      <c r="L203" s="107">
        <f t="shared" si="82"/>
        <v>13.92468597705485</v>
      </c>
      <c r="M203" s="107">
        <f>N203*$B203</f>
        <v>14.018266156328448</v>
      </c>
      <c r="N203" s="103">
        <f t="shared" ref="N203:AS203" si="83">(N121*(N197*N201/(N$197*N$201+N$198*N$202))*1000000000/1.609)/(N197*1000000*$N$5)</f>
        <v>14.112475236675097</v>
      </c>
      <c r="O203" s="103">
        <f t="shared" si="83"/>
        <v>14.315515959698503</v>
      </c>
      <c r="P203" s="103">
        <f t="shared" si="83"/>
        <v>14.361285304437729</v>
      </c>
      <c r="Q203" s="103">
        <f t="shared" si="83"/>
        <v>14.237548770846731</v>
      </c>
      <c r="R203" s="103">
        <f t="shared" si="83"/>
        <v>14.334215424197868</v>
      </c>
      <c r="S203" s="103">
        <f t="shared" si="83"/>
        <v>14.798855866002407</v>
      </c>
      <c r="T203" s="103">
        <f t="shared" si="83"/>
        <v>14.913976917758454</v>
      </c>
      <c r="U203" s="103">
        <f t="shared" si="83"/>
        <v>14.748281948232068</v>
      </c>
      <c r="V203" s="103">
        <f t="shared" si="83"/>
        <v>14.708301218711632</v>
      </c>
      <c r="W203" s="103">
        <f t="shared" si="83"/>
        <v>14.443147000556786</v>
      </c>
      <c r="X203" s="103">
        <f t="shared" si="83"/>
        <v>15.090099641346885</v>
      </c>
      <c r="Y203" s="103">
        <f t="shared" si="83"/>
        <v>15.694906861936628</v>
      </c>
      <c r="Z203" s="103">
        <f t="shared" si="83"/>
        <v>15.59682747056312</v>
      </c>
      <c r="AA203" s="103">
        <f t="shared" si="83"/>
        <v>15.438073381277212</v>
      </c>
      <c r="AB203" s="103">
        <f t="shared" si="83"/>
        <v>15.469937491935877</v>
      </c>
      <c r="AC203" s="103">
        <f t="shared" si="83"/>
        <v>15.708593462986421</v>
      </c>
      <c r="AD203" s="103">
        <f t="shared" si="83"/>
        <v>15.31775218847967</v>
      </c>
      <c r="AE203" s="103">
        <f t="shared" si="83"/>
        <v>15.837323771667965</v>
      </c>
      <c r="AF203" s="103">
        <f t="shared" si="83"/>
        <v>15.924200498184033</v>
      </c>
      <c r="AG203" s="103">
        <f t="shared" si="83"/>
        <v>14.166359141912137</v>
      </c>
      <c r="AH203" s="103">
        <f t="shared" si="83"/>
        <v>14.605803456492563</v>
      </c>
      <c r="AI203" s="103">
        <f t="shared" si="83"/>
        <v>14.618602570493724</v>
      </c>
      <c r="AJ203" s="103">
        <f t="shared" si="83"/>
        <v>14.142460366905471</v>
      </c>
      <c r="AK203" s="103">
        <f t="shared" si="83"/>
        <v>13.882713594290852</v>
      </c>
      <c r="AL203" s="103">
        <f t="shared" si="83"/>
        <v>13.703522988505425</v>
      </c>
      <c r="AM203" s="103">
        <f t="shared" si="83"/>
        <v>13.952614287011185</v>
      </c>
      <c r="AN203" s="103">
        <f t="shared" si="83"/>
        <v>13.66022325738434</v>
      </c>
      <c r="AO203" s="103">
        <f t="shared" si="83"/>
        <v>13.676300720657535</v>
      </c>
      <c r="AP203" s="103">
        <f t="shared" si="83"/>
        <v>13.987354984454594</v>
      </c>
      <c r="AQ203" s="103">
        <f t="shared" si="83"/>
        <v>14.126268053156576</v>
      </c>
      <c r="AR203" s="103">
        <f t="shared" si="83"/>
        <v>14.174272921831802</v>
      </c>
      <c r="AS203" s="103">
        <f t="shared" si="83"/>
        <v>14.413515403496298</v>
      </c>
      <c r="AT203" s="103">
        <f t="shared" ref="AT203:BJ203" si="84">(AT121*(AT197*AT201/(AT$197*AT$201+AT$198*AT$202))*1000000000/1.609)/(AT197*1000000*$N$5)</f>
        <v>14.468901024841088</v>
      </c>
      <c r="AU203" s="103">
        <f t="shared" si="84"/>
        <v>14.68379556860242</v>
      </c>
      <c r="AV203" s="103">
        <f t="shared" si="84"/>
        <v>14.883329466058466</v>
      </c>
      <c r="AW203" s="103">
        <f t="shared" si="84"/>
        <v>14.816595137644356</v>
      </c>
      <c r="AX203" s="103">
        <f t="shared" si="84"/>
        <v>14.990615352739463</v>
      </c>
      <c r="AY203" s="103">
        <f t="shared" si="84"/>
        <v>15.159862825921262</v>
      </c>
      <c r="AZ203" s="103">
        <f t="shared" si="84"/>
        <v>15.846034587106846</v>
      </c>
      <c r="BA203" s="103">
        <f t="shared" si="84"/>
        <v>15.69796449321025</v>
      </c>
      <c r="BB203" s="103">
        <f t="shared" si="84"/>
        <v>15.612769671806783</v>
      </c>
      <c r="BC203" s="103">
        <f t="shared" si="84"/>
        <v>15.728129725145047</v>
      </c>
      <c r="BD203" s="103">
        <f t="shared" si="84"/>
        <v>15.611579186609092</v>
      </c>
      <c r="BE203" s="103">
        <f t="shared" si="84"/>
        <v>15.985449064033896</v>
      </c>
      <c r="BF203" s="103">
        <f t="shared" si="84"/>
        <v>16.28501450295326</v>
      </c>
      <c r="BG203" s="103">
        <f t="shared" si="84"/>
        <v>16.272871899014341</v>
      </c>
      <c r="BH203" s="103">
        <f t="shared" si="84"/>
        <v>16.182980019883235</v>
      </c>
      <c r="BI203" s="103">
        <f t="shared" si="84"/>
        <v>16.514346628543581</v>
      </c>
      <c r="BJ203" s="103">
        <f t="shared" si="84"/>
        <v>16.886700607716126</v>
      </c>
      <c r="BK203" s="18"/>
    </row>
    <row r="204" spans="1:63" s="17" customFormat="1">
      <c r="A204" s="3"/>
      <c r="B204" s="106">
        <f>(N204/X204)^(1/10)</f>
        <v>0.99332441129095328</v>
      </c>
      <c r="C204" s="17" t="s">
        <v>154</v>
      </c>
      <c r="D204" s="107">
        <f t="shared" si="82"/>
        <v>16.49773378235885</v>
      </c>
      <c r="E204" s="107">
        <f t="shared" si="82"/>
        <v>16.608606005079363</v>
      </c>
      <c r="F204" s="107">
        <f t="shared" si="82"/>
        <v>16.720223339215369</v>
      </c>
      <c r="G204" s="107">
        <f t="shared" si="82"/>
        <v>16.83259079225213</v>
      </c>
      <c r="H204" s="107">
        <f t="shared" si="82"/>
        <v>16.945713405327474</v>
      </c>
      <c r="I204" s="107">
        <f t="shared" si="82"/>
        <v>17.059596253457954</v>
      </c>
      <c r="J204" s="107">
        <f t="shared" si="82"/>
        <v>17.174244445766522</v>
      </c>
      <c r="K204" s="107">
        <f t="shared" si="82"/>
        <v>17.289663125711744</v>
      </c>
      <c r="L204" s="107">
        <f t="shared" si="82"/>
        <v>17.405857471318555</v>
      </c>
      <c r="M204" s="107">
        <f>N204*$B204</f>
        <v>17.522832695410553</v>
      </c>
      <c r="N204" s="103">
        <f t="shared" ref="N204:AS204" si="85">(N$121*(N198*N202/(N$197*N$201+N$198*N$202))*1000000000/1.609)/(N198*1000000*$N$5)</f>
        <v>17.640594045843866</v>
      </c>
      <c r="O204" s="103">
        <f t="shared" si="85"/>
        <v>17.894394949623134</v>
      </c>
      <c r="P204" s="103">
        <f t="shared" si="85"/>
        <v>17.951606630547165</v>
      </c>
      <c r="Q204" s="103">
        <f t="shared" si="85"/>
        <v>17.796935963558415</v>
      </c>
      <c r="R204" s="103">
        <f t="shared" si="85"/>
        <v>17.917769280247338</v>
      </c>
      <c r="S204" s="103">
        <f t="shared" si="85"/>
        <v>18.498569832503012</v>
      </c>
      <c r="T204" s="103">
        <f t="shared" si="85"/>
        <v>18.642471147198066</v>
      </c>
      <c r="U204" s="103">
        <f t="shared" si="85"/>
        <v>18.435352435290078</v>
      </c>
      <c r="V204" s="103">
        <f t="shared" si="85"/>
        <v>18.385376523389539</v>
      </c>
      <c r="W204" s="103">
        <f t="shared" si="85"/>
        <v>18.053933750695982</v>
      </c>
      <c r="X204" s="103">
        <f t="shared" si="85"/>
        <v>18.862624551683606</v>
      </c>
      <c r="Y204" s="103">
        <f t="shared" si="85"/>
        <v>19.618633577420788</v>
      </c>
      <c r="Z204" s="103">
        <f t="shared" si="85"/>
        <v>19.496034338203906</v>
      </c>
      <c r="AA204" s="103">
        <f t="shared" si="85"/>
        <v>19.297591726596512</v>
      </c>
      <c r="AB204" s="103">
        <f t="shared" si="85"/>
        <v>19.337421864919847</v>
      </c>
      <c r="AC204" s="103">
        <f t="shared" si="85"/>
        <v>19.635741828733028</v>
      </c>
      <c r="AD204" s="103">
        <f t="shared" si="85"/>
        <v>19.147190235599584</v>
      </c>
      <c r="AE204" s="103">
        <f t="shared" si="85"/>
        <v>19.79665471458495</v>
      </c>
      <c r="AF204" s="103">
        <f t="shared" si="85"/>
        <v>19.905250622730037</v>
      </c>
      <c r="AG204" s="103">
        <f t="shared" si="85"/>
        <v>17.707948927390181</v>
      </c>
      <c r="AH204" s="103">
        <f t="shared" si="85"/>
        <v>18.257254320615697</v>
      </c>
      <c r="AI204" s="103">
        <f t="shared" si="85"/>
        <v>18.273253213117158</v>
      </c>
      <c r="AJ204" s="103">
        <f t="shared" si="85"/>
        <v>17.678075458631842</v>
      </c>
      <c r="AK204" s="103">
        <f t="shared" si="85"/>
        <v>17.353391992863564</v>
      </c>
      <c r="AL204" s="103">
        <f t="shared" si="85"/>
        <v>17.129403735631783</v>
      </c>
      <c r="AM204" s="103">
        <f t="shared" si="85"/>
        <v>17.440767858763987</v>
      </c>
      <c r="AN204" s="103">
        <f t="shared" si="85"/>
        <v>17.075279071730428</v>
      </c>
      <c r="AO204" s="103">
        <f t="shared" si="85"/>
        <v>17.095375900821924</v>
      </c>
      <c r="AP204" s="103">
        <f t="shared" si="85"/>
        <v>17.484193730568236</v>
      </c>
      <c r="AQ204" s="103">
        <f t="shared" si="85"/>
        <v>17.65783506644572</v>
      </c>
      <c r="AR204" s="103">
        <f t="shared" si="85"/>
        <v>17.717841152289754</v>
      </c>
      <c r="AS204" s="103">
        <f t="shared" si="85"/>
        <v>18.016894254370371</v>
      </c>
      <c r="AT204" s="103">
        <f t="shared" ref="AT204:BJ204" si="86">(AT$121*(AT198*AT202/(AT$197*AT$201+AT$198*AT$202))*1000000000/1.609)/(AT198*1000000*$N$5)</f>
        <v>18.086126281051371</v>
      </c>
      <c r="AU204" s="103">
        <f t="shared" si="86"/>
        <v>18.354744460753025</v>
      </c>
      <c r="AV204" s="103">
        <f t="shared" si="86"/>
        <v>18.604161832573084</v>
      </c>
      <c r="AW204" s="103">
        <f t="shared" si="86"/>
        <v>18.520743922055434</v>
      </c>
      <c r="AX204" s="103">
        <f t="shared" si="86"/>
        <v>18.738269190924321</v>
      </c>
      <c r="AY204" s="103">
        <f t="shared" si="86"/>
        <v>18.949828532401575</v>
      </c>
      <c r="AZ204" s="103">
        <f t="shared" si="86"/>
        <v>19.807543233883564</v>
      </c>
      <c r="BA204" s="103">
        <f t="shared" si="86"/>
        <v>19.622455616512809</v>
      </c>
      <c r="BB204" s="103">
        <f t="shared" si="86"/>
        <v>19.515962089758471</v>
      </c>
      <c r="BC204" s="103">
        <f t="shared" si="86"/>
        <v>19.660162156431308</v>
      </c>
      <c r="BD204" s="103">
        <f t="shared" si="86"/>
        <v>19.514473983261365</v>
      </c>
      <c r="BE204" s="103">
        <f t="shared" si="86"/>
        <v>19.981811330042369</v>
      </c>
      <c r="BF204" s="103">
        <f t="shared" si="86"/>
        <v>20.356268128691578</v>
      </c>
      <c r="BG204" s="103">
        <f t="shared" si="86"/>
        <v>20.341089873767928</v>
      </c>
      <c r="BH204" s="103">
        <f t="shared" si="86"/>
        <v>20.228725024854047</v>
      </c>
      <c r="BI204" s="103">
        <f t="shared" si="86"/>
        <v>20.642933285679476</v>
      </c>
      <c r="BJ204" s="103">
        <f t="shared" si="86"/>
        <v>21.108375759645153</v>
      </c>
      <c r="BK204" s="18"/>
    </row>
    <row r="205" spans="1:63" s="17" customFormat="1">
      <c r="A205" s="3"/>
      <c r="C205" s="17" t="s">
        <v>145</v>
      </c>
      <c r="D205" s="108">
        <f t="shared" ref="D205:L205" si="87">E205+0.001</f>
        <v>0.13711887452143248</v>
      </c>
      <c r="E205" s="108">
        <f t="shared" si="87"/>
        <v>0.13611887452143248</v>
      </c>
      <c r="F205" s="108">
        <f t="shared" si="87"/>
        <v>0.13511887452143248</v>
      </c>
      <c r="G205" s="108">
        <f t="shared" si="87"/>
        <v>0.13411887452143248</v>
      </c>
      <c r="H205" s="108">
        <f t="shared" si="87"/>
        <v>0.13311887452143248</v>
      </c>
      <c r="I205" s="108">
        <f t="shared" si="87"/>
        <v>0.13211887452143248</v>
      </c>
      <c r="J205" s="108">
        <f t="shared" si="87"/>
        <v>0.13111887452143248</v>
      </c>
      <c r="K205" s="108">
        <f t="shared" si="87"/>
        <v>0.13011887452143248</v>
      </c>
      <c r="L205" s="108">
        <f t="shared" si="87"/>
        <v>0.12911887452143248</v>
      </c>
      <c r="M205" s="108">
        <f>N205+0.001</f>
        <v>0.12811887452143247</v>
      </c>
      <c r="N205" s="9">
        <f t="shared" ref="N205:BJ205" si="88">N197/N$240</f>
        <v>0.12711887452143247</v>
      </c>
      <c r="O205" s="9">
        <f t="shared" si="88"/>
        <v>0.12376750508196833</v>
      </c>
      <c r="P205" s="9">
        <f t="shared" si="88"/>
        <v>0.12051892423573635</v>
      </c>
      <c r="Q205" s="9">
        <f t="shared" si="88"/>
        <v>0.11885731038286788</v>
      </c>
      <c r="R205" s="9">
        <f t="shared" si="88"/>
        <v>0.12221824334822075</v>
      </c>
      <c r="S205" s="9">
        <f t="shared" si="88"/>
        <v>0.12007222631481326</v>
      </c>
      <c r="T205" s="9">
        <f t="shared" si="88"/>
        <v>0.11737753687052321</v>
      </c>
      <c r="U205" s="9">
        <f t="shared" si="88"/>
        <v>0.11569923565959249</v>
      </c>
      <c r="V205" s="9">
        <f t="shared" si="88"/>
        <v>0.11303555352087326</v>
      </c>
      <c r="W205" s="9">
        <f t="shared" si="88"/>
        <v>0.11186468316826041</v>
      </c>
      <c r="X205" s="9">
        <f t="shared" si="88"/>
        <v>0.10807384417273282</v>
      </c>
      <c r="Y205" s="9">
        <f t="shared" si="88"/>
        <v>0.10595713087851166</v>
      </c>
      <c r="Z205" s="9">
        <f t="shared" si="88"/>
        <v>0.10158199804262996</v>
      </c>
      <c r="AA205" s="9">
        <f t="shared" si="88"/>
        <v>0.10007822699058916</v>
      </c>
      <c r="AB205" s="9">
        <f t="shared" si="88"/>
        <v>0.10086473199289615</v>
      </c>
      <c r="AC205" s="9">
        <f t="shared" si="88"/>
        <v>0.10102639745088747</v>
      </c>
      <c r="AD205" s="9">
        <f t="shared" si="88"/>
        <v>0.1011861837414557</v>
      </c>
      <c r="AE205" s="9">
        <f t="shared" si="88"/>
        <v>0.1032320060472741</v>
      </c>
      <c r="AF205" s="9">
        <f t="shared" si="88"/>
        <v>0.10260947612688107</v>
      </c>
      <c r="AG205" s="9">
        <f t="shared" si="88"/>
        <v>0.10984810408412049</v>
      </c>
      <c r="AH205" s="9">
        <f t="shared" si="88"/>
        <v>9.4942650205223758E-2</v>
      </c>
      <c r="AI205" s="9">
        <f t="shared" si="88"/>
        <v>9.3089373541429571E-2</v>
      </c>
      <c r="AJ205" s="9">
        <f t="shared" si="88"/>
        <v>8.704053981605557E-2</v>
      </c>
      <c r="AK205" s="9">
        <f t="shared" si="88"/>
        <v>8.2882213186865034E-2</v>
      </c>
      <c r="AL205" s="9">
        <f t="shared" si="88"/>
        <v>7.9667742936146341E-2</v>
      </c>
      <c r="AM205" s="9">
        <f t="shared" si="88"/>
        <v>7.3520595788542142E-2</v>
      </c>
      <c r="AN205" s="9">
        <f t="shared" si="88"/>
        <v>6.8267271146158007E-2</v>
      </c>
      <c r="AO205" s="9">
        <f t="shared" si="88"/>
        <v>6.3941363015874358E-2</v>
      </c>
      <c r="AP205" s="9">
        <f t="shared" si="88"/>
        <v>6.1036190102863909E-2</v>
      </c>
      <c r="AQ205" s="9">
        <f t="shared" si="88"/>
        <v>5.1874957677098182E-2</v>
      </c>
      <c r="AR205" s="9">
        <f t="shared" si="88"/>
        <v>4.5774027228395874E-2</v>
      </c>
      <c r="AS205" s="9">
        <f t="shared" si="88"/>
        <v>3.990117525925628E-2</v>
      </c>
      <c r="AT205" s="9">
        <f t="shared" si="88"/>
        <v>3.4462125674103353E-2</v>
      </c>
      <c r="AU205" s="9">
        <f t="shared" si="88"/>
        <v>3.0959667094298076E-2</v>
      </c>
      <c r="AV205" s="9">
        <f t="shared" si="88"/>
        <v>2.8138215292691639E-2</v>
      </c>
      <c r="AW205" s="9">
        <f t="shared" si="88"/>
        <v>2.5243883100493178E-2</v>
      </c>
      <c r="AX205" s="9">
        <f t="shared" si="88"/>
        <v>2.6215052543717896E-2</v>
      </c>
      <c r="AY205" s="9">
        <f t="shared" si="88"/>
        <v>2.4940839873471385E-2</v>
      </c>
      <c r="AZ205" s="9">
        <f t="shared" si="88"/>
        <v>2.3955530219996784E-2</v>
      </c>
      <c r="BA205" s="9">
        <f t="shared" si="88"/>
        <v>2.2254696362633272E-2</v>
      </c>
      <c r="BB205" s="9">
        <f t="shared" si="88"/>
        <v>2.1514869753916359E-2</v>
      </c>
      <c r="BC205" s="9">
        <f t="shared" si="88"/>
        <v>2.0826006432458046E-2</v>
      </c>
      <c r="BD205" s="9">
        <f t="shared" si="88"/>
        <v>2.0004437457263238E-2</v>
      </c>
      <c r="BE205" s="9">
        <f t="shared" si="88"/>
        <v>1.9677702040829546E-2</v>
      </c>
      <c r="BF205" s="9">
        <f t="shared" si="88"/>
        <v>1.9069081783133917E-2</v>
      </c>
      <c r="BG205" s="9">
        <f t="shared" si="88"/>
        <v>1.8337106645737466E-2</v>
      </c>
      <c r="BH205" s="9">
        <f t="shared" si="88"/>
        <v>1.7496559898707582E-2</v>
      </c>
      <c r="BI205" s="9">
        <f t="shared" si="88"/>
        <v>1.6738365778232421E-2</v>
      </c>
      <c r="BJ205" s="9">
        <f t="shared" si="88"/>
        <v>1.6109655820553029E-2</v>
      </c>
      <c r="BK205" s="18"/>
    </row>
    <row r="206" spans="1:63" s="17" customFormat="1">
      <c r="A206" s="3"/>
      <c r="C206" s="17" t="s">
        <v>146</v>
      </c>
      <c r="D206" s="108">
        <f t="shared" ref="D206:M206" si="89">0.18-D205</f>
        <v>4.2881125478567511E-2</v>
      </c>
      <c r="E206" s="108">
        <f t="shared" si="89"/>
        <v>4.3881125478567512E-2</v>
      </c>
      <c r="F206" s="108">
        <f t="shared" si="89"/>
        <v>4.4881125478567513E-2</v>
      </c>
      <c r="G206" s="108">
        <f t="shared" si="89"/>
        <v>4.5881125478567514E-2</v>
      </c>
      <c r="H206" s="108">
        <f t="shared" si="89"/>
        <v>4.6881125478567515E-2</v>
      </c>
      <c r="I206" s="108">
        <f t="shared" si="89"/>
        <v>4.7881125478567516E-2</v>
      </c>
      <c r="J206" s="108">
        <f t="shared" si="89"/>
        <v>4.8881125478567516E-2</v>
      </c>
      <c r="K206" s="108">
        <f t="shared" si="89"/>
        <v>4.9881125478567517E-2</v>
      </c>
      <c r="L206" s="108">
        <f t="shared" si="89"/>
        <v>5.0881125478567518E-2</v>
      </c>
      <c r="M206" s="108">
        <f t="shared" si="89"/>
        <v>5.1881125478567519E-2</v>
      </c>
      <c r="N206" s="9">
        <f t="shared" ref="N206:BJ206" si="90">N198/N$241</f>
        <v>5.3017391847265873E-2</v>
      </c>
      <c r="O206" s="9">
        <f t="shared" si="90"/>
        <v>5.550291014908925E-2</v>
      </c>
      <c r="P206" s="9">
        <f t="shared" si="90"/>
        <v>5.91128004999888E-2</v>
      </c>
      <c r="Q206" s="9">
        <f t="shared" si="90"/>
        <v>6.0944943945290264E-2</v>
      </c>
      <c r="R206" s="9">
        <f t="shared" si="90"/>
        <v>6.4760461912404949E-2</v>
      </c>
      <c r="S206" s="9">
        <f t="shared" si="90"/>
        <v>6.3598300561364438E-2</v>
      </c>
      <c r="T206" s="9">
        <f t="shared" si="90"/>
        <v>6.1495772388800829E-2</v>
      </c>
      <c r="U206" s="9">
        <f t="shared" si="90"/>
        <v>6.5204757268092176E-2</v>
      </c>
      <c r="V206" s="9">
        <f t="shared" si="90"/>
        <v>6.5873856717783064E-2</v>
      </c>
      <c r="W206" s="9">
        <f t="shared" si="90"/>
        <v>6.5652513984876384E-2</v>
      </c>
      <c r="X206" s="9">
        <f t="shared" si="90"/>
        <v>6.8318588836621105E-2</v>
      </c>
      <c r="Y206" s="9">
        <f t="shared" si="90"/>
        <v>7.2419160556797035E-2</v>
      </c>
      <c r="Z206" s="9">
        <f t="shared" si="90"/>
        <v>7.4048747582575083E-2</v>
      </c>
      <c r="AA206" s="9">
        <f t="shared" si="90"/>
        <v>7.1486835523960887E-2</v>
      </c>
      <c r="AB206" s="9">
        <f t="shared" si="90"/>
        <v>7.1519876476662803E-2</v>
      </c>
      <c r="AC206" s="9">
        <f t="shared" si="90"/>
        <v>7.3152037248034527E-2</v>
      </c>
      <c r="AD206" s="9">
        <f t="shared" si="90"/>
        <v>7.4294780575275846E-2</v>
      </c>
      <c r="AE206" s="9">
        <f t="shared" si="90"/>
        <v>7.3081411631714097E-2</v>
      </c>
      <c r="AF206" s="9">
        <f t="shared" si="90"/>
        <v>8.4808387607961888E-2</v>
      </c>
      <c r="AG206" s="9">
        <f t="shared" si="90"/>
        <v>0.12220191127635543</v>
      </c>
      <c r="AH206" s="9">
        <f t="shared" si="90"/>
        <v>0.13201462919078999</v>
      </c>
      <c r="AI206" s="9">
        <f t="shared" si="90"/>
        <v>0.15011607492967566</v>
      </c>
      <c r="AJ206" s="9">
        <f t="shared" si="90"/>
        <v>0.16121468756763496</v>
      </c>
      <c r="AK206" s="9">
        <f t="shared" si="90"/>
        <v>0.16824627590052929</v>
      </c>
      <c r="AL206" s="9">
        <f t="shared" si="90"/>
        <v>0.17875177495743225</v>
      </c>
      <c r="AM206" s="9">
        <f t="shared" si="90"/>
        <v>0.18708972367790405</v>
      </c>
      <c r="AN206" s="9">
        <f t="shared" si="90"/>
        <v>0.19524011739079794</v>
      </c>
      <c r="AO206" s="9">
        <f t="shared" si="90"/>
        <v>0.20667323229658446</v>
      </c>
      <c r="AP206" s="9">
        <f t="shared" si="90"/>
        <v>0.21562882384566748</v>
      </c>
      <c r="AQ206" s="9">
        <f t="shared" si="90"/>
        <v>0.22268746598675834</v>
      </c>
      <c r="AR206" s="9">
        <f t="shared" si="90"/>
        <v>0.23035656865698542</v>
      </c>
      <c r="AS206" s="9">
        <f t="shared" si="90"/>
        <v>0.23348470419375628</v>
      </c>
      <c r="AT206" s="9">
        <f t="shared" si="90"/>
        <v>0.23224725842680718</v>
      </c>
      <c r="AU206" s="9">
        <f t="shared" si="90"/>
        <v>0.23518768030810955</v>
      </c>
      <c r="AV206" s="9">
        <f t="shared" si="90"/>
        <v>0.23658679833725402</v>
      </c>
      <c r="AW206" s="9">
        <f t="shared" si="90"/>
        <v>0.23662796344829443</v>
      </c>
      <c r="AX206" s="9">
        <f t="shared" si="90"/>
        <v>0.23412931609165746</v>
      </c>
      <c r="AY206" s="9">
        <f t="shared" si="90"/>
        <v>0.23498327393949403</v>
      </c>
      <c r="AZ206" s="9">
        <f t="shared" si="90"/>
        <v>0.22987851852146918</v>
      </c>
      <c r="BA206" s="9">
        <f t="shared" si="90"/>
        <v>0.23293258092988967</v>
      </c>
      <c r="BB206" s="9">
        <f t="shared" si="90"/>
        <v>0.23278920055093485</v>
      </c>
      <c r="BC206" s="9">
        <f t="shared" si="90"/>
        <v>0.23269422112495686</v>
      </c>
      <c r="BD206" s="9">
        <f t="shared" si="90"/>
        <v>0.23028727302983634</v>
      </c>
      <c r="BE206" s="9">
        <f t="shared" si="90"/>
        <v>0.23005523368082775</v>
      </c>
      <c r="BF206" s="9">
        <f t="shared" si="90"/>
        <v>0.23330566365930216</v>
      </c>
      <c r="BG206" s="9">
        <f t="shared" si="90"/>
        <v>0.23567536535154296</v>
      </c>
      <c r="BH206" s="9">
        <f t="shared" si="90"/>
        <v>0.24146305980764604</v>
      </c>
      <c r="BI206" s="9">
        <f t="shared" si="90"/>
        <v>0.24250507552659398</v>
      </c>
      <c r="BJ206" s="9">
        <f t="shared" si="90"/>
        <v>0.24475855813439826</v>
      </c>
      <c r="BK206" s="18"/>
    </row>
    <row r="207" spans="1:63" s="17" customFormat="1">
      <c r="A207" s="3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  <c r="AS207" s="105"/>
      <c r="AT207" s="105"/>
      <c r="AU207" s="105"/>
      <c r="AV207" s="105"/>
      <c r="AW207" s="105"/>
      <c r="AX207" s="105"/>
      <c r="AY207" s="105"/>
      <c r="AZ207" s="105"/>
      <c r="BA207" s="105"/>
      <c r="BC207" s="109"/>
      <c r="BD207" s="105"/>
      <c r="BE207" s="105"/>
      <c r="BF207" s="105"/>
      <c r="BG207" s="105"/>
      <c r="BH207" s="105"/>
      <c r="BI207" s="105"/>
      <c r="BJ207" s="105"/>
      <c r="BK207" s="18"/>
    </row>
    <row r="208" spans="1:63" s="17" customFormat="1">
      <c r="D208" s="17">
        <v>1960</v>
      </c>
      <c r="E208" s="17">
        <v>1961</v>
      </c>
      <c r="F208" s="17">
        <v>1962</v>
      </c>
      <c r="G208" s="17">
        <v>1963</v>
      </c>
      <c r="H208" s="17">
        <v>1964</v>
      </c>
      <c r="I208" s="17">
        <v>1965</v>
      </c>
      <c r="J208" s="17">
        <v>1966</v>
      </c>
      <c r="K208" s="17">
        <v>1967</v>
      </c>
      <c r="L208" s="17">
        <v>1968</v>
      </c>
      <c r="M208" s="17">
        <v>1969</v>
      </c>
      <c r="N208" s="17">
        <v>1970</v>
      </c>
      <c r="O208" s="17">
        <v>1971</v>
      </c>
      <c r="P208" s="17">
        <v>1972</v>
      </c>
      <c r="Q208" s="17">
        <v>1973</v>
      </c>
      <c r="R208" s="17">
        <v>1974</v>
      </c>
      <c r="S208" s="17">
        <v>1975</v>
      </c>
      <c r="T208" s="17">
        <v>1976</v>
      </c>
      <c r="U208" s="17">
        <v>1977</v>
      </c>
      <c r="V208" s="17">
        <v>1978</v>
      </c>
      <c r="W208" s="17">
        <v>1979</v>
      </c>
      <c r="X208" s="17">
        <v>1980</v>
      </c>
      <c r="Y208" s="17">
        <v>1981</v>
      </c>
      <c r="Z208" s="17">
        <v>1982</v>
      </c>
      <c r="AA208" s="17">
        <v>1983</v>
      </c>
      <c r="AB208" s="17">
        <v>1984</v>
      </c>
      <c r="AC208" s="17">
        <v>1985</v>
      </c>
      <c r="AD208" s="17">
        <v>1986</v>
      </c>
      <c r="AE208" s="17">
        <v>1987</v>
      </c>
      <c r="AF208" s="17">
        <v>1988</v>
      </c>
      <c r="AG208" s="17">
        <v>1989</v>
      </c>
      <c r="AH208" s="17">
        <v>1990</v>
      </c>
      <c r="AI208" s="17">
        <v>1991</v>
      </c>
      <c r="AJ208" s="17">
        <v>1992</v>
      </c>
      <c r="AK208" s="17">
        <v>1993</v>
      </c>
      <c r="AL208" s="17">
        <v>1994</v>
      </c>
      <c r="AM208" s="17">
        <v>1995</v>
      </c>
      <c r="AN208" s="17">
        <v>1996</v>
      </c>
      <c r="AO208" s="17">
        <v>1997</v>
      </c>
      <c r="AP208" s="17">
        <v>1998</v>
      </c>
      <c r="AQ208" s="17">
        <v>1999</v>
      </c>
      <c r="AR208" s="17">
        <v>2000</v>
      </c>
      <c r="AS208" s="17">
        <v>2001</v>
      </c>
      <c r="AT208" s="17">
        <v>2002</v>
      </c>
      <c r="AU208" s="17">
        <v>2003</v>
      </c>
      <c r="AV208" s="17">
        <v>2004</v>
      </c>
      <c r="AW208" s="17">
        <v>2005</v>
      </c>
      <c r="AX208" s="17">
        <v>2006</v>
      </c>
      <c r="AY208" s="17">
        <v>2007</v>
      </c>
      <c r="AZ208" s="17">
        <v>2008</v>
      </c>
      <c r="BA208" s="17">
        <v>2009</v>
      </c>
      <c r="BB208" s="17">
        <v>2010</v>
      </c>
      <c r="BC208" s="17">
        <v>2011</v>
      </c>
      <c r="BD208" s="17">
        <v>2012</v>
      </c>
      <c r="BE208" s="17">
        <v>2013</v>
      </c>
      <c r="BF208" s="17">
        <v>2014</v>
      </c>
      <c r="BG208" s="17">
        <v>2015</v>
      </c>
      <c r="BH208" s="17">
        <v>2016</v>
      </c>
      <c r="BI208" s="17">
        <v>2017</v>
      </c>
      <c r="BJ208" s="17">
        <v>2018</v>
      </c>
      <c r="BK208" s="18">
        <v>2019</v>
      </c>
    </row>
    <row r="209" spans="1:63" s="17" customFormat="1">
      <c r="A209" s="5" t="s">
        <v>66</v>
      </c>
      <c r="C209" s="17" t="s">
        <v>155</v>
      </c>
      <c r="D209" s="110">
        <f>D240-D228</f>
        <v>7.6602394347586342</v>
      </c>
      <c r="E209" s="110">
        <f t="shared" ref="E209:M209" si="91">E240-E228</f>
        <v>8.2262802330875431</v>
      </c>
      <c r="F209" s="110">
        <f t="shared" si="91"/>
        <v>8.7229253351964804</v>
      </c>
      <c r="G209" s="110">
        <f t="shared" si="91"/>
        <v>9.2867445756488181</v>
      </c>
      <c r="H209" s="110">
        <f t="shared" si="91"/>
        <v>10.317997508599271</v>
      </c>
      <c r="I209" s="110">
        <f t="shared" si="91"/>
        <v>11.132581801782329</v>
      </c>
      <c r="J209" s="110">
        <f t="shared" si="91"/>
        <v>11.794110647360984</v>
      </c>
      <c r="K209" s="110">
        <f t="shared" si="91"/>
        <v>12.646237832618205</v>
      </c>
      <c r="L209" s="110">
        <f t="shared" si="91"/>
        <v>13.441622545453637</v>
      </c>
      <c r="M209" s="110">
        <f t="shared" si="91"/>
        <v>13.917758000863465</v>
      </c>
      <c r="N209" s="88">
        <f>N185+N197</f>
        <v>13.806491497457937</v>
      </c>
      <c r="O209" s="88">
        <f t="shared" ref="O209:BJ210" si="92">O185+O197</f>
        <v>14.541927566789116</v>
      </c>
      <c r="P209" s="88">
        <f t="shared" si="92"/>
        <v>15.486270740520634</v>
      </c>
      <c r="Q209" s="88">
        <f t="shared" si="92"/>
        <v>16.488976614979585</v>
      </c>
      <c r="R209" s="88">
        <f t="shared" si="92"/>
        <v>16.032070946710522</v>
      </c>
      <c r="S209" s="88">
        <f t="shared" si="92"/>
        <v>15.648511692282357</v>
      </c>
      <c r="T209" s="88">
        <f t="shared" si="92"/>
        <v>16.337810933445617</v>
      </c>
      <c r="U209" s="88">
        <f t="shared" si="92"/>
        <v>16.795217845928534</v>
      </c>
      <c r="V209" s="88">
        <f t="shared" si="92"/>
        <v>17.802743137601478</v>
      </c>
      <c r="W209" s="88">
        <f t="shared" si="92"/>
        <v>18.119378435358513</v>
      </c>
      <c r="X209" s="88">
        <f t="shared" si="92"/>
        <v>18.540455149982208</v>
      </c>
      <c r="Y209" s="88">
        <f t="shared" si="92"/>
        <v>18.079820936116423</v>
      </c>
      <c r="Z209" s="88">
        <f t="shared" si="92"/>
        <v>18.591328527834325</v>
      </c>
      <c r="AA209" s="88">
        <f t="shared" si="92"/>
        <v>18.946605922801126</v>
      </c>
      <c r="AB209" s="88">
        <f t="shared" si="92"/>
        <v>19.613498497689712</v>
      </c>
      <c r="AC209" s="88">
        <f t="shared" si="92"/>
        <v>19.824635165528672</v>
      </c>
      <c r="AD209" s="88">
        <f t="shared" si="92"/>
        <v>20.901633609872263</v>
      </c>
      <c r="AE209" s="88">
        <f t="shared" si="92"/>
        <v>21.633453124838031</v>
      </c>
      <c r="AF209" s="88">
        <f t="shared" si="92"/>
        <v>22.720527527394431</v>
      </c>
      <c r="AG209" s="88">
        <f t="shared" si="92"/>
        <v>23.406309735168055</v>
      </c>
      <c r="AH209" s="88">
        <f t="shared" si="92"/>
        <v>23.796807230976896</v>
      </c>
      <c r="AI209" s="88">
        <f t="shared" si="92"/>
        <v>23.51928416725956</v>
      </c>
      <c r="AJ209" s="88">
        <f t="shared" si="92"/>
        <v>23.572781510996919</v>
      </c>
      <c r="AK209" s="88">
        <f t="shared" si="92"/>
        <v>23.319102720129997</v>
      </c>
      <c r="AL209" s="88">
        <f t="shared" si="92"/>
        <v>22.389432076569584</v>
      </c>
      <c r="AM209" s="88">
        <f t="shared" si="92"/>
        <v>21.497052779492918</v>
      </c>
      <c r="AN209" s="88">
        <f t="shared" si="92"/>
        <v>21.94373865710584</v>
      </c>
      <c r="AO209" s="88">
        <f t="shared" si="92"/>
        <v>21.771055704390502</v>
      </c>
      <c r="AP209" s="88">
        <f t="shared" si="92"/>
        <v>21.360194579154093</v>
      </c>
      <c r="AQ209" s="88">
        <f t="shared" si="92"/>
        <v>21.27656003884303</v>
      </c>
      <c r="AR209" s="88">
        <f t="shared" si="92"/>
        <v>20.889582752823724</v>
      </c>
      <c r="AS209" s="88">
        <f t="shared" si="92"/>
        <v>20.418600941083987</v>
      </c>
      <c r="AT209" s="88">
        <f t="shared" si="92"/>
        <v>20.273271829878333</v>
      </c>
      <c r="AU209" s="88">
        <f t="shared" si="92"/>
        <v>19.359529981959785</v>
      </c>
      <c r="AV209" s="88">
        <f t="shared" si="92"/>
        <v>18.925073451222524</v>
      </c>
      <c r="AW209" s="88">
        <f t="shared" si="92"/>
        <v>18.282913386201653</v>
      </c>
      <c r="AX209" s="88">
        <f t="shared" si="92"/>
        <v>17.52787831990128</v>
      </c>
      <c r="AY209" s="88">
        <f t="shared" si="92"/>
        <v>17.026868373844181</v>
      </c>
      <c r="AZ209" s="88">
        <f t="shared" si="92"/>
        <v>15.977655456127069</v>
      </c>
      <c r="BA209" s="88">
        <f t="shared" si="92"/>
        <v>15.070296771576054</v>
      </c>
      <c r="BB209" s="88">
        <f t="shared" si="92"/>
        <v>14.062468115099026</v>
      </c>
      <c r="BC209" s="88">
        <f t="shared" si="92"/>
        <v>13.352714375561858</v>
      </c>
      <c r="BD209" s="88">
        <f t="shared" si="92"/>
        <v>12.708587275802495</v>
      </c>
      <c r="BE209" s="88">
        <f t="shared" si="92"/>
        <v>12.056640450704233</v>
      </c>
      <c r="BF209" s="88">
        <f t="shared" si="92"/>
        <v>11.783721878072544</v>
      </c>
      <c r="BG209" s="88">
        <f t="shared" si="92"/>
        <v>11.519625024160037</v>
      </c>
      <c r="BH209" s="88">
        <f t="shared" si="92"/>
        <v>11.367551192113094</v>
      </c>
      <c r="BI209" s="88">
        <f t="shared" si="92"/>
        <v>11.191660036294206</v>
      </c>
      <c r="BJ209" s="88">
        <f t="shared" si="92"/>
        <v>10.982986790800501</v>
      </c>
      <c r="BK209" s="18"/>
    </row>
    <row r="210" spans="1:63" s="17" customFormat="1">
      <c r="A210" s="5" t="s">
        <v>66</v>
      </c>
      <c r="C210" s="17" t="s">
        <v>156</v>
      </c>
      <c r="D210" s="111"/>
      <c r="N210" s="88">
        <f>N186+N198</f>
        <v>0.36249189344659538</v>
      </c>
      <c r="O210" s="88">
        <f t="shared" si="92"/>
        <v>0.39096840649533487</v>
      </c>
      <c r="P210" s="88">
        <f t="shared" si="92"/>
        <v>0.41928062659697585</v>
      </c>
      <c r="Q210" s="88">
        <f t="shared" si="92"/>
        <v>0.46365978996339768</v>
      </c>
      <c r="R210" s="88">
        <f t="shared" si="92"/>
        <v>0.47072917798564207</v>
      </c>
      <c r="S210" s="88">
        <f t="shared" si="92"/>
        <v>0.45928481876301419</v>
      </c>
      <c r="T210" s="88">
        <f t="shared" si="92"/>
        <v>0.46335116706749901</v>
      </c>
      <c r="U210" s="88">
        <f t="shared" si="92"/>
        <v>0.49788135837437408</v>
      </c>
      <c r="V210" s="88">
        <f t="shared" si="92"/>
        <v>0.51664096505808221</v>
      </c>
      <c r="W210" s="88">
        <f t="shared" si="92"/>
        <v>0.52896943457480217</v>
      </c>
      <c r="X210" s="88">
        <f t="shared" si="92"/>
        <v>0.53639494253653308</v>
      </c>
      <c r="Y210" s="88">
        <f t="shared" si="92"/>
        <v>0.53730866451634296</v>
      </c>
      <c r="Z210" s="88">
        <f t="shared" si="92"/>
        <v>0.57234195503530105</v>
      </c>
      <c r="AA210" s="88">
        <f t="shared" si="92"/>
        <v>0.60119673819448072</v>
      </c>
      <c r="AB210" s="88">
        <f t="shared" si="92"/>
        <v>0.659597765140155</v>
      </c>
      <c r="AC210" s="88">
        <f t="shared" si="92"/>
        <v>0.71032515171759403</v>
      </c>
      <c r="AD210" s="88">
        <f t="shared" si="92"/>
        <v>0.80432940580827261</v>
      </c>
      <c r="AE210" s="88">
        <f t="shared" si="92"/>
        <v>0.95319977529562694</v>
      </c>
      <c r="AF210" s="88">
        <f t="shared" si="92"/>
        <v>1.1946054464085749</v>
      </c>
      <c r="AG210" s="88">
        <f t="shared" si="92"/>
        <v>1.800592832993515</v>
      </c>
      <c r="AH210" s="88">
        <f t="shared" si="92"/>
        <v>2.3540948432946984</v>
      </c>
      <c r="AI210" s="88">
        <f t="shared" si="92"/>
        <v>2.6794217585861135</v>
      </c>
      <c r="AJ210" s="88">
        <f t="shared" si="92"/>
        <v>3.161607283124467</v>
      </c>
      <c r="AK210" s="88">
        <f t="shared" si="92"/>
        <v>3.7453830830425563</v>
      </c>
      <c r="AL210" s="88">
        <f t="shared" si="92"/>
        <v>4.6221766955830281</v>
      </c>
      <c r="AM210" s="88">
        <f t="shared" si="92"/>
        <v>5.23130988075724</v>
      </c>
      <c r="AN210" s="88">
        <f t="shared" si="92"/>
        <v>5.9315042445602124</v>
      </c>
      <c r="AO210" s="88">
        <f t="shared" si="92"/>
        <v>6.5204189970477913</v>
      </c>
      <c r="AP210" s="88">
        <f t="shared" si="92"/>
        <v>6.7966304493271714</v>
      </c>
      <c r="AQ210" s="88">
        <f t="shared" si="92"/>
        <v>7.3222753669938667</v>
      </c>
      <c r="AR210" s="88">
        <f t="shared" si="92"/>
        <v>7.6390274517847994</v>
      </c>
      <c r="AS210" s="88">
        <f t="shared" si="92"/>
        <v>8.1068470721911776</v>
      </c>
      <c r="AT210" s="88">
        <f t="shared" si="92"/>
        <v>8.8203856737627646</v>
      </c>
      <c r="AU210" s="88">
        <f t="shared" si="92"/>
        <v>9.4942915528404743</v>
      </c>
      <c r="AV210" s="88">
        <f t="shared" si="92"/>
        <v>10.22155374857393</v>
      </c>
      <c r="AW210" s="88">
        <f t="shared" si="92"/>
        <v>11.015142499630795</v>
      </c>
      <c r="AX210" s="88">
        <f t="shared" si="92"/>
        <v>11.757625357837217</v>
      </c>
      <c r="AY210" s="88">
        <f t="shared" si="92"/>
        <v>12.537494585116617</v>
      </c>
      <c r="AZ210" s="88">
        <f t="shared" si="92"/>
        <v>12.64596816651936</v>
      </c>
      <c r="BA210" s="88">
        <f t="shared" si="92"/>
        <v>12.781142586805128</v>
      </c>
      <c r="BB210" s="88">
        <f t="shared" si="92"/>
        <v>13.190673804130256</v>
      </c>
      <c r="BC210" s="88">
        <f t="shared" si="92"/>
        <v>13.693124763772181</v>
      </c>
      <c r="BD210" s="88">
        <f t="shared" si="92"/>
        <v>14.305286622749891</v>
      </c>
      <c r="BE210" s="88">
        <f t="shared" si="92"/>
        <v>14.651172019595242</v>
      </c>
      <c r="BF210" s="88">
        <f t="shared" si="92"/>
        <v>15.224742830239091</v>
      </c>
      <c r="BG210" s="88">
        <f t="shared" si="92"/>
        <v>15.920676398378641</v>
      </c>
      <c r="BH210" s="88">
        <f t="shared" si="92"/>
        <v>16.726877159243447</v>
      </c>
      <c r="BI210" s="88">
        <f t="shared" si="92"/>
        <v>16.941490122567515</v>
      </c>
      <c r="BJ210" s="88">
        <f t="shared" si="92"/>
        <v>16.736025266402198</v>
      </c>
      <c r="BK210" s="18"/>
    </row>
    <row r="211" spans="1:63" s="17" customFormat="1">
      <c r="A211" s="5" t="s">
        <v>66</v>
      </c>
      <c r="C211" s="17" t="s">
        <v>157</v>
      </c>
      <c r="N211" s="88">
        <f>SUM(N209:N210)</f>
        <v>14.168983390904533</v>
      </c>
      <c r="O211" s="88">
        <f t="shared" ref="O211:BJ211" si="93">SUM(O209:O210)</f>
        <v>14.932895973284451</v>
      </c>
      <c r="P211" s="88">
        <f t="shared" si="93"/>
        <v>15.90555136711761</v>
      </c>
      <c r="Q211" s="88">
        <f t="shared" si="93"/>
        <v>16.952636404942982</v>
      </c>
      <c r="R211" s="88">
        <f t="shared" si="93"/>
        <v>16.502800124696165</v>
      </c>
      <c r="S211" s="88">
        <f t="shared" si="93"/>
        <v>16.107796511045372</v>
      </c>
      <c r="T211" s="88">
        <f t="shared" si="93"/>
        <v>16.801162100513118</v>
      </c>
      <c r="U211" s="88">
        <f t="shared" si="93"/>
        <v>17.293099204302909</v>
      </c>
      <c r="V211" s="88">
        <f t="shared" si="93"/>
        <v>18.319384102659562</v>
      </c>
      <c r="W211" s="88">
        <f t="shared" si="93"/>
        <v>18.648347869933314</v>
      </c>
      <c r="X211" s="88">
        <f t="shared" si="93"/>
        <v>19.07685009251874</v>
      </c>
      <c r="Y211" s="88">
        <f t="shared" si="93"/>
        <v>18.617129600632765</v>
      </c>
      <c r="Z211" s="88">
        <f t="shared" si="93"/>
        <v>19.163670482869627</v>
      </c>
      <c r="AA211" s="88">
        <f t="shared" si="93"/>
        <v>19.547802660995607</v>
      </c>
      <c r="AB211" s="88">
        <f t="shared" si="93"/>
        <v>20.273096262829867</v>
      </c>
      <c r="AC211" s="88">
        <f t="shared" si="93"/>
        <v>20.534960317246266</v>
      </c>
      <c r="AD211" s="88">
        <f t="shared" si="93"/>
        <v>21.705963015680535</v>
      </c>
      <c r="AE211" s="88">
        <f t="shared" si="93"/>
        <v>22.586652900133657</v>
      </c>
      <c r="AF211" s="88">
        <f t="shared" si="93"/>
        <v>23.915132973803004</v>
      </c>
      <c r="AG211" s="88">
        <f t="shared" si="93"/>
        <v>25.206902568161571</v>
      </c>
      <c r="AH211" s="88">
        <f t="shared" si="93"/>
        <v>26.150902074271595</v>
      </c>
      <c r="AI211" s="88">
        <f t="shared" si="93"/>
        <v>26.198705925845672</v>
      </c>
      <c r="AJ211" s="88">
        <f t="shared" si="93"/>
        <v>26.734388794121386</v>
      </c>
      <c r="AK211" s="88">
        <f t="shared" si="93"/>
        <v>27.064485803172552</v>
      </c>
      <c r="AL211" s="88">
        <f t="shared" si="93"/>
        <v>27.011608772152613</v>
      </c>
      <c r="AM211" s="88">
        <f t="shared" si="93"/>
        <v>26.728362660250159</v>
      </c>
      <c r="AN211" s="88">
        <f t="shared" si="93"/>
        <v>27.875242901666052</v>
      </c>
      <c r="AO211" s="88">
        <f t="shared" si="93"/>
        <v>28.291474701438293</v>
      </c>
      <c r="AP211" s="88">
        <f t="shared" si="93"/>
        <v>28.156825028481265</v>
      </c>
      <c r="AQ211" s="88">
        <f t="shared" si="93"/>
        <v>28.598835405836898</v>
      </c>
      <c r="AR211" s="88">
        <f t="shared" si="93"/>
        <v>28.528610204608523</v>
      </c>
      <c r="AS211" s="88">
        <f t="shared" si="93"/>
        <v>28.525448013275167</v>
      </c>
      <c r="AT211" s="88">
        <f t="shared" si="93"/>
        <v>29.093657503641097</v>
      </c>
      <c r="AU211" s="88">
        <f t="shared" si="93"/>
        <v>28.853821534800261</v>
      </c>
      <c r="AV211" s="88">
        <f t="shared" si="93"/>
        <v>29.146627199796455</v>
      </c>
      <c r="AW211" s="88">
        <f t="shared" si="93"/>
        <v>29.298055885832447</v>
      </c>
      <c r="AX211" s="88">
        <f t="shared" si="93"/>
        <v>29.285503677738497</v>
      </c>
      <c r="AY211" s="88">
        <f t="shared" si="93"/>
        <v>29.5643629589608</v>
      </c>
      <c r="AZ211" s="88">
        <f t="shared" si="93"/>
        <v>28.623623622646427</v>
      </c>
      <c r="BA211" s="88">
        <f t="shared" si="93"/>
        <v>27.851439358381182</v>
      </c>
      <c r="BB211" s="88">
        <f t="shared" si="93"/>
        <v>27.253141919229282</v>
      </c>
      <c r="BC211" s="88">
        <f t="shared" si="93"/>
        <v>27.045839139334038</v>
      </c>
      <c r="BD211" s="88">
        <f t="shared" si="93"/>
        <v>27.013873898552387</v>
      </c>
      <c r="BE211" s="88">
        <f t="shared" si="93"/>
        <v>26.707812470299473</v>
      </c>
      <c r="BF211" s="88">
        <f t="shared" si="93"/>
        <v>27.008464708311635</v>
      </c>
      <c r="BG211" s="88">
        <f t="shared" si="93"/>
        <v>27.440301422538678</v>
      </c>
      <c r="BH211" s="88">
        <f t="shared" si="93"/>
        <v>28.094428351356541</v>
      </c>
      <c r="BI211" s="88">
        <f t="shared" si="93"/>
        <v>28.133150158861721</v>
      </c>
      <c r="BJ211" s="88">
        <f t="shared" si="93"/>
        <v>27.719012057202697</v>
      </c>
      <c r="BK211" s="18"/>
    </row>
    <row r="212" spans="1:63" s="17" customFormat="1">
      <c r="A212" s="3"/>
      <c r="C212" s="17" t="s">
        <v>158</v>
      </c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>
        <f t="shared" ref="N212:AS212" si="94">(N128+N129)/(N187+N199)</f>
        <v>12.366455317639705</v>
      </c>
      <c r="O212" s="105">
        <f t="shared" si="94"/>
        <v>12.477298464633909</v>
      </c>
      <c r="P212" s="105">
        <f t="shared" si="94"/>
        <v>12.381941088012063</v>
      </c>
      <c r="Q212" s="105">
        <f t="shared" si="94"/>
        <v>12.224600059231729</v>
      </c>
      <c r="R212" s="105">
        <f t="shared" si="94"/>
        <v>12.333573603391587</v>
      </c>
      <c r="S212" s="105">
        <f t="shared" si="94"/>
        <v>12.725924359637732</v>
      </c>
      <c r="T212" s="105">
        <f t="shared" si="94"/>
        <v>12.765765767681609</v>
      </c>
      <c r="U212" s="105">
        <f t="shared" si="94"/>
        <v>12.635225035060909</v>
      </c>
      <c r="V212" s="105">
        <f t="shared" si="94"/>
        <v>12.428010610190052</v>
      </c>
      <c r="W212" s="105">
        <f t="shared" si="94"/>
        <v>12.148379126134895</v>
      </c>
      <c r="X212" s="105">
        <f t="shared" si="94"/>
        <v>12.634591079295772</v>
      </c>
      <c r="Y212" s="105">
        <f t="shared" si="94"/>
        <v>13.197217039926995</v>
      </c>
      <c r="Z212" s="105">
        <f t="shared" si="94"/>
        <v>13.215453700604259</v>
      </c>
      <c r="AA212" s="105">
        <f t="shared" si="94"/>
        <v>13.161535568054289</v>
      </c>
      <c r="AB212" s="105">
        <f t="shared" si="94"/>
        <v>13.389089484948297</v>
      </c>
      <c r="AC212" s="105">
        <f t="shared" si="94"/>
        <v>13.594450424408489</v>
      </c>
      <c r="AD212" s="105">
        <f t="shared" si="94"/>
        <v>13.557845822708057</v>
      </c>
      <c r="AE212" s="105">
        <f t="shared" si="94"/>
        <v>14.040765641646859</v>
      </c>
      <c r="AF212" s="105">
        <f t="shared" si="94"/>
        <v>14.283453927443498</v>
      </c>
      <c r="AG212" s="105">
        <f t="shared" si="94"/>
        <v>14.71959511870565</v>
      </c>
      <c r="AH212" s="105">
        <f t="shared" si="94"/>
        <v>14.366674577150885</v>
      </c>
      <c r="AI212" s="105">
        <f t="shared" si="94"/>
        <v>14.383450887482576</v>
      </c>
      <c r="AJ212" s="105">
        <f t="shared" si="94"/>
        <v>14.179505015777874</v>
      </c>
      <c r="AK212" s="105">
        <f t="shared" si="94"/>
        <v>14.024397239998805</v>
      </c>
      <c r="AL212" s="105">
        <f t="shared" si="94"/>
        <v>14.373512635806602</v>
      </c>
      <c r="AM212" s="105">
        <f t="shared" si="94"/>
        <v>14.802743625908921</v>
      </c>
      <c r="AN212" s="105">
        <f t="shared" si="94"/>
        <v>14.563126909137608</v>
      </c>
      <c r="AO212" s="105">
        <f t="shared" si="94"/>
        <v>14.644605994290455</v>
      </c>
      <c r="AP212" s="105">
        <f t="shared" si="94"/>
        <v>14.966073041749109</v>
      </c>
      <c r="AQ212" s="105">
        <f t="shared" si="94"/>
        <v>14.999191187780022</v>
      </c>
      <c r="AR212" s="105">
        <f t="shared" si="94"/>
        <v>15.007913001343322</v>
      </c>
      <c r="AS212" s="105">
        <f t="shared" si="94"/>
        <v>15.235199804670911</v>
      </c>
      <c r="AT212" s="105">
        <f t="shared" ref="AT212:BJ212" si="95">(AT128+AT129)/(AT187+AT199)</f>
        <v>15.302658318029678</v>
      </c>
      <c r="AU212" s="105">
        <f t="shared" si="95"/>
        <v>15.502348604343945</v>
      </c>
      <c r="AV212" s="105">
        <f t="shared" si="95"/>
        <v>15.589508758089622</v>
      </c>
      <c r="AW212" s="105">
        <f t="shared" si="95"/>
        <v>15.508933485915138</v>
      </c>
      <c r="AX212" s="105">
        <f t="shared" si="95"/>
        <v>15.757325025991674</v>
      </c>
      <c r="AY212" s="105">
        <f t="shared" si="95"/>
        <v>15.739314276648848</v>
      </c>
      <c r="AZ212" s="105">
        <f t="shared" si="95"/>
        <v>16.132932925887367</v>
      </c>
      <c r="BA212" s="105">
        <f t="shared" si="95"/>
        <v>16.493564087981849</v>
      </c>
      <c r="BB212" s="105">
        <f t="shared" si="95"/>
        <v>16.725766935458381</v>
      </c>
      <c r="BC212" s="105">
        <f t="shared" si="95"/>
        <v>17.032442499816739</v>
      </c>
      <c r="BD212" s="105">
        <f t="shared" si="95"/>
        <v>17.13598359636995</v>
      </c>
      <c r="BE212" s="105">
        <f t="shared" si="95"/>
        <v>17.495015756891778</v>
      </c>
      <c r="BF212" s="105">
        <f t="shared" si="95"/>
        <v>17.878132104688035</v>
      </c>
      <c r="BG212" s="105">
        <f t="shared" si="95"/>
        <v>18.00136931419685</v>
      </c>
      <c r="BH212" s="105">
        <f t="shared" si="95"/>
        <v>18.074772465533396</v>
      </c>
      <c r="BI212" s="105">
        <f t="shared" si="95"/>
        <v>18.438802518409069</v>
      </c>
      <c r="BJ212" s="105">
        <f t="shared" si="95"/>
        <v>18.963890160125995</v>
      </c>
      <c r="BK212" s="18">
        <f>BA212/N212</f>
        <v>1.3337341755850742</v>
      </c>
    </row>
    <row r="213" spans="1:63" s="17" customFormat="1">
      <c r="A213" s="3"/>
      <c r="C213" s="17" t="s">
        <v>159</v>
      </c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>
        <f t="shared" ref="N213:AS213" si="96">(N209/(N209+N210*1.25))*((N$129+N128)/N209)</f>
        <v>12.287863740691488</v>
      </c>
      <c r="O213" s="105">
        <f t="shared" si="96"/>
        <v>12.396160367339355</v>
      </c>
      <c r="P213" s="105">
        <f t="shared" si="96"/>
        <v>12.300876323053895</v>
      </c>
      <c r="Q213" s="105">
        <f t="shared" si="96"/>
        <v>12.141581070408145</v>
      </c>
      <c r="R213" s="105">
        <f t="shared" si="96"/>
        <v>12.246245016628579</v>
      </c>
      <c r="S213" s="105">
        <f t="shared" si="96"/>
        <v>12.635852215216824</v>
      </c>
      <c r="T213" s="105">
        <f t="shared" si="96"/>
        <v>12.678353216628972</v>
      </c>
      <c r="U213" s="105">
        <f t="shared" si="96"/>
        <v>12.544930534040438</v>
      </c>
      <c r="V213" s="105">
        <f t="shared" si="96"/>
        <v>12.341000772507176</v>
      </c>
      <c r="W213" s="105">
        <f t="shared" si="96"/>
        <v>12.062837069693375</v>
      </c>
      <c r="X213" s="105">
        <f t="shared" si="96"/>
        <v>12.546397481772626</v>
      </c>
      <c r="Y213" s="105">
        <f t="shared" si="96"/>
        <v>13.102677997557436</v>
      </c>
      <c r="Z213" s="105">
        <f t="shared" si="96"/>
        <v>13.117511837419197</v>
      </c>
      <c r="AA213" s="105">
        <f t="shared" si="96"/>
        <v>13.061111269368189</v>
      </c>
      <c r="AB213" s="105">
        <f t="shared" si="96"/>
        <v>13.281062582146919</v>
      </c>
      <c r="AC213" s="105">
        <f t="shared" si="96"/>
        <v>13.477896885925524</v>
      </c>
      <c r="AD213" s="105">
        <f t="shared" si="96"/>
        <v>13.433399852337955</v>
      </c>
      <c r="AE213" s="105">
        <f t="shared" si="96"/>
        <v>13.894175474012192</v>
      </c>
      <c r="AF213" s="105">
        <f t="shared" si="96"/>
        <v>14.107282664632045</v>
      </c>
      <c r="AG213" s="105">
        <f t="shared" si="96"/>
        <v>14.461342546086543</v>
      </c>
      <c r="AH213" s="105">
        <f t="shared" si="96"/>
        <v>14.050470007079154</v>
      </c>
      <c r="AI213" s="105">
        <f t="shared" si="96"/>
        <v>14.024859570038871</v>
      </c>
      <c r="AJ213" s="105">
        <f t="shared" si="96"/>
        <v>13.772326384010995</v>
      </c>
      <c r="AK213" s="105">
        <f t="shared" si="96"/>
        <v>13.555422416573752</v>
      </c>
      <c r="AL213" s="105">
        <f t="shared" si="96"/>
        <v>13.783846054433011</v>
      </c>
      <c r="AM213" s="105">
        <f t="shared" si="96"/>
        <v>14.112227737050166</v>
      </c>
      <c r="AN213" s="105">
        <f t="shared" si="96"/>
        <v>13.827544622811162</v>
      </c>
      <c r="AO213" s="105">
        <f t="shared" si="96"/>
        <v>13.846779067349798</v>
      </c>
      <c r="AP213" s="105">
        <f t="shared" si="96"/>
        <v>14.11432693640273</v>
      </c>
      <c r="AQ213" s="105">
        <f t="shared" si="96"/>
        <v>14.096871450713296</v>
      </c>
      <c r="AR213" s="105">
        <f t="shared" si="96"/>
        <v>14.066290055894118</v>
      </c>
      <c r="AS213" s="105">
        <f t="shared" si="96"/>
        <v>14.224555746977749</v>
      </c>
      <c r="AT213" s="105">
        <f t="shared" ref="AT213:BJ213" si="97">(AT209/(AT209+AT210*1.25))*((AT$129+AT128)/AT209)</f>
        <v>14.224537536169988</v>
      </c>
      <c r="AU213" s="105">
        <f t="shared" si="97"/>
        <v>14.324025691698402</v>
      </c>
      <c r="AV213" s="105">
        <f t="shared" si="97"/>
        <v>14.332893062816607</v>
      </c>
      <c r="AW213" s="105">
        <f t="shared" si="97"/>
        <v>14.176458468002306</v>
      </c>
      <c r="AX213" s="105">
        <f t="shared" si="97"/>
        <v>14.32001516074761</v>
      </c>
      <c r="AY213" s="105">
        <f t="shared" si="97"/>
        <v>14.230604858459037</v>
      </c>
      <c r="AZ213" s="105">
        <f t="shared" si="97"/>
        <v>14.528278105937625</v>
      </c>
      <c r="BA213" s="105">
        <f t="shared" si="97"/>
        <v>14.796069470283886</v>
      </c>
      <c r="BB213" s="105">
        <f t="shared" si="97"/>
        <v>14.920379998944465</v>
      </c>
      <c r="BC213" s="105">
        <f t="shared" si="97"/>
        <v>15.118805367749546</v>
      </c>
      <c r="BD213" s="105">
        <f t="shared" si="97"/>
        <v>15.132603489873405</v>
      </c>
      <c r="BE213" s="105">
        <f t="shared" si="97"/>
        <v>15.385060412495758</v>
      </c>
      <c r="BF213" s="105">
        <f t="shared" si="97"/>
        <v>15.669848383264391</v>
      </c>
      <c r="BG213" s="105">
        <f t="shared" si="97"/>
        <v>15.721056743947885</v>
      </c>
      <c r="BH213" s="105">
        <f t="shared" si="97"/>
        <v>15.732992848016149</v>
      </c>
      <c r="BI213" s="105">
        <f t="shared" si="97"/>
        <v>16.026112930023107</v>
      </c>
      <c r="BJ213" s="105">
        <f t="shared" si="97"/>
        <v>16.476820275778021</v>
      </c>
      <c r="BK213" s="18">
        <f>BA213/N213</f>
        <v>1.2041205682714748</v>
      </c>
    </row>
    <row r="214" spans="1:63" s="17" customFormat="1">
      <c r="A214" s="3"/>
      <c r="C214" s="17" t="s">
        <v>160</v>
      </c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>
        <f t="shared" ref="N214:AS214" si="98">(N210*1.25/(N209+N210*1.25))*((N128+N$129)/N210)</f>
        <v>15.359829675864361</v>
      </c>
      <c r="O214" s="105">
        <f t="shared" si="98"/>
        <v>15.495200459174193</v>
      </c>
      <c r="P214" s="105">
        <f t="shared" si="98"/>
        <v>15.376095403817367</v>
      </c>
      <c r="Q214" s="105">
        <f t="shared" si="98"/>
        <v>15.176976338010183</v>
      </c>
      <c r="R214" s="105">
        <f t="shared" si="98"/>
        <v>15.307806270785722</v>
      </c>
      <c r="S214" s="105">
        <f t="shared" si="98"/>
        <v>15.794815269021028</v>
      </c>
      <c r="T214" s="105">
        <f t="shared" si="98"/>
        <v>15.847941520786213</v>
      </c>
      <c r="U214" s="105">
        <f t="shared" si="98"/>
        <v>15.681163167550546</v>
      </c>
      <c r="V214" s="105">
        <f t="shared" si="98"/>
        <v>15.426250965633971</v>
      </c>
      <c r="W214" s="105">
        <f t="shared" si="98"/>
        <v>15.078546337116716</v>
      </c>
      <c r="X214" s="105">
        <f t="shared" si="98"/>
        <v>15.68299685221578</v>
      </c>
      <c r="Y214" s="105">
        <f t="shared" si="98"/>
        <v>16.378347496946791</v>
      </c>
      <c r="Z214" s="105">
        <f t="shared" si="98"/>
        <v>16.396889796773998</v>
      </c>
      <c r="AA214" s="105">
        <f t="shared" si="98"/>
        <v>16.326389086710233</v>
      </c>
      <c r="AB214" s="105">
        <f t="shared" si="98"/>
        <v>16.601328227683652</v>
      </c>
      <c r="AC214" s="105">
        <f t="shared" si="98"/>
        <v>16.847371107406907</v>
      </c>
      <c r="AD214" s="105">
        <f t="shared" si="98"/>
        <v>16.791749815422442</v>
      </c>
      <c r="AE214" s="105">
        <f t="shared" si="98"/>
        <v>17.36771934251524</v>
      </c>
      <c r="AF214" s="105">
        <f t="shared" si="98"/>
        <v>17.634103330790058</v>
      </c>
      <c r="AG214" s="105">
        <f t="shared" si="98"/>
        <v>18.07667818260818</v>
      </c>
      <c r="AH214" s="105">
        <f t="shared" si="98"/>
        <v>17.563087508848941</v>
      </c>
      <c r="AI214" s="105">
        <f t="shared" si="98"/>
        <v>17.531074462548588</v>
      </c>
      <c r="AJ214" s="105">
        <f t="shared" si="98"/>
        <v>17.215407980013744</v>
      </c>
      <c r="AK214" s="105">
        <f t="shared" si="98"/>
        <v>16.944278020717185</v>
      </c>
      <c r="AL214" s="105">
        <f t="shared" si="98"/>
        <v>17.22980756804127</v>
      </c>
      <c r="AM214" s="105">
        <f t="shared" si="98"/>
        <v>17.64028467131271</v>
      </c>
      <c r="AN214" s="105">
        <f t="shared" si="98"/>
        <v>17.284430778513951</v>
      </c>
      <c r="AO214" s="105">
        <f t="shared" si="98"/>
        <v>17.308473834187247</v>
      </c>
      <c r="AP214" s="105">
        <f t="shared" si="98"/>
        <v>17.642908670503409</v>
      </c>
      <c r="AQ214" s="105">
        <f t="shared" si="98"/>
        <v>17.621089313391622</v>
      </c>
      <c r="AR214" s="105">
        <f t="shared" si="98"/>
        <v>17.58286256986765</v>
      </c>
      <c r="AS214" s="105">
        <f t="shared" si="98"/>
        <v>17.780694683722189</v>
      </c>
      <c r="AT214" s="105">
        <f t="shared" ref="AT214:BJ214" si="99">(AT210*1.25/(AT209+AT210*1.25))*((AT128+AT$129)/AT210)</f>
        <v>17.780671920212484</v>
      </c>
      <c r="AU214" s="105">
        <f t="shared" si="99"/>
        <v>17.905032114623001</v>
      </c>
      <c r="AV214" s="105">
        <f t="shared" si="99"/>
        <v>17.916116328520758</v>
      </c>
      <c r="AW214" s="105">
        <f t="shared" si="99"/>
        <v>17.720573085002883</v>
      </c>
      <c r="AX214" s="105">
        <f t="shared" si="99"/>
        <v>17.900018950934509</v>
      </c>
      <c r="AY214" s="105">
        <f t="shared" si="99"/>
        <v>17.7882560730738</v>
      </c>
      <c r="AZ214" s="105">
        <f t="shared" si="99"/>
        <v>18.160347632422031</v>
      </c>
      <c r="BA214" s="105">
        <f t="shared" si="99"/>
        <v>18.49508683785486</v>
      </c>
      <c r="BB214" s="105">
        <f t="shared" si="99"/>
        <v>18.650474998680579</v>
      </c>
      <c r="BC214" s="105">
        <f t="shared" si="99"/>
        <v>18.898506709686934</v>
      </c>
      <c r="BD214" s="105">
        <f t="shared" si="99"/>
        <v>18.915754362341758</v>
      </c>
      <c r="BE214" s="105">
        <f t="shared" si="99"/>
        <v>19.231325515619698</v>
      </c>
      <c r="BF214" s="105">
        <f t="shared" si="99"/>
        <v>19.58731047908049</v>
      </c>
      <c r="BG214" s="105">
        <f t="shared" si="99"/>
        <v>19.651320929934858</v>
      </c>
      <c r="BH214" s="105">
        <f t="shared" si="99"/>
        <v>19.666241060020187</v>
      </c>
      <c r="BI214" s="105">
        <f t="shared" si="99"/>
        <v>20.032641162528883</v>
      </c>
      <c r="BJ214" s="105">
        <f t="shared" si="99"/>
        <v>20.59602534472252</v>
      </c>
      <c r="BK214" s="18">
        <f>BA214/N214</f>
        <v>1.2041205682714751</v>
      </c>
    </row>
    <row r="215" spans="1:63" s="17" customFormat="1">
      <c r="A215" s="3"/>
      <c r="B215" s="106">
        <f>(N215/X215)^(1/10)</f>
        <v>0.99791990267356967</v>
      </c>
      <c r="C215" s="17" t="s">
        <v>161</v>
      </c>
      <c r="D215" s="107">
        <f t="shared" ref="D215:L216" si="100">E215*$B215</f>
        <v>17.588036033599646</v>
      </c>
      <c r="E215" s="107">
        <f t="shared" si="100"/>
        <v>17.624697118955932</v>
      </c>
      <c r="F215" s="107">
        <f t="shared" si="100"/>
        <v>17.661434621893857</v>
      </c>
      <c r="G215" s="107">
        <f t="shared" si="100"/>
        <v>17.698248701700763</v>
      </c>
      <c r="H215" s="107">
        <f t="shared" si="100"/>
        <v>17.735139517996014</v>
      </c>
      <c r="I215" s="107">
        <f t="shared" si="100"/>
        <v>17.772107230731692</v>
      </c>
      <c r="J215" s="107">
        <f t="shared" si="100"/>
        <v>17.809152000193286</v>
      </c>
      <c r="K215" s="107">
        <f t="shared" si="100"/>
        <v>17.846273987000387</v>
      </c>
      <c r="L215" s="107">
        <f t="shared" si="100"/>
        <v>17.883473352107394</v>
      </c>
      <c r="M215" s="107">
        <f>N215*$B215</f>
        <v>17.920750256804197</v>
      </c>
      <c r="N215" s="103">
        <f t="shared" ref="N215:AS215" si="101">(N$120*(N209*N213/(N$185*N$188+N$186*N$189))*1000000000/1.609)/(N209*1000000*$N$5)</f>
        <v>17.95810486271689</v>
      </c>
      <c r="O215" s="103">
        <f t="shared" si="101"/>
        <v>18.11638653689927</v>
      </c>
      <c r="P215" s="103">
        <f t="shared" si="101"/>
        <v>17.977125886429569</v>
      </c>
      <c r="Q215" s="103">
        <f t="shared" si="101"/>
        <v>17.744343373324352</v>
      </c>
      <c r="R215" s="103">
        <f t="shared" si="101"/>
        <v>17.897302590387522</v>
      </c>
      <c r="S215" s="103">
        <f t="shared" si="101"/>
        <v>18.466714062780319</v>
      </c>
      <c r="T215" s="103">
        <f t="shared" si="101"/>
        <v>18.528816006478078</v>
      </c>
      <c r="U215" s="103">
        <f t="shared" si="101"/>
        <v>18.333843917853613</v>
      </c>
      <c r="V215" s="103">
        <f t="shared" si="101"/>
        <v>18.035786207524595</v>
      </c>
      <c r="W215" s="103">
        <f t="shared" si="101"/>
        <v>17.629257545091612</v>
      </c>
      <c r="X215" s="103">
        <f t="shared" si="101"/>
        <v>18.335960288246753</v>
      </c>
      <c r="Y215" s="103">
        <f t="shared" si="101"/>
        <v>19.148951261626902</v>
      </c>
      <c r="Z215" s="103">
        <f t="shared" si="101"/>
        <v>19.170672507681616</v>
      </c>
      <c r="AA215" s="103">
        <f t="shared" si="101"/>
        <v>19.088286989211319</v>
      </c>
      <c r="AB215" s="103">
        <f t="shared" si="101"/>
        <v>19.409804179562531</v>
      </c>
      <c r="AC215" s="103">
        <f t="shared" si="101"/>
        <v>19.697548066184755</v>
      </c>
      <c r="AD215" s="103">
        <f t="shared" si="101"/>
        <v>19.632631572063147</v>
      </c>
      <c r="AE215" s="103">
        <f t="shared" si="101"/>
        <v>20.306868791529876</v>
      </c>
      <c r="AF215" s="103">
        <f t="shared" si="101"/>
        <v>20.618814767754994</v>
      </c>
      <c r="AG215" s="103">
        <f t="shared" si="101"/>
        <v>21.138226729842906</v>
      </c>
      <c r="AH215" s="103">
        <f t="shared" si="101"/>
        <v>20.543407259579851</v>
      </c>
      <c r="AI215" s="103">
        <f t="shared" si="101"/>
        <v>20.508759425836718</v>
      </c>
      <c r="AJ215" s="103">
        <f t="shared" si="101"/>
        <v>20.145995989214548</v>
      </c>
      <c r="AK215" s="103">
        <f t="shared" si="101"/>
        <v>19.839742810357606</v>
      </c>
      <c r="AL215" s="103">
        <f t="shared" si="101"/>
        <v>20.196316929795113</v>
      </c>
      <c r="AM215" s="103">
        <f t="shared" si="101"/>
        <v>20.698868763323947</v>
      </c>
      <c r="AN215" s="103">
        <f t="shared" si="101"/>
        <v>20.297211587924227</v>
      </c>
      <c r="AO215" s="103">
        <f t="shared" si="101"/>
        <v>20.340919447128574</v>
      </c>
      <c r="AP215" s="103">
        <f t="shared" si="101"/>
        <v>20.742705514042935</v>
      </c>
      <c r="AQ215" s="103">
        <f t="shared" si="101"/>
        <v>20.734493372389672</v>
      </c>
      <c r="AR215" s="103">
        <f t="shared" si="101"/>
        <v>20.702001257232961</v>
      </c>
      <c r="AS215" s="103">
        <f t="shared" si="101"/>
        <v>20.958494609693322</v>
      </c>
      <c r="AT215" s="103">
        <f t="shared" ref="AT215:BJ215" si="102">(AT$120*(AT209*AT213/(AT$185*AT$188+AT$186*AT$189))*1000000000/1.609)/(AT209*1000000*$N$5)</f>
        <v>20.992647268976828</v>
      </c>
      <c r="AU215" s="103">
        <f t="shared" si="102"/>
        <v>21.184583216537135</v>
      </c>
      <c r="AV215" s="103">
        <f t="shared" si="102"/>
        <v>21.243750014369422</v>
      </c>
      <c r="AW215" s="103">
        <f t="shared" si="102"/>
        <v>21.071681343359494</v>
      </c>
      <c r="AX215" s="103">
        <f t="shared" si="102"/>
        <v>21.358933605838764</v>
      </c>
      <c r="AY215" s="103">
        <f t="shared" si="102"/>
        <v>21.290766005126944</v>
      </c>
      <c r="AZ215" s="103">
        <f t="shared" si="102"/>
        <v>21.81166000786979</v>
      </c>
      <c r="BA215" s="103">
        <f t="shared" si="102"/>
        <v>22.274587821717983</v>
      </c>
      <c r="BB215" s="103">
        <f t="shared" si="102"/>
        <v>22.550106878809494</v>
      </c>
      <c r="BC215" s="103">
        <f t="shared" si="102"/>
        <v>22.949275318893516</v>
      </c>
      <c r="BD215" s="103">
        <f t="shared" si="102"/>
        <v>23.082251773165044</v>
      </c>
      <c r="BE215" s="103">
        <f t="shared" si="102"/>
        <v>23.55857256529524</v>
      </c>
      <c r="BF215" s="103">
        <f t="shared" si="102"/>
        <v>24.063218058180382</v>
      </c>
      <c r="BG215" s="103">
        <f t="shared" si="102"/>
        <v>24.221166313441127</v>
      </c>
      <c r="BH215" s="103">
        <f t="shared" si="102"/>
        <v>24.310046237342778</v>
      </c>
      <c r="BI215" s="103">
        <f t="shared" si="102"/>
        <v>24.799771175915922</v>
      </c>
      <c r="BJ215" s="103">
        <f t="shared" si="102"/>
        <v>25.498151536182831</v>
      </c>
      <c r="BK215" s="18"/>
    </row>
    <row r="216" spans="1:63" s="17" customFormat="1">
      <c r="A216" s="3"/>
      <c r="B216" s="106">
        <f>(N216/X216)^(1/10)</f>
        <v>0.99792001780800754</v>
      </c>
      <c r="C216" s="17" t="s">
        <v>162</v>
      </c>
      <c r="D216" s="107">
        <f t="shared" si="100"/>
        <v>21.984638095867581</v>
      </c>
      <c r="E216" s="107">
        <f t="shared" si="100"/>
        <v>22.030461062559088</v>
      </c>
      <c r="F216" s="107">
        <f t="shared" si="100"/>
        <v>22.076379538863591</v>
      </c>
      <c r="G216" s="107">
        <f t="shared" si="100"/>
        <v>22.122393723853452</v>
      </c>
      <c r="H216" s="107">
        <f t="shared" si="100"/>
        <v>22.168503817015964</v>
      </c>
      <c r="I216" s="107">
        <f t="shared" si="100"/>
        <v>22.214710018254209</v>
      </c>
      <c r="J216" s="107">
        <f t="shared" si="100"/>
        <v>22.261012527887935</v>
      </c>
      <c r="K216" s="107">
        <f t="shared" si="100"/>
        <v>22.307411546654425</v>
      </c>
      <c r="L216" s="107">
        <f t="shared" si="100"/>
        <v>22.35390727570935</v>
      </c>
      <c r="M216" s="107">
        <f>N216*$B216</f>
        <v>22.400499916627663</v>
      </c>
      <c r="N216" s="103">
        <f t="shared" ref="N216:AS216" si="103">(N$120*(N210*N214/(N$185*N$189+N$186*N$190))*1000000000/1.609)/(N210*1000000*$N$5)</f>
        <v>22.447189671404463</v>
      </c>
      <c r="O216" s="103">
        <f t="shared" si="103"/>
        <v>22.645023482914574</v>
      </c>
      <c r="P216" s="103">
        <f t="shared" si="103"/>
        <v>22.470960760551254</v>
      </c>
      <c r="Q216" s="103">
        <f t="shared" si="103"/>
        <v>22.179963820370983</v>
      </c>
      <c r="R216" s="103">
        <f t="shared" si="103"/>
        <v>22.371161533996947</v>
      </c>
      <c r="S216" s="103">
        <f t="shared" si="103"/>
        <v>23.082887092532705</v>
      </c>
      <c r="T216" s="103">
        <f t="shared" si="103"/>
        <v>23.160526954111237</v>
      </c>
      <c r="U216" s="103">
        <f t="shared" si="103"/>
        <v>22.91679343576056</v>
      </c>
      <c r="V216" s="103">
        <f t="shared" si="103"/>
        <v>22.544259191128404</v>
      </c>
      <c r="W216" s="103">
        <f t="shared" si="103"/>
        <v>22.036116072965022</v>
      </c>
      <c r="X216" s="103">
        <f t="shared" si="103"/>
        <v>22.919473222473478</v>
      </c>
      <c r="Y216" s="103">
        <f t="shared" si="103"/>
        <v>23.935673801503139</v>
      </c>
      <c r="Z216" s="103">
        <f t="shared" si="103"/>
        <v>23.962771922377456</v>
      </c>
      <c r="AA216" s="103">
        <f t="shared" si="103"/>
        <v>23.859740648973631</v>
      </c>
      <c r="AB216" s="103">
        <f t="shared" si="103"/>
        <v>24.261542698590176</v>
      </c>
      <c r="AC216" s="103">
        <f t="shared" si="103"/>
        <v>24.621115122568618</v>
      </c>
      <c r="AD216" s="103">
        <f t="shared" si="103"/>
        <v>24.539828954864181</v>
      </c>
      <c r="AE216" s="103">
        <f t="shared" si="103"/>
        <v>25.381563368099044</v>
      </c>
      <c r="AF216" s="103">
        <f t="shared" si="103"/>
        <v>25.770862731205</v>
      </c>
      <c r="AG216" s="103">
        <f t="shared" si="103"/>
        <v>26.417651260257891</v>
      </c>
      <c r="AH216" s="103">
        <f t="shared" si="103"/>
        <v>25.66707866208295</v>
      </c>
      <c r="AI216" s="103">
        <f t="shared" si="103"/>
        <v>25.62029409887958</v>
      </c>
      <c r="AJ216" s="103">
        <f t="shared" si="103"/>
        <v>25.158972225141675</v>
      </c>
      <c r="AK216" s="103">
        <f t="shared" si="103"/>
        <v>24.762736996603081</v>
      </c>
      <c r="AL216" s="103">
        <f t="shared" si="103"/>
        <v>25.180016096751267</v>
      </c>
      <c r="AM216" s="103">
        <f t="shared" si="103"/>
        <v>25.779896276892913</v>
      </c>
      <c r="AN216" s="103">
        <f t="shared" si="103"/>
        <v>25.259843646393172</v>
      </c>
      <c r="AO216" s="103">
        <f t="shared" si="103"/>
        <v>25.294980691683893</v>
      </c>
      <c r="AP216" s="103">
        <f t="shared" si="103"/>
        <v>25.783731046468777</v>
      </c>
      <c r="AQ216" s="103">
        <f t="shared" si="103"/>
        <v>25.751843762694651</v>
      </c>
      <c r="AR216" s="103">
        <f t="shared" si="103"/>
        <v>25.695978367015744</v>
      </c>
      <c r="AS216" s="103">
        <f t="shared" si="103"/>
        <v>25.985094527578763</v>
      </c>
      <c r="AT216" s="103">
        <f t="shared" ref="AT216:BJ216" si="104">(AT$120*(AT210*AT214/(AT$185*AT$189+AT$186*AT$190))*1000000000/1.609)/(AT210*1000000*$N$5)</f>
        <v>25.985061260489818</v>
      </c>
      <c r="AU216" s="103">
        <f t="shared" si="104"/>
        <v>26.166803957538875</v>
      </c>
      <c r="AV216" s="103">
        <f t="shared" si="104"/>
        <v>26.183002669176428</v>
      </c>
      <c r="AW216" s="103">
        <f t="shared" si="104"/>
        <v>25.897231513581872</v>
      </c>
      <c r="AX216" s="103">
        <f t="shared" si="104"/>
        <v>26.159477610922789</v>
      </c>
      <c r="AY216" s="103">
        <f t="shared" si="104"/>
        <v>25.996144906686911</v>
      </c>
      <c r="AZ216" s="103">
        <f t="shared" si="104"/>
        <v>26.539927616787072</v>
      </c>
      <c r="BA216" s="103">
        <f t="shared" si="104"/>
        <v>27.029122783229123</v>
      </c>
      <c r="BB216" s="103">
        <f t="shared" si="104"/>
        <v>27.256210426279388</v>
      </c>
      <c r="BC216" s="103">
        <f t="shared" si="104"/>
        <v>27.618689371617648</v>
      </c>
      <c r="BD216" s="103">
        <f t="shared" si="104"/>
        <v>27.643895466912948</v>
      </c>
      <c r="BE216" s="103">
        <f t="shared" si="104"/>
        <v>28.105078024398242</v>
      </c>
      <c r="BF216" s="103">
        <f t="shared" si="104"/>
        <v>28.625322204418605</v>
      </c>
      <c r="BG216" s="103">
        <f t="shared" si="104"/>
        <v>28.718868471636522</v>
      </c>
      <c r="BH216" s="103">
        <f t="shared" si="104"/>
        <v>28.740673074748337</v>
      </c>
      <c r="BI216" s="103">
        <f t="shared" si="104"/>
        <v>29.276138165846227</v>
      </c>
      <c r="BJ216" s="103">
        <f t="shared" si="104"/>
        <v>30.099480081898946</v>
      </c>
      <c r="BK216" s="18"/>
    </row>
    <row r="217" spans="1:63" s="17" customFormat="1">
      <c r="A217" s="3"/>
      <c r="C217" s="17" t="s">
        <v>145</v>
      </c>
      <c r="D217" s="108">
        <f>D209/D240</f>
        <v>0.94088889785295304</v>
      </c>
      <c r="E217" s="108">
        <f t="shared" ref="E217:M217" si="105">E209/E240</f>
        <v>0.94617185915373336</v>
      </c>
      <c r="F217" s="108">
        <f t="shared" si="105"/>
        <v>0.95372396536480497</v>
      </c>
      <c r="G217" s="108">
        <f t="shared" si="105"/>
        <v>0.9616671415228184</v>
      </c>
      <c r="H217" s="108">
        <f t="shared" si="105"/>
        <v>0.96520287587114506</v>
      </c>
      <c r="I217" s="108">
        <f t="shared" si="105"/>
        <v>0.97086957458672651</v>
      </c>
      <c r="J217" s="108">
        <f t="shared" si="105"/>
        <v>0.97554176199030684</v>
      </c>
      <c r="K217" s="108">
        <f t="shared" si="105"/>
        <v>0.98008387306565381</v>
      </c>
      <c r="L217" s="108">
        <f t="shared" si="105"/>
        <v>0.98288750400281866</v>
      </c>
      <c r="M217" s="108">
        <f t="shared" si="105"/>
        <v>0.98507728481589751</v>
      </c>
      <c r="N217" s="9">
        <f t="shared" ref="N217:BJ217" si="106">N209/N$240</f>
        <v>0.98545950556214812</v>
      </c>
      <c r="O217" s="9">
        <f t="shared" si="106"/>
        <v>0.98663361817216866</v>
      </c>
      <c r="P217" s="9">
        <f t="shared" si="106"/>
        <v>0.98828689459297669</v>
      </c>
      <c r="Q217" s="9">
        <f t="shared" si="106"/>
        <v>0.98829620859119527</v>
      </c>
      <c r="R217" s="9">
        <f t="shared" si="106"/>
        <v>0.98706804518409685</v>
      </c>
      <c r="S217" s="9">
        <f t="shared" si="106"/>
        <v>0.98468159219329443</v>
      </c>
      <c r="T217" s="9">
        <f t="shared" si="106"/>
        <v>0.98168893269926116</v>
      </c>
      <c r="U217" s="9">
        <f t="shared" si="106"/>
        <v>0.98241613628924485</v>
      </c>
      <c r="V217" s="9">
        <f t="shared" si="106"/>
        <v>0.98326861872951143</v>
      </c>
      <c r="W217" s="9">
        <f t="shared" si="106"/>
        <v>0.98250255628787386</v>
      </c>
      <c r="X217" s="9">
        <f t="shared" si="106"/>
        <v>0.98030022276346296</v>
      </c>
      <c r="Y217" s="9">
        <f t="shared" si="106"/>
        <v>0.97768722307994338</v>
      </c>
      <c r="Z217" s="9">
        <f t="shared" si="106"/>
        <v>0.97746777254608619</v>
      </c>
      <c r="AA217" s="9">
        <f t="shared" si="106"/>
        <v>0.97994477270404623</v>
      </c>
      <c r="AB217" s="9">
        <f t="shared" si="106"/>
        <v>0.98127927139843341</v>
      </c>
      <c r="AC217" s="9">
        <f t="shared" si="106"/>
        <v>0.9834149658284278</v>
      </c>
      <c r="AD217" s="9">
        <f t="shared" si="106"/>
        <v>0.98489892721892858</v>
      </c>
      <c r="AE217" s="9">
        <f t="shared" si="106"/>
        <v>0.98658199462636309</v>
      </c>
      <c r="AF217" s="9">
        <f t="shared" si="106"/>
        <v>0.9886943850656118</v>
      </c>
      <c r="AG217" s="9">
        <f t="shared" si="106"/>
        <v>0.98980954321837367</v>
      </c>
      <c r="AH217" s="9">
        <f t="shared" si="106"/>
        <v>0.99015893669011912</v>
      </c>
      <c r="AI217" s="9">
        <f t="shared" si="106"/>
        <v>0.99036570427256787</v>
      </c>
      <c r="AJ217" s="9">
        <f t="shared" si="106"/>
        <v>0.99179059139971792</v>
      </c>
      <c r="AK217" s="9">
        <f t="shared" si="106"/>
        <v>0.99296426575298868</v>
      </c>
      <c r="AL217" s="9">
        <f t="shared" si="106"/>
        <v>0.99285079726843706</v>
      </c>
      <c r="AM217" s="9">
        <f t="shared" si="106"/>
        <v>0.9927196773389777</v>
      </c>
      <c r="AN217" s="9">
        <f t="shared" si="106"/>
        <v>0.99259035140953444</v>
      </c>
      <c r="AO217" s="9">
        <f t="shared" si="106"/>
        <v>0.99199822639259772</v>
      </c>
      <c r="AP217" s="9">
        <f t="shared" si="106"/>
        <v>0.99161786162603738</v>
      </c>
      <c r="AQ217" s="9">
        <f t="shared" si="106"/>
        <v>0.99068715338341351</v>
      </c>
      <c r="AR217" s="9">
        <f t="shared" si="106"/>
        <v>0.99052949722975625</v>
      </c>
      <c r="AS217" s="9">
        <f t="shared" si="106"/>
        <v>0.99008819721098285</v>
      </c>
      <c r="AT217" s="9">
        <f t="shared" si="106"/>
        <v>0.98958723517192715</v>
      </c>
      <c r="AU217" s="9">
        <f t="shared" si="106"/>
        <v>0.98814196879441241</v>
      </c>
      <c r="AV217" s="9">
        <f t="shared" si="106"/>
        <v>0.98889691767752819</v>
      </c>
      <c r="AW217" s="9">
        <f t="shared" si="106"/>
        <v>0.98798726689018934</v>
      </c>
      <c r="AX217" s="9">
        <f t="shared" si="106"/>
        <v>0.98832828277729123</v>
      </c>
      <c r="AY217" s="9">
        <f t="shared" si="106"/>
        <v>0.98720162022106828</v>
      </c>
      <c r="AZ217" s="9">
        <f t="shared" si="106"/>
        <v>0.987509063161923</v>
      </c>
      <c r="BA217" s="9">
        <f t="shared" si="106"/>
        <v>0.98712586432955352</v>
      </c>
      <c r="BB217" s="9">
        <f t="shared" si="106"/>
        <v>0.98781777414006433</v>
      </c>
      <c r="BC217" s="9">
        <f t="shared" si="106"/>
        <v>0.98727797771311732</v>
      </c>
      <c r="BD217" s="9">
        <f t="shared" si="106"/>
        <v>0.98704948821737681</v>
      </c>
      <c r="BE217" s="9">
        <f t="shared" si="106"/>
        <v>0.98705989502854352</v>
      </c>
      <c r="BF217" s="9">
        <f t="shared" si="106"/>
        <v>0.9863992226389493</v>
      </c>
      <c r="BG217" s="9">
        <f t="shared" si="106"/>
        <v>0.98595648725474927</v>
      </c>
      <c r="BH217" s="9">
        <f t="shared" si="106"/>
        <v>0.98564426542800798</v>
      </c>
      <c r="BI217" s="9">
        <f t="shared" si="106"/>
        <v>0.98535416248548557</v>
      </c>
      <c r="BJ217" s="9">
        <f t="shared" si="106"/>
        <v>0.98541977125381441</v>
      </c>
      <c r="BK217" s="18"/>
    </row>
    <row r="218" spans="1:63" s="17" customFormat="1">
      <c r="A218" s="3"/>
      <c r="C218" s="17" t="s">
        <v>146</v>
      </c>
      <c r="D218" s="108">
        <f>E218-0.003</f>
        <v>4.5435624158031776E-2</v>
      </c>
      <c r="E218" s="108">
        <f t="shared" ref="E218:L218" si="107">F218-0.003</f>
        <v>4.8435624158031779E-2</v>
      </c>
      <c r="F218" s="108">
        <f t="shared" si="107"/>
        <v>5.1435624158031781E-2</v>
      </c>
      <c r="G218" s="108">
        <f t="shared" si="107"/>
        <v>5.4435624158031784E-2</v>
      </c>
      <c r="H218" s="108">
        <f t="shared" si="107"/>
        <v>5.7435624158031787E-2</v>
      </c>
      <c r="I218" s="108">
        <f t="shared" si="107"/>
        <v>6.0435624158031789E-2</v>
      </c>
      <c r="J218" s="108">
        <f t="shared" si="107"/>
        <v>6.3435624158031792E-2</v>
      </c>
      <c r="K218" s="108">
        <f t="shared" si="107"/>
        <v>6.6435624158031795E-2</v>
      </c>
      <c r="L218" s="108">
        <f t="shared" si="107"/>
        <v>6.9435624158031797E-2</v>
      </c>
      <c r="M218" s="108">
        <f>N218-0.003</f>
        <v>7.24356241580318E-2</v>
      </c>
      <c r="N218" s="9">
        <f>N210/N$241</f>
        <v>7.5435624158031803E-2</v>
      </c>
      <c r="O218" s="9">
        <f t="shared" ref="O218:BI218" si="108">O210/O$241</f>
        <v>7.8852475836911726E-2</v>
      </c>
      <c r="P218" s="9">
        <f t="shared" si="108"/>
        <v>8.3503023520660982E-2</v>
      </c>
      <c r="Q218" s="9">
        <f t="shared" si="108"/>
        <v>8.5789866466366119E-2</v>
      </c>
      <c r="R218" s="9">
        <f t="shared" si="108"/>
        <v>8.9376904871638574E-2</v>
      </c>
      <c r="S218" s="9">
        <f t="shared" si="108"/>
        <v>8.8697332608159998E-2</v>
      </c>
      <c r="T218" s="9">
        <f t="shared" si="108"/>
        <v>8.6549691534662854E-2</v>
      </c>
      <c r="U218" s="9">
        <f t="shared" si="108"/>
        <v>9.1094614457192358E-2</v>
      </c>
      <c r="V218" s="9">
        <f t="shared" si="108"/>
        <v>9.1805532966471773E-2</v>
      </c>
      <c r="W218" s="9">
        <f t="shared" si="108"/>
        <v>9.1053710147443651E-2</v>
      </c>
      <c r="X218" s="9">
        <f t="shared" si="108"/>
        <v>9.5357305719250773E-2</v>
      </c>
      <c r="Y218" s="9">
        <f t="shared" si="108"/>
        <v>0.10076975190374193</v>
      </c>
      <c r="Z218" s="9">
        <f t="shared" si="108"/>
        <v>0.10381737597207294</v>
      </c>
      <c r="AA218" s="9">
        <f t="shared" si="108"/>
        <v>0.10088066719290763</v>
      </c>
      <c r="AB218" s="9">
        <f t="shared" si="108"/>
        <v>0.10112060882338759</v>
      </c>
      <c r="AC218" s="9">
        <f t="shared" si="108"/>
        <v>0.10344298557106475</v>
      </c>
      <c r="AD218" s="9">
        <f t="shared" si="108"/>
        <v>0.10551876553928574</v>
      </c>
      <c r="AE218" s="9">
        <f t="shared" si="108"/>
        <v>0.11604319949188083</v>
      </c>
      <c r="AF218" s="9">
        <f t="shared" si="108"/>
        <v>0.1313107702199873</v>
      </c>
      <c r="AG218" s="9">
        <f t="shared" si="108"/>
        <v>0.18308705878705817</v>
      </c>
      <c r="AH218" s="9">
        <f t="shared" si="108"/>
        <v>0.22706424408819331</v>
      </c>
      <c r="AI218" s="9">
        <f t="shared" si="108"/>
        <v>0.25712849219513473</v>
      </c>
      <c r="AJ218" s="9">
        <f t="shared" si="108"/>
        <v>0.29123310372343347</v>
      </c>
      <c r="AK218" s="9">
        <f t="shared" si="108"/>
        <v>0.32501606863542304</v>
      </c>
      <c r="AL218" s="9">
        <f t="shared" si="108"/>
        <v>0.36632547502550677</v>
      </c>
      <c r="AM218" s="9">
        <f t="shared" si="108"/>
        <v>0.39770004236065876</v>
      </c>
      <c r="AN218" s="9">
        <f t="shared" si="108"/>
        <v>0.42190033516566056</v>
      </c>
      <c r="AO218" s="9">
        <f t="shared" si="108"/>
        <v>0.44456086233744452</v>
      </c>
      <c r="AP218" s="9">
        <f t="shared" si="108"/>
        <v>0.45826593465709747</v>
      </c>
      <c r="AQ218" s="9">
        <f t="shared" si="108"/>
        <v>0.48194075696589017</v>
      </c>
      <c r="AR218" s="9">
        <f t="shared" si="108"/>
        <v>0.49882365523973893</v>
      </c>
      <c r="AS218" s="9">
        <f t="shared" si="108"/>
        <v>0.51509572768953982</v>
      </c>
      <c r="AT218" s="9">
        <f t="shared" si="108"/>
        <v>0.53130430500482084</v>
      </c>
      <c r="AU218" s="9">
        <f t="shared" si="108"/>
        <v>0.54618037415692444</v>
      </c>
      <c r="AV218" s="9">
        <f t="shared" si="108"/>
        <v>0.56287817084313652</v>
      </c>
      <c r="AW218" s="9">
        <f t="shared" si="108"/>
        <v>0.57901174816904633</v>
      </c>
      <c r="AX218" s="9">
        <f t="shared" si="108"/>
        <v>0.59391252353197777</v>
      </c>
      <c r="AY218" s="9">
        <f t="shared" si="108"/>
        <v>0.60680427812644999</v>
      </c>
      <c r="AZ218" s="9">
        <f t="shared" si="108"/>
        <v>0.62808450125601156</v>
      </c>
      <c r="BA218" s="9">
        <f t="shared" si="108"/>
        <v>0.64644414458305</v>
      </c>
      <c r="BB218" s="9">
        <f t="shared" si="108"/>
        <v>0.64738521382653813</v>
      </c>
      <c r="BC218" s="9">
        <f t="shared" si="108"/>
        <v>0.66408863369380799</v>
      </c>
      <c r="BD218" s="9">
        <f t="shared" si="108"/>
        <v>0.67521815866595591</v>
      </c>
      <c r="BE218" s="9">
        <f t="shared" si="108"/>
        <v>0.67927440458788035</v>
      </c>
      <c r="BF218" s="9">
        <f t="shared" si="108"/>
        <v>0.68298917307579088</v>
      </c>
      <c r="BG218" s="9">
        <f t="shared" si="108"/>
        <v>0.68451219605605318</v>
      </c>
      <c r="BH218" s="9">
        <f t="shared" si="108"/>
        <v>0.69061723206623615</v>
      </c>
      <c r="BI218" s="9">
        <f t="shared" si="108"/>
        <v>0.69273636956892637</v>
      </c>
      <c r="BJ218" s="9">
        <f>BJ210/BJ$241</f>
        <v>0.69236078823845892</v>
      </c>
      <c r="BK218" s="18"/>
    </row>
    <row r="219" spans="1:63" s="17" customFormat="1">
      <c r="A219" s="3"/>
      <c r="D219" s="112">
        <f>D237+D226+D218</f>
        <v>0.98827194569055288</v>
      </c>
      <c r="E219" s="112">
        <f t="shared" ref="E219:M219" si="109">E237+E226+E218</f>
        <v>0.96640502426483188</v>
      </c>
      <c r="F219" s="112">
        <f t="shared" si="109"/>
        <v>0.95059593107667495</v>
      </c>
      <c r="G219" s="112">
        <f t="shared" si="109"/>
        <v>0.93552491699166274</v>
      </c>
      <c r="H219" s="112">
        <f t="shared" si="109"/>
        <v>0.96028261992212993</v>
      </c>
      <c r="I219" s="112">
        <f t="shared" si="109"/>
        <v>0.94151599432127264</v>
      </c>
      <c r="J219" s="112">
        <f t="shared" si="109"/>
        <v>0.95582832543538121</v>
      </c>
      <c r="K219" s="112">
        <f t="shared" si="109"/>
        <v>0.93754357481779171</v>
      </c>
      <c r="L219" s="112">
        <f t="shared" si="109"/>
        <v>0.93797500692341962</v>
      </c>
      <c r="M219" s="112">
        <f t="shared" si="109"/>
        <v>0.9376599584140749</v>
      </c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  <c r="AS219" s="105"/>
      <c r="AT219" s="105"/>
      <c r="AU219" s="105"/>
      <c r="AV219" s="105"/>
      <c r="AW219" s="105"/>
      <c r="AX219" s="105"/>
      <c r="AY219" s="105"/>
      <c r="AZ219" s="105"/>
      <c r="BA219" s="105"/>
      <c r="BC219" s="109"/>
      <c r="BD219" s="105"/>
      <c r="BE219" s="105"/>
      <c r="BF219" s="105"/>
      <c r="BG219" s="105"/>
      <c r="BH219" s="105"/>
      <c r="BI219" s="105"/>
      <c r="BJ219" s="105"/>
      <c r="BK219" s="18"/>
    </row>
    <row r="220" spans="1:63" s="17" customFormat="1">
      <c r="A220" s="3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  <c r="BA220" s="105"/>
      <c r="BC220" s="109"/>
      <c r="BD220" s="105"/>
      <c r="BE220" s="105"/>
      <c r="BF220" s="105"/>
      <c r="BG220" s="105"/>
      <c r="BH220" s="105"/>
      <c r="BI220" s="105"/>
      <c r="BJ220" s="105"/>
      <c r="BK220" s="18"/>
    </row>
    <row r="221" spans="1:63">
      <c r="A221" s="5" t="s">
        <v>66</v>
      </c>
      <c r="C221" s="3" t="s">
        <v>163</v>
      </c>
      <c r="D221" s="103">
        <f t="shared" ref="D221:M221" si="110">$N221*D122/$N122*D225/$N225</f>
        <v>1.8083847361537315</v>
      </c>
      <c r="E221" s="103">
        <f t="shared" si="110"/>
        <v>1.9236003841635263</v>
      </c>
      <c r="F221" s="103">
        <f t="shared" si="110"/>
        <v>2.0248425096458171</v>
      </c>
      <c r="G221" s="103">
        <f t="shared" si="110"/>
        <v>2.175817609049234</v>
      </c>
      <c r="H221" s="103">
        <f t="shared" si="110"/>
        <v>2.5240419095307973</v>
      </c>
      <c r="I221" s="103">
        <f t="shared" si="110"/>
        <v>2.6322854222202272</v>
      </c>
      <c r="J221" s="103">
        <f t="shared" si="110"/>
        <v>2.8226179146286756</v>
      </c>
      <c r="K221" s="103">
        <f t="shared" si="110"/>
        <v>2.9166597476124405</v>
      </c>
      <c r="L221" s="103">
        <f t="shared" si="110"/>
        <v>3.127554476042854</v>
      </c>
      <c r="M221" s="103">
        <f t="shared" si="110"/>
        <v>3.2619592796970376</v>
      </c>
      <c r="N221" s="101">
        <v>3.4654343224851569</v>
      </c>
      <c r="O221" s="101">
        <v>3.5876839640058305</v>
      </c>
      <c r="P221" s="101">
        <v>3.6310914698703018</v>
      </c>
      <c r="Q221" s="101">
        <v>3.9397828409264499</v>
      </c>
      <c r="R221" s="101">
        <v>3.8744060323636162</v>
      </c>
      <c r="S221" s="101">
        <v>3.820722070042712</v>
      </c>
      <c r="T221" s="101">
        <v>3.9779915717782677</v>
      </c>
      <c r="U221" s="101">
        <v>4.0558612992876224</v>
      </c>
      <c r="V221" s="101">
        <v>4.1878568954477888</v>
      </c>
      <c r="W221" s="101">
        <v>4.3367333291442183</v>
      </c>
      <c r="X221" s="101">
        <v>4.1171788668012672</v>
      </c>
      <c r="Y221" s="101">
        <v>3.851977420256413</v>
      </c>
      <c r="Z221" s="101">
        <v>3.9488598602292146</v>
      </c>
      <c r="AA221" s="101">
        <v>4.2607580881740006</v>
      </c>
      <c r="AB221" s="101">
        <v>4.6709906079172896</v>
      </c>
      <c r="AC221" s="101">
        <v>4.9760916973114346</v>
      </c>
      <c r="AD221" s="101">
        <v>5.5367266017358521</v>
      </c>
      <c r="AE221" s="101">
        <v>5.8934758974056685</v>
      </c>
      <c r="AF221" s="101">
        <v>6.4311889704320713</v>
      </c>
      <c r="AG221" s="101">
        <v>6.4202936010354144</v>
      </c>
      <c r="AH221" s="101">
        <v>6.3714736925397775</v>
      </c>
      <c r="AI221" s="101">
        <v>6.0573308759892104</v>
      </c>
      <c r="AJ221" s="101">
        <v>6.0316525248792736</v>
      </c>
      <c r="AK221" s="101">
        <v>6.1187087092200292</v>
      </c>
      <c r="AL221" s="101">
        <v>6.3139031486549602</v>
      </c>
      <c r="AM221" s="101">
        <v>6.2168457355154763</v>
      </c>
      <c r="AN221" s="101">
        <v>6.4002843586638001</v>
      </c>
      <c r="AO221" s="101">
        <v>6.4185338229785085</v>
      </c>
      <c r="AP221" s="101">
        <v>6.3512967693779556</v>
      </c>
      <c r="AQ221" s="101">
        <v>6.2401798932595511</v>
      </c>
      <c r="AR221" s="101">
        <v>6.1443898556809264</v>
      </c>
      <c r="AS221" s="101">
        <v>6.1377790844196625</v>
      </c>
      <c r="AT221" s="101">
        <v>6.2918209631176545</v>
      </c>
      <c r="AU221" s="101">
        <v>6.3602688130871874</v>
      </c>
      <c r="AV221" s="101">
        <v>6.4766670470421701</v>
      </c>
      <c r="AW221" s="101">
        <v>6.5521888614432555</v>
      </c>
      <c r="AX221" s="101">
        <v>6.5625296568268663</v>
      </c>
      <c r="AY221" s="101">
        <v>6.6216528218792767</v>
      </c>
      <c r="AZ221" s="101">
        <v>6.1571927166429496</v>
      </c>
      <c r="BA221" s="101">
        <v>5.663641479725765</v>
      </c>
      <c r="BB221" s="101">
        <v>5.8278264705435561</v>
      </c>
      <c r="BC221" s="102">
        <v>5.678189373432776</v>
      </c>
      <c r="BD221" s="62">
        <v>5.6874964653312645</v>
      </c>
      <c r="BE221" s="62">
        <v>5.7085540777007298</v>
      </c>
      <c r="BF221" s="62">
        <v>5.8634155039155207</v>
      </c>
      <c r="BG221" s="62">
        <v>6.1748592825857607</v>
      </c>
      <c r="BH221" s="62">
        <v>6.3897468691337531</v>
      </c>
      <c r="BI221" s="62">
        <v>6.4627457455958783</v>
      </c>
      <c r="BJ221" s="62">
        <v>6.4446939360363258</v>
      </c>
      <c r="BK221" s="113">
        <f t="array" ref="BK221">TREND(AZ221:BJ221,AZ208:BJ208,BK208)</f>
        <v>6.4137934407735884</v>
      </c>
    </row>
    <row r="222" spans="1:63">
      <c r="A222" s="5"/>
      <c r="C222" s="17" t="s">
        <v>164</v>
      </c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1">
        <f t="shared" ref="N222:BB222" si="111">N221/N130</f>
        <v>0.19759462669759878</v>
      </c>
      <c r="O222" s="101">
        <f t="shared" si="111"/>
        <v>0.19908572116697543</v>
      </c>
      <c r="P222" s="101">
        <f t="shared" si="111"/>
        <v>0.19795947520364079</v>
      </c>
      <c r="Q222" s="101">
        <f t="shared" si="111"/>
        <v>0.20404924595641444</v>
      </c>
      <c r="R222" s="101">
        <f t="shared" si="111"/>
        <v>0.20758267248685283</v>
      </c>
      <c r="S222" s="101">
        <f t="shared" si="111"/>
        <v>0.2082977369643732</v>
      </c>
      <c r="T222" s="101">
        <f t="shared" si="111"/>
        <v>0.20775948168538669</v>
      </c>
      <c r="U222" s="101">
        <f t="shared" si="111"/>
        <v>0.21544736600678993</v>
      </c>
      <c r="V222" s="101">
        <f t="shared" si="111"/>
        <v>0.21510495690294723</v>
      </c>
      <c r="W222" s="101">
        <f t="shared" si="111"/>
        <v>0.22092600684389135</v>
      </c>
      <c r="X222" s="101">
        <f t="shared" si="111"/>
        <v>0.20974125395069065</v>
      </c>
      <c r="Y222" s="101">
        <f t="shared" si="111"/>
        <v>0.2046170536595121</v>
      </c>
      <c r="Z222" s="101">
        <f t="shared" si="111"/>
        <v>0.2152835399686639</v>
      </c>
      <c r="AA222" s="101">
        <f t="shared" si="111"/>
        <v>0.22633148412901791</v>
      </c>
      <c r="AB222" s="101">
        <f t="shared" si="111"/>
        <v>0.23795406004734077</v>
      </c>
      <c r="AC222" s="101">
        <f t="shared" si="111"/>
        <v>0.25349681083411113</v>
      </c>
      <c r="AD222" s="101">
        <f t="shared" si="111"/>
        <v>0.27528783600924062</v>
      </c>
      <c r="AE222" s="101">
        <f t="shared" si="111"/>
        <v>0.26351216392529736</v>
      </c>
      <c r="AF222" s="101">
        <f t="shared" si="111"/>
        <v>0.27006823822216547</v>
      </c>
      <c r="AG222" s="101">
        <f t="shared" si="111"/>
        <v>0.252546734784378</v>
      </c>
      <c r="AH222" s="101">
        <f t="shared" si="111"/>
        <v>0.25547720253171785</v>
      </c>
      <c r="AI222" s="101">
        <f t="shared" si="111"/>
        <v>0.24767471116373405</v>
      </c>
      <c r="AJ222" s="101">
        <f t="shared" si="111"/>
        <v>0.25329029802291475</v>
      </c>
      <c r="AK222" s="101">
        <f t="shared" si="111"/>
        <v>0.25184120403936588</v>
      </c>
      <c r="AL222" s="101">
        <f t="shared" si="111"/>
        <v>0.25481274763929196</v>
      </c>
      <c r="AM222" s="101">
        <f t="shared" si="111"/>
        <v>0.24454397084105531</v>
      </c>
      <c r="AN222" s="101">
        <f t="shared" si="111"/>
        <v>0.24403696838198477</v>
      </c>
      <c r="AO222" s="101">
        <f t="shared" si="111"/>
        <v>0.23887094014501173</v>
      </c>
      <c r="AP222" s="101">
        <f t="shared" si="111"/>
        <v>0.22949747674338952</v>
      </c>
      <c r="AQ222" s="101">
        <f t="shared" si="111"/>
        <v>0.2216169721480796</v>
      </c>
      <c r="AR222" s="101">
        <f t="shared" si="111"/>
        <v>0.21821503527234046</v>
      </c>
      <c r="AS222" s="101">
        <f t="shared" si="111"/>
        <v>0.21923301702419803</v>
      </c>
      <c r="AT222" s="101">
        <f t="shared" si="111"/>
        <v>0.22218137193900978</v>
      </c>
      <c r="AU222" s="101">
        <f t="shared" si="111"/>
        <v>0.22332953454218285</v>
      </c>
      <c r="AV222" s="101">
        <f t="shared" si="111"/>
        <v>0.22116894142980659</v>
      </c>
      <c r="AW222" s="101">
        <f t="shared" si="111"/>
        <v>0.22623399148688819</v>
      </c>
      <c r="AX222" s="101">
        <f t="shared" si="111"/>
        <v>0.22659103849274451</v>
      </c>
      <c r="AY222" s="101">
        <f t="shared" si="111"/>
        <v>0.22611999883482597</v>
      </c>
      <c r="AZ222" s="101">
        <f t="shared" si="111"/>
        <v>0.21498427792553648</v>
      </c>
      <c r="BA222" s="101">
        <f t="shared" si="111"/>
        <v>0.21594945150269629</v>
      </c>
      <c r="BB222" s="101">
        <f t="shared" si="111"/>
        <v>0.22085473747303871</v>
      </c>
      <c r="BC222" s="102"/>
      <c r="BD222" s="62"/>
      <c r="BE222" s="62"/>
      <c r="BF222" s="62"/>
      <c r="BG222" s="62"/>
      <c r="BH222" s="62"/>
      <c r="BI222" s="62"/>
      <c r="BJ222" s="62"/>
      <c r="BK222" s="113"/>
    </row>
    <row r="223" spans="1:63">
      <c r="A223" s="5"/>
      <c r="C223" s="17" t="s">
        <v>165</v>
      </c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1">
        <f>N222*100</f>
        <v>19.759462669759877</v>
      </c>
      <c r="O223" s="101">
        <f t="shared" ref="O223:BB223" si="112">O222*100</f>
        <v>19.908572116697542</v>
      </c>
      <c r="P223" s="101">
        <f t="shared" si="112"/>
        <v>19.795947520364081</v>
      </c>
      <c r="Q223" s="101">
        <f t="shared" si="112"/>
        <v>20.404924595641443</v>
      </c>
      <c r="R223" s="101">
        <f t="shared" si="112"/>
        <v>20.758267248685282</v>
      </c>
      <c r="S223" s="101">
        <f t="shared" si="112"/>
        <v>20.829773696437321</v>
      </c>
      <c r="T223" s="101">
        <f t="shared" si="112"/>
        <v>20.775948168538669</v>
      </c>
      <c r="U223" s="101">
        <f t="shared" si="112"/>
        <v>21.544736600678995</v>
      </c>
      <c r="V223" s="101">
        <f t="shared" si="112"/>
        <v>21.510495690294722</v>
      </c>
      <c r="W223" s="101">
        <f t="shared" si="112"/>
        <v>22.092600684389136</v>
      </c>
      <c r="X223" s="101">
        <f t="shared" si="112"/>
        <v>20.974125395069066</v>
      </c>
      <c r="Y223" s="101">
        <f t="shared" si="112"/>
        <v>20.461705365951211</v>
      </c>
      <c r="Z223" s="101">
        <f t="shared" si="112"/>
        <v>21.52835399686639</v>
      </c>
      <c r="AA223" s="101">
        <f t="shared" si="112"/>
        <v>22.633148412901789</v>
      </c>
      <c r="AB223" s="101">
        <f t="shared" si="112"/>
        <v>23.795406004734076</v>
      </c>
      <c r="AC223" s="101">
        <f t="shared" si="112"/>
        <v>25.349681083411113</v>
      </c>
      <c r="AD223" s="101">
        <f t="shared" si="112"/>
        <v>27.528783600924061</v>
      </c>
      <c r="AE223" s="101">
        <f t="shared" si="112"/>
        <v>26.351216392529736</v>
      </c>
      <c r="AF223" s="101">
        <f t="shared" si="112"/>
        <v>27.006823822216546</v>
      </c>
      <c r="AG223" s="101">
        <f t="shared" si="112"/>
        <v>25.254673478437802</v>
      </c>
      <c r="AH223" s="101">
        <f t="shared" si="112"/>
        <v>25.547720253171786</v>
      </c>
      <c r="AI223" s="101">
        <f t="shared" si="112"/>
        <v>24.767471116373404</v>
      </c>
      <c r="AJ223" s="101">
        <f t="shared" si="112"/>
        <v>25.329029802291476</v>
      </c>
      <c r="AK223" s="101">
        <f t="shared" si="112"/>
        <v>25.184120403936589</v>
      </c>
      <c r="AL223" s="101">
        <f t="shared" si="112"/>
        <v>25.481274763929196</v>
      </c>
      <c r="AM223" s="101">
        <f t="shared" si="112"/>
        <v>24.45439708410553</v>
      </c>
      <c r="AN223" s="101">
        <f t="shared" si="112"/>
        <v>24.403696838198478</v>
      </c>
      <c r="AO223" s="101">
        <f t="shared" si="112"/>
        <v>23.887094014501173</v>
      </c>
      <c r="AP223" s="101">
        <f t="shared" si="112"/>
        <v>22.949747674338951</v>
      </c>
      <c r="AQ223" s="101">
        <f t="shared" si="112"/>
        <v>22.161697214807958</v>
      </c>
      <c r="AR223" s="101">
        <f t="shared" si="112"/>
        <v>21.821503527234047</v>
      </c>
      <c r="AS223" s="101">
        <f t="shared" si="112"/>
        <v>21.923301702419803</v>
      </c>
      <c r="AT223" s="101">
        <f t="shared" si="112"/>
        <v>22.218137193900979</v>
      </c>
      <c r="AU223" s="101">
        <f t="shared" si="112"/>
        <v>22.332953454218284</v>
      </c>
      <c r="AV223" s="101">
        <f t="shared" si="112"/>
        <v>22.116894142980659</v>
      </c>
      <c r="AW223" s="101">
        <f t="shared" si="112"/>
        <v>22.623399148688819</v>
      </c>
      <c r="AX223" s="101">
        <f t="shared" si="112"/>
        <v>22.659103849274452</v>
      </c>
      <c r="AY223" s="101">
        <f t="shared" si="112"/>
        <v>22.611999883482596</v>
      </c>
      <c r="AZ223" s="101">
        <f t="shared" si="112"/>
        <v>21.498427792553649</v>
      </c>
      <c r="BA223" s="101">
        <f t="shared" si="112"/>
        <v>21.594945150269631</v>
      </c>
      <c r="BB223" s="101">
        <f t="shared" si="112"/>
        <v>22.085473747303872</v>
      </c>
      <c r="BC223" s="102"/>
      <c r="BD223" s="62"/>
      <c r="BE223" s="62"/>
      <c r="BF223" s="62"/>
      <c r="BG223" s="62"/>
      <c r="BH223" s="62"/>
      <c r="BI223" s="62"/>
      <c r="BJ223" s="62"/>
      <c r="BK223" s="113"/>
    </row>
    <row r="224" spans="1:63" s="17" customFormat="1">
      <c r="A224" s="3"/>
      <c r="C224" s="17" t="s">
        <v>166</v>
      </c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05">
        <f t="shared" ref="N224:AS224" si="113">N130/N221</f>
        <v>5.0608663641973033</v>
      </c>
      <c r="O224" s="105">
        <f t="shared" si="113"/>
        <v>5.0229619388991171</v>
      </c>
      <c r="P224" s="105">
        <f t="shared" si="113"/>
        <v>5.0515389524613594</v>
      </c>
      <c r="Q224" s="105">
        <f t="shared" si="113"/>
        <v>4.9007777280078901</v>
      </c>
      <c r="R224" s="105">
        <f t="shared" si="113"/>
        <v>4.817357768931001</v>
      </c>
      <c r="S224" s="105">
        <f t="shared" si="113"/>
        <v>4.800820280496076</v>
      </c>
      <c r="T224" s="105">
        <f t="shared" si="113"/>
        <v>4.8132580611378071</v>
      </c>
      <c r="U224" s="105">
        <f t="shared" si="113"/>
        <v>4.6415048767339515</v>
      </c>
      <c r="V224" s="105">
        <f t="shared" si="113"/>
        <v>4.6488933328077042</v>
      </c>
      <c r="W224" s="105">
        <f t="shared" si="113"/>
        <v>4.5264023655965984</v>
      </c>
      <c r="X224" s="105">
        <f t="shared" si="113"/>
        <v>4.7677792573658211</v>
      </c>
      <c r="Y224" s="105">
        <f t="shared" si="113"/>
        <v>4.8871781804855079</v>
      </c>
      <c r="Z224" s="105">
        <f t="shared" si="113"/>
        <v>4.6450369598416925</v>
      </c>
      <c r="AA224" s="105">
        <f t="shared" si="113"/>
        <v>4.4182982489080498</v>
      </c>
      <c r="AB224" s="105">
        <f t="shared" si="113"/>
        <v>4.2024918583068125</v>
      </c>
      <c r="AC224" s="105">
        <f t="shared" si="113"/>
        <v>3.9448228035279</v>
      </c>
      <c r="AD224" s="105">
        <f t="shared" si="113"/>
        <v>3.6325615199591779</v>
      </c>
      <c r="AE224" s="105">
        <f t="shared" si="113"/>
        <v>3.7948912304613325</v>
      </c>
      <c r="AF224" s="105">
        <f t="shared" si="113"/>
        <v>3.7027678877860968</v>
      </c>
      <c r="AG224" s="105">
        <f t="shared" si="113"/>
        <v>3.9596631524608328</v>
      </c>
      <c r="AH224" s="105">
        <f t="shared" si="113"/>
        <v>3.9142435806022595</v>
      </c>
      <c r="AI224" s="105">
        <f t="shared" si="113"/>
        <v>4.0375539161885401</v>
      </c>
      <c r="AJ224" s="105">
        <f t="shared" si="113"/>
        <v>3.9480390990322562</v>
      </c>
      <c r="AK224" s="105">
        <f t="shared" si="113"/>
        <v>3.9707561112346323</v>
      </c>
      <c r="AL224" s="105">
        <f t="shared" si="113"/>
        <v>3.9244504416065586</v>
      </c>
      <c r="AM224" s="105">
        <f t="shared" si="113"/>
        <v>4.0892441410872635</v>
      </c>
      <c r="AN224" s="105">
        <f t="shared" si="113"/>
        <v>4.0977398081536807</v>
      </c>
      <c r="AO224" s="105">
        <f t="shared" si="113"/>
        <v>4.186361050837446</v>
      </c>
      <c r="AP224" s="105">
        <f t="shared" si="113"/>
        <v>4.357346382148422</v>
      </c>
      <c r="AQ224" s="105">
        <f t="shared" si="113"/>
        <v>4.5122897867759963</v>
      </c>
      <c r="AR224" s="105">
        <f t="shared" si="113"/>
        <v>4.5826356499769272</v>
      </c>
      <c r="AS224" s="105">
        <f t="shared" si="113"/>
        <v>4.5613567407578213</v>
      </c>
      <c r="AT224" s="105">
        <f t="shared" ref="AT224:BJ224" si="114">AT130/AT221</f>
        <v>4.5008273703274568</v>
      </c>
      <c r="AU224" s="105">
        <f t="shared" si="114"/>
        <v>4.4776881035907881</v>
      </c>
      <c r="AV224" s="105">
        <f t="shared" si="114"/>
        <v>4.5214305116045175</v>
      </c>
      <c r="AW224" s="105">
        <f t="shared" si="114"/>
        <v>4.420202257970403</v>
      </c>
      <c r="AX224" s="105">
        <f t="shared" si="114"/>
        <v>4.4132371988401484</v>
      </c>
      <c r="AY224" s="105">
        <f t="shared" si="114"/>
        <v>4.4224305906284327</v>
      </c>
      <c r="AZ224" s="105">
        <f t="shared" si="114"/>
        <v>4.6515029361652545</v>
      </c>
      <c r="BA224" s="105">
        <f t="shared" si="114"/>
        <v>4.6307133129602516</v>
      </c>
      <c r="BB224" s="105">
        <f t="shared" si="114"/>
        <v>4.5278630263572088</v>
      </c>
      <c r="BC224" s="105">
        <f t="shared" si="114"/>
        <v>4.5338396286061773</v>
      </c>
      <c r="BD224" s="105">
        <f t="shared" si="114"/>
        <v>4.4132598856108549</v>
      </c>
      <c r="BE224" s="105">
        <f t="shared" si="114"/>
        <v>4.4533518740422373</v>
      </c>
      <c r="BF224" s="105">
        <f t="shared" si="114"/>
        <v>4.4454976766687544</v>
      </c>
      <c r="BG224" s="105">
        <f t="shared" si="114"/>
        <v>4.3776220255306804</v>
      </c>
      <c r="BH224" s="105">
        <f t="shared" si="114"/>
        <v>4.280764255643855</v>
      </c>
      <c r="BI224" s="105">
        <f t="shared" si="114"/>
        <v>4.2822046680173589</v>
      </c>
      <c r="BJ224" s="105">
        <f t="shared" si="114"/>
        <v>4.3191655455277935</v>
      </c>
      <c r="BK224" s="18"/>
    </row>
    <row r="225" spans="1:63" s="17" customFormat="1">
      <c r="A225" s="3"/>
      <c r="B225" s="115">
        <v>0.95</v>
      </c>
      <c r="C225" s="17" t="s">
        <v>167</v>
      </c>
      <c r="D225" s="107">
        <f t="shared" ref="D225:L225" si="115">E225*$B225</f>
        <v>4.9117474622851178</v>
      </c>
      <c r="E225" s="107">
        <f t="shared" si="115"/>
        <v>5.1702604866159136</v>
      </c>
      <c r="F225" s="107">
        <f t="shared" si="115"/>
        <v>5.4423794595956991</v>
      </c>
      <c r="G225" s="107">
        <f t="shared" si="115"/>
        <v>5.728820483784947</v>
      </c>
      <c r="H225" s="107">
        <f t="shared" si="115"/>
        <v>6.0303373513525758</v>
      </c>
      <c r="I225" s="107">
        <f t="shared" si="115"/>
        <v>6.3477235277395536</v>
      </c>
      <c r="J225" s="107">
        <f t="shared" si="115"/>
        <v>6.6818142397258464</v>
      </c>
      <c r="K225" s="107">
        <f t="shared" si="115"/>
        <v>7.0334886733956283</v>
      </c>
      <c r="L225" s="107">
        <f t="shared" si="115"/>
        <v>7.4036722877848726</v>
      </c>
      <c r="M225" s="107">
        <f>N225*$B225</f>
        <v>7.7933392502998666</v>
      </c>
      <c r="N225" s="62">
        <f t="shared" ref="N225:AS225" si="116">(N122*1000000000/1.609)/(N221*1000000*$N$9)</f>
        <v>8.2035150003156492</v>
      </c>
      <c r="O225" s="62">
        <f t="shared" si="116"/>
        <v>8.1420730456906885</v>
      </c>
      <c r="P225" s="62">
        <f t="shared" si="116"/>
        <v>8.1883955411986786</v>
      </c>
      <c r="Q225" s="62">
        <f t="shared" si="116"/>
        <v>7.9440160462135063</v>
      </c>
      <c r="R225" s="62">
        <f t="shared" si="116"/>
        <v>7.8087947547654109</v>
      </c>
      <c r="S225" s="62">
        <f t="shared" si="116"/>
        <v>7.7819879741313258</v>
      </c>
      <c r="T225" s="62">
        <f t="shared" si="116"/>
        <v>7.8021492494392266</v>
      </c>
      <c r="U225" s="62">
        <f t="shared" si="116"/>
        <v>7.5237424069711629</v>
      </c>
      <c r="V225" s="62">
        <f t="shared" si="116"/>
        <v>7.5357188761897529</v>
      </c>
      <c r="W225" s="62">
        <f t="shared" si="116"/>
        <v>7.337164633772236</v>
      </c>
      <c r="X225" s="62">
        <f t="shared" si="116"/>
        <v>7.7284294508728673</v>
      </c>
      <c r="Y225" s="62">
        <f t="shared" si="116"/>
        <v>7.9219715810826701</v>
      </c>
      <c r="Z225" s="62">
        <f t="shared" si="116"/>
        <v>7.5294678094361815</v>
      </c>
      <c r="AA225" s="62">
        <f t="shared" si="116"/>
        <v>7.1619310514108827</v>
      </c>
      <c r="AB225" s="62">
        <f t="shared" si="116"/>
        <v>6.8121152619670875</v>
      </c>
      <c r="AC225" s="62">
        <f t="shared" si="116"/>
        <v>6.3944413295056757</v>
      </c>
      <c r="AD225" s="62">
        <f t="shared" si="116"/>
        <v>5.8882750055149966</v>
      </c>
      <c r="AE225" s="62">
        <f t="shared" si="116"/>
        <v>6.1514066749307581</v>
      </c>
      <c r="AF225" s="62">
        <f t="shared" si="116"/>
        <v>6.002077455557985</v>
      </c>
      <c r="AG225" s="62">
        <f t="shared" si="116"/>
        <v>6.4184970970996398</v>
      </c>
      <c r="AH225" s="62">
        <f t="shared" si="116"/>
        <v>6.3448733117166363</v>
      </c>
      <c r="AI225" s="62">
        <f t="shared" si="116"/>
        <v>6.5447557260859108</v>
      </c>
      <c r="AJ225" s="62">
        <f t="shared" si="116"/>
        <v>6.3996548495863665</v>
      </c>
      <c r="AK225" s="62">
        <f t="shared" si="116"/>
        <v>6.4364784558532566</v>
      </c>
      <c r="AL225" s="62">
        <f t="shared" si="116"/>
        <v>6.3614183321398716</v>
      </c>
      <c r="AM225" s="62">
        <f t="shared" si="116"/>
        <v>6.6285440549630019</v>
      </c>
      <c r="AN225" s="62">
        <f t="shared" si="116"/>
        <v>6.6423152805203642</v>
      </c>
      <c r="AO225" s="62">
        <f t="shared" si="116"/>
        <v>6.7859676991746154</v>
      </c>
      <c r="AP225" s="62">
        <f t="shared" si="116"/>
        <v>7.0631298744430033</v>
      </c>
      <c r="AQ225" s="62">
        <f t="shared" si="116"/>
        <v>7.314288560049568</v>
      </c>
      <c r="AR225" s="62">
        <f t="shared" si="116"/>
        <v>7.4283171279764986</v>
      </c>
      <c r="AS225" s="62">
        <f t="shared" si="116"/>
        <v>7.3938246441985829</v>
      </c>
      <c r="AT225" s="62">
        <f t="shared" ref="AT225:BJ225" si="117">(AT122*1000000000/1.609)/(AT221*1000000*$N$9)</f>
        <v>7.2957083213100757</v>
      </c>
      <c r="AU225" s="62">
        <f t="shared" si="117"/>
        <v>7.2582002529063221</v>
      </c>
      <c r="AV225" s="62">
        <f t="shared" si="117"/>
        <v>7.329105405199841</v>
      </c>
      <c r="AW225" s="62">
        <f t="shared" si="117"/>
        <v>7.1650173939024064</v>
      </c>
      <c r="AX225" s="62">
        <f t="shared" si="117"/>
        <v>7.1537272386322845</v>
      </c>
      <c r="AY225" s="62">
        <f t="shared" si="117"/>
        <v>7.1686294553698184</v>
      </c>
      <c r="AZ225" s="62">
        <f t="shared" si="117"/>
        <v>7.539948966207537</v>
      </c>
      <c r="BA225" s="62">
        <f t="shared" si="117"/>
        <v>7.5062496006167603</v>
      </c>
      <c r="BB225" s="62">
        <f t="shared" si="117"/>
        <v>7.3395323217524622</v>
      </c>
      <c r="BC225" s="62">
        <f t="shared" si="117"/>
        <v>7.3492202175932198</v>
      </c>
      <c r="BD225" s="62">
        <f t="shared" si="117"/>
        <v>7.1537640132179794</v>
      </c>
      <c r="BE225" s="62">
        <f t="shared" si="117"/>
        <v>7.2187519431139497</v>
      </c>
      <c r="BF225" s="62">
        <f t="shared" si="117"/>
        <v>7.2060205209952723</v>
      </c>
      <c r="BG225" s="62">
        <f t="shared" si="117"/>
        <v>7.0959960939116886</v>
      </c>
      <c r="BH225" s="62">
        <f t="shared" si="117"/>
        <v>6.9389925077698287</v>
      </c>
      <c r="BI225" s="62">
        <f t="shared" si="117"/>
        <v>6.9413273737122063</v>
      </c>
      <c r="BJ225" s="62">
        <f t="shared" si="117"/>
        <v>7.0012398652228889</v>
      </c>
      <c r="BK225" s="18"/>
    </row>
    <row r="226" spans="1:63" s="17" customFormat="1">
      <c r="A226" s="3"/>
      <c r="C226" s="17" t="s">
        <v>146</v>
      </c>
      <c r="D226" s="116">
        <f>D221/D241</f>
        <v>0.67732885678019306</v>
      </c>
      <c r="E226" s="116">
        <f t="shared" ref="E226:M226" si="118">E221/E241</f>
        <v>0.65575683690575504</v>
      </c>
      <c r="F226" s="116">
        <f t="shared" si="118"/>
        <v>0.64423735284261763</v>
      </c>
      <c r="G226" s="116">
        <f t="shared" si="118"/>
        <v>0.63681658936498386</v>
      </c>
      <c r="H226" s="116">
        <f t="shared" si="118"/>
        <v>0.67154064124436152</v>
      </c>
      <c r="I226" s="116">
        <f t="shared" si="118"/>
        <v>0.66232830515436014</v>
      </c>
      <c r="J226" s="116">
        <f t="shared" si="118"/>
        <v>0.67562513709499206</v>
      </c>
      <c r="K226" s="116">
        <f t="shared" si="118"/>
        <v>0.65821867271035628</v>
      </c>
      <c r="L226" s="116">
        <f t="shared" si="118"/>
        <v>0.66089299109418176</v>
      </c>
      <c r="M226" s="116">
        <f t="shared" si="118"/>
        <v>0.65856790575962132</v>
      </c>
      <c r="N226" s="9">
        <f>N221/N$241</f>
        <v>0.72116702696372859</v>
      </c>
      <c r="O226" s="9">
        <f t="shared" ref="O226:BJ226" si="119">O221/O$241</f>
        <v>0.72358215748980481</v>
      </c>
      <c r="P226" s="9">
        <f t="shared" si="119"/>
        <v>0.72316033029043902</v>
      </c>
      <c r="Q226" s="9">
        <f t="shared" si="119"/>
        <v>0.72896863421398395</v>
      </c>
      <c r="R226" s="9">
        <f t="shared" si="119"/>
        <v>0.73562981770216018</v>
      </c>
      <c r="S226" s="9">
        <f t="shared" si="119"/>
        <v>0.73785991264121964</v>
      </c>
      <c r="T226" s="9">
        <f t="shared" si="119"/>
        <v>0.74305185340073276</v>
      </c>
      <c r="U226" s="9">
        <f t="shared" si="119"/>
        <v>0.74207864009368707</v>
      </c>
      <c r="V226" s="9">
        <f t="shared" si="119"/>
        <v>0.74416947218011464</v>
      </c>
      <c r="W226" s="9">
        <f t="shared" si="119"/>
        <v>0.74649995581704287</v>
      </c>
      <c r="X226" s="9">
        <f t="shared" si="119"/>
        <v>0.73192913051313357</v>
      </c>
      <c r="Y226" s="9">
        <f t="shared" si="119"/>
        <v>0.72242052773792209</v>
      </c>
      <c r="Z226" s="9">
        <f t="shared" si="119"/>
        <v>0.71628554426899937</v>
      </c>
      <c r="AA226" s="9">
        <f t="shared" si="119"/>
        <v>0.71495417618770574</v>
      </c>
      <c r="AB226" s="9">
        <f t="shared" si="119"/>
        <v>0.71609310862440179</v>
      </c>
      <c r="AC226" s="9">
        <f t="shared" si="119"/>
        <v>0.72465656101380627</v>
      </c>
      <c r="AD226" s="9">
        <f t="shared" si="119"/>
        <v>0.72635483910550169</v>
      </c>
      <c r="AE226" s="9">
        <f t="shared" si="119"/>
        <v>0.71747582929416054</v>
      </c>
      <c r="AF226" s="9">
        <f t="shared" si="119"/>
        <v>0.70691488949473169</v>
      </c>
      <c r="AG226" s="9">
        <f t="shared" si="119"/>
        <v>0.65282536419335935</v>
      </c>
      <c r="AH226" s="9">
        <f t="shared" si="119"/>
        <v>0.61456056532521119</v>
      </c>
      <c r="AI226" s="9">
        <f t="shared" si="119"/>
        <v>0.5812867458731148</v>
      </c>
      <c r="AJ226" s="9">
        <f t="shared" si="119"/>
        <v>0.55560881795094219</v>
      </c>
      <c r="AK226" s="9">
        <f t="shared" si="119"/>
        <v>0.53096802268368171</v>
      </c>
      <c r="AL226" s="9">
        <f t="shared" si="119"/>
        <v>0.50040137418509556</v>
      </c>
      <c r="AM226" s="9">
        <f t="shared" si="119"/>
        <v>0.47262346691767693</v>
      </c>
      <c r="AN226" s="9">
        <f t="shared" si="119"/>
        <v>0.45524406705975518</v>
      </c>
      <c r="AO226" s="9">
        <f t="shared" si="119"/>
        <v>0.43761435155889661</v>
      </c>
      <c r="AP226" s="9">
        <f t="shared" si="119"/>
        <v>0.42823910642246615</v>
      </c>
      <c r="AQ226" s="9">
        <f t="shared" si="119"/>
        <v>0.41071891872806088</v>
      </c>
      <c r="AR226" s="9">
        <f t="shared" si="119"/>
        <v>0.40122476668317586</v>
      </c>
      <c r="AS226" s="9">
        <f t="shared" si="119"/>
        <v>0.38998438674534647</v>
      </c>
      <c r="AT226" s="9">
        <f t="shared" si="119"/>
        <v>0.37899380907659602</v>
      </c>
      <c r="AU226" s="9">
        <f t="shared" si="119"/>
        <v>0.36588870067206647</v>
      </c>
      <c r="AV226" s="9">
        <f t="shared" si="119"/>
        <v>0.35665561129664175</v>
      </c>
      <c r="AW226" s="9">
        <f t="shared" si="119"/>
        <v>0.34441627306457206</v>
      </c>
      <c r="AX226" s="9">
        <f t="shared" si="119"/>
        <v>0.33149283385199096</v>
      </c>
      <c r="AY226" s="9">
        <f t="shared" si="119"/>
        <v>0.3204824722599911</v>
      </c>
      <c r="AZ226" s="9">
        <f t="shared" si="119"/>
        <v>0.30580792752653602</v>
      </c>
      <c r="BA226" s="9">
        <f t="shared" si="119"/>
        <v>0.28645544376964738</v>
      </c>
      <c r="BB226" s="9">
        <f t="shared" si="119"/>
        <v>0.28602395463645286</v>
      </c>
      <c r="BC226" s="9">
        <f t="shared" si="119"/>
        <v>0.27538060799928665</v>
      </c>
      <c r="BD226" s="9">
        <f t="shared" si="119"/>
        <v>0.26845326430809341</v>
      </c>
      <c r="BE226" s="9">
        <f t="shared" si="119"/>
        <v>0.26466651725893842</v>
      </c>
      <c r="BF226" s="9">
        <f t="shared" si="119"/>
        <v>0.26303559613927113</v>
      </c>
      <c r="BG226" s="9">
        <f t="shared" si="119"/>
        <v>0.26548912760329313</v>
      </c>
      <c r="BH226" s="9">
        <f t="shared" si="119"/>
        <v>0.2638190771865897</v>
      </c>
      <c r="BI226" s="9">
        <f t="shared" si="119"/>
        <v>0.26426123043848387</v>
      </c>
      <c r="BJ226" s="9">
        <f t="shared" si="119"/>
        <v>0.26661368529762924</v>
      </c>
      <c r="BK226" s="18"/>
    </row>
    <row r="227" spans="1:63">
      <c r="BD227" s="62"/>
      <c r="BE227" s="62"/>
      <c r="BF227" s="62"/>
      <c r="BG227" s="62"/>
      <c r="BH227" s="62"/>
      <c r="BI227" s="62"/>
      <c r="BJ227" s="62"/>
    </row>
    <row r="228" spans="1:63">
      <c r="A228" s="5" t="s">
        <v>66</v>
      </c>
      <c r="C228" s="3" t="s">
        <v>168</v>
      </c>
      <c r="D228" s="103">
        <f t="shared" ref="D228:M228" si="120">$N228*D123/$N123*D230/$N230</f>
        <v>0.48125256524136528</v>
      </c>
      <c r="E228" s="103">
        <f t="shared" si="120"/>
        <v>0.46799676691245662</v>
      </c>
      <c r="F228" s="103">
        <f t="shared" si="120"/>
        <v>0.42324866480351919</v>
      </c>
      <c r="G228" s="103">
        <f t="shared" si="120"/>
        <v>0.37017742435118134</v>
      </c>
      <c r="H228" s="103">
        <f t="shared" si="120"/>
        <v>0.37198049140072897</v>
      </c>
      <c r="I228" s="103">
        <f t="shared" si="120"/>
        <v>0.33402719821767091</v>
      </c>
      <c r="J228" s="103">
        <f t="shared" si="120"/>
        <v>0.2956953526390162</v>
      </c>
      <c r="K228" s="103">
        <f t="shared" si="120"/>
        <v>0.25698216738179414</v>
      </c>
      <c r="L228" s="103">
        <f t="shared" si="120"/>
        <v>0.23402445454636409</v>
      </c>
      <c r="M228" s="103">
        <f t="shared" si="120"/>
        <v>0.21083699913653484</v>
      </c>
      <c r="N228" s="101">
        <v>0.20371533451343421</v>
      </c>
      <c r="O228" s="101">
        <v>0.19700621668503765</v>
      </c>
      <c r="P228" s="101">
        <v>0.183542170333166</v>
      </c>
      <c r="Q228" s="101">
        <v>0.19526892966783316</v>
      </c>
      <c r="R228" s="101">
        <v>0.21004227428874533</v>
      </c>
      <c r="S228" s="101">
        <v>0.24343938748407712</v>
      </c>
      <c r="T228" s="101">
        <v>0.30474292373500711</v>
      </c>
      <c r="U228" s="101">
        <v>0.30061071951723328</v>
      </c>
      <c r="V228" s="101">
        <v>0.30293297011823528</v>
      </c>
      <c r="W228" s="101">
        <v>0.32268903754231398</v>
      </c>
      <c r="X228" s="101">
        <v>0.37258263115460521</v>
      </c>
      <c r="Y228" s="101">
        <v>0.41261765703687664</v>
      </c>
      <c r="Z228" s="101">
        <v>0.42856046493323202</v>
      </c>
      <c r="AA228" s="101">
        <v>0.38775500298872123</v>
      </c>
      <c r="AB228" s="101">
        <v>0.37418397902078404</v>
      </c>
      <c r="AC228" s="101">
        <v>0.33433724631419554</v>
      </c>
      <c r="AD228" s="101">
        <v>0.32047663132016857</v>
      </c>
      <c r="AE228" s="101">
        <v>0.29422571247039037</v>
      </c>
      <c r="AF228" s="101">
        <v>0.2598068110944538</v>
      </c>
      <c r="AG228" s="101">
        <v>0.24097664990987702</v>
      </c>
      <c r="AH228" s="101">
        <v>0.23651343017304446</v>
      </c>
      <c r="AI228" s="101">
        <v>0.22879602755562473</v>
      </c>
      <c r="AJ228" s="101">
        <v>0.19512041851076095</v>
      </c>
      <c r="AK228" s="101">
        <v>0.16522952061439491</v>
      </c>
      <c r="AL228" s="101">
        <v>0.16121917754443646</v>
      </c>
      <c r="AM228" s="101">
        <v>0.1576532470024721</v>
      </c>
      <c r="AN228" s="101">
        <v>0.16380916052556463</v>
      </c>
      <c r="AO228" s="101">
        <v>0.1756122685563461</v>
      </c>
      <c r="AP228" s="101">
        <v>0.18055756515281296</v>
      </c>
      <c r="AQ228" s="101">
        <v>0.20000798384598845</v>
      </c>
      <c r="AR228" s="101">
        <v>0.19972636037911398</v>
      </c>
      <c r="AS228" s="101">
        <v>0.20441122955083277</v>
      </c>
      <c r="AT228" s="101">
        <v>0.2133220845592646</v>
      </c>
      <c r="AU228" s="101">
        <v>0.23232077768305892</v>
      </c>
      <c r="AV228" s="101">
        <v>0.21248589689331851</v>
      </c>
      <c r="AW228" s="101">
        <v>0.22229816753563159</v>
      </c>
      <c r="AX228" s="101">
        <v>0.20699644321525101</v>
      </c>
      <c r="AY228" s="101">
        <v>0.22074146094446251</v>
      </c>
      <c r="AZ228" s="101">
        <v>0.20210030729643652</v>
      </c>
      <c r="BA228" s="101">
        <v>0.19654742342602549</v>
      </c>
      <c r="BB228" s="101">
        <v>0.17342486358419118</v>
      </c>
      <c r="BC228" s="102">
        <v>0.17206251300141828</v>
      </c>
      <c r="BD228" s="62">
        <v>0.16674210484928542</v>
      </c>
      <c r="BE228" s="62">
        <v>0.15805949955114823</v>
      </c>
      <c r="BF228" s="62">
        <v>0.16247759940385742</v>
      </c>
      <c r="BG228" s="62">
        <v>0.16408026412782439</v>
      </c>
      <c r="BH228" s="62">
        <v>0.16556637457495221</v>
      </c>
      <c r="BI228" s="62">
        <v>0.16634753335368779</v>
      </c>
      <c r="BJ228" s="103">
        <v>0.16250380233639511</v>
      </c>
      <c r="BK228" s="113">
        <f t="array" ref="BK228">TREND(AZ228:BJ228,AZ184:BJ184,BK184)</f>
        <v>0.15203275930175408</v>
      </c>
    </row>
    <row r="229" spans="1:63" s="17" customFormat="1">
      <c r="A229" s="3"/>
      <c r="C229" s="17" t="s">
        <v>169</v>
      </c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05">
        <f t="shared" ref="N229:AS229" si="121">N131/N228</f>
        <v>19.745690767990428</v>
      </c>
      <c r="O229" s="105">
        <f t="shared" si="121"/>
        <v>19.601411899471714</v>
      </c>
      <c r="P229" s="105">
        <f t="shared" si="121"/>
        <v>20.162668847614061</v>
      </c>
      <c r="Q229" s="105">
        <f t="shared" si="121"/>
        <v>19.775803588255776</v>
      </c>
      <c r="R229" s="105">
        <f t="shared" si="121"/>
        <v>19.916942978102949</v>
      </c>
      <c r="S229" s="105">
        <f t="shared" si="121"/>
        <v>21.150233958491096</v>
      </c>
      <c r="T229" s="105">
        <f t="shared" si="121"/>
        <v>20.591454341550484</v>
      </c>
      <c r="U229" s="105">
        <f t="shared" si="121"/>
        <v>20.874505107727085</v>
      </c>
      <c r="V229" s="105">
        <f t="shared" si="121"/>
        <v>20.183342861668759</v>
      </c>
      <c r="W229" s="105">
        <f t="shared" si="121"/>
        <v>19.944898187488167</v>
      </c>
      <c r="X229" s="105">
        <f t="shared" si="121"/>
        <v>20.728824572595858</v>
      </c>
      <c r="Y229" s="105">
        <f t="shared" si="121"/>
        <v>21.447215961504764</v>
      </c>
      <c r="Z229" s="105">
        <f t="shared" si="121"/>
        <v>21.400247457331027</v>
      </c>
      <c r="AA229" s="105">
        <f t="shared" si="121"/>
        <v>21.577542354091477</v>
      </c>
      <c r="AB229" s="105">
        <f t="shared" si="121"/>
        <v>21.500118794645509</v>
      </c>
      <c r="AC229" s="105">
        <f t="shared" si="121"/>
        <v>22.137527546196534</v>
      </c>
      <c r="AD229" s="105">
        <f t="shared" si="121"/>
        <v>22.090846283663051</v>
      </c>
      <c r="AE229" s="105">
        <f t="shared" si="121"/>
        <v>22.968081012566422</v>
      </c>
      <c r="AF229" s="105">
        <f t="shared" si="121"/>
        <v>22.914333827205379</v>
      </c>
      <c r="AG229" s="105">
        <f t="shared" si="121"/>
        <v>24.704883241701957</v>
      </c>
      <c r="AH229" s="105">
        <f t="shared" si="121"/>
        <v>23.810487192544318</v>
      </c>
      <c r="AI229" s="105">
        <f t="shared" si="121"/>
        <v>23.910380168947608</v>
      </c>
      <c r="AJ229" s="105">
        <f t="shared" si="121"/>
        <v>23.089331369753783</v>
      </c>
      <c r="AK229" s="105">
        <f t="shared" si="121"/>
        <v>22.397329401182031</v>
      </c>
      <c r="AL229" s="105">
        <f t="shared" si="121"/>
        <v>22.954465196796981</v>
      </c>
      <c r="AM229" s="105">
        <f t="shared" si="121"/>
        <v>23.473668131567063</v>
      </c>
      <c r="AN229" s="105">
        <f t="shared" si="121"/>
        <v>22.591532659875</v>
      </c>
      <c r="AO229" s="105">
        <f t="shared" si="121"/>
        <v>22.905575066410353</v>
      </c>
      <c r="AP229" s="105">
        <f t="shared" si="121"/>
        <v>23.169342123435392</v>
      </c>
      <c r="AQ229" s="105">
        <f t="shared" si="121"/>
        <v>22.525100815321078</v>
      </c>
      <c r="AR229" s="105">
        <f t="shared" si="121"/>
        <v>22.556862256180793</v>
      </c>
      <c r="AS229" s="105">
        <f t="shared" si="121"/>
        <v>23.614162541885335</v>
      </c>
      <c r="AT229" s="105">
        <f t="shared" ref="AT229:BJ229" si="122">AT131/AT228</f>
        <v>23.382014151536541</v>
      </c>
      <c r="AU229" s="105">
        <f t="shared" si="122"/>
        <v>23.547614012652826</v>
      </c>
      <c r="AV229" s="105">
        <f t="shared" si="122"/>
        <v>24.231255228129456</v>
      </c>
      <c r="AW229" s="105">
        <f t="shared" si="122"/>
        <v>23.88548704140317</v>
      </c>
      <c r="AX229" s="105">
        <f t="shared" si="122"/>
        <v>24.873857347615765</v>
      </c>
      <c r="AY229" s="105">
        <f t="shared" si="122"/>
        <v>24.782838604916076</v>
      </c>
      <c r="AZ229" s="105">
        <f t="shared" si="122"/>
        <v>24.680318732439392</v>
      </c>
      <c r="BA229" s="105">
        <f t="shared" si="122"/>
        <v>26.196222317500148</v>
      </c>
      <c r="BB229" s="105">
        <f t="shared" si="122"/>
        <v>26.905599944351611</v>
      </c>
      <c r="BC229" s="105">
        <f t="shared" si="122"/>
        <v>27.118632168074509</v>
      </c>
      <c r="BD229" s="105">
        <f t="shared" si="122"/>
        <v>27.983933657414166</v>
      </c>
      <c r="BE229" s="105">
        <f t="shared" si="122"/>
        <v>28.503190335245314</v>
      </c>
      <c r="BF229" s="105">
        <f t="shared" si="122"/>
        <v>28.71842036760928</v>
      </c>
      <c r="BG229" s="105">
        <f t="shared" si="122"/>
        <v>28.437911316165003</v>
      </c>
      <c r="BH229" s="105">
        <f t="shared" si="122"/>
        <v>29.154470600640035</v>
      </c>
      <c r="BI229" s="105">
        <f t="shared" si="122"/>
        <v>29.017562825754933</v>
      </c>
      <c r="BJ229" s="105">
        <f t="shared" si="122"/>
        <v>29.703920342785249</v>
      </c>
      <c r="BK229" s="18"/>
    </row>
    <row r="230" spans="1:63" s="17" customFormat="1">
      <c r="A230" s="3"/>
      <c r="B230" s="106">
        <f>(N230/X230)^(1/10)</f>
        <v>0.9951527913661331</v>
      </c>
      <c r="C230" s="17" t="s">
        <v>170</v>
      </c>
      <c r="D230" s="107">
        <f t="shared" ref="D230:L230" si="123">E230*$B230</f>
        <v>44.228438533082766</v>
      </c>
      <c r="E230" s="107">
        <f t="shared" si="123"/>
        <v>44.443867230042663</v>
      </c>
      <c r="F230" s="107">
        <f t="shared" si="123"/>
        <v>44.660345241086738</v>
      </c>
      <c r="G230" s="107">
        <f t="shared" si="123"/>
        <v>44.877877677233442</v>
      </c>
      <c r="H230" s="107">
        <f t="shared" si="123"/>
        <v>45.09646967439609</v>
      </c>
      <c r="I230" s="107">
        <f t="shared" si="123"/>
        <v>45.316126393504085</v>
      </c>
      <c r="J230" s="107">
        <f t="shared" si="123"/>
        <v>45.536853020624783</v>
      </c>
      <c r="K230" s="107">
        <f t="shared" si="123"/>
        <v>45.758654767085936</v>
      </c>
      <c r="L230" s="107">
        <f t="shared" si="123"/>
        <v>45.981536869598727</v>
      </c>
      <c r="M230" s="107">
        <f>N230*$B230</f>
        <v>46.205504590381402</v>
      </c>
      <c r="N230" s="62">
        <f t="shared" ref="N230:AS230" si="124">(N131*1000000000/1.609)/(N228*1000000*$N$5)</f>
        <v>46.43056321728352</v>
      </c>
      <c r="O230" s="62">
        <f t="shared" si="124"/>
        <v>46.091301896705353</v>
      </c>
      <c r="P230" s="62">
        <f t="shared" si="124"/>
        <v>47.411057002670447</v>
      </c>
      <c r="Q230" s="62">
        <f t="shared" si="124"/>
        <v>46.501371335439977</v>
      </c>
      <c r="R230" s="62">
        <f t="shared" si="124"/>
        <v>46.833250399066934</v>
      </c>
      <c r="S230" s="62">
        <f t="shared" si="124"/>
        <v>49.733244909415745</v>
      </c>
      <c r="T230" s="62">
        <f t="shared" si="124"/>
        <v>48.419315068533749</v>
      </c>
      <c r="U230" s="62">
        <f t="shared" si="124"/>
        <v>49.084888466146566</v>
      </c>
      <c r="V230" s="62">
        <f t="shared" si="124"/>
        <v>47.459670450931142</v>
      </c>
      <c r="W230" s="62">
        <f t="shared" si="124"/>
        <v>46.898985051344432</v>
      </c>
      <c r="X230" s="62">
        <f t="shared" si="124"/>
        <v>48.742331227941293</v>
      </c>
      <c r="Y230" s="62">
        <f t="shared" si="124"/>
        <v>50.43157660250975</v>
      </c>
      <c r="Z230" s="62">
        <f t="shared" si="124"/>
        <v>50.32113356317101</v>
      </c>
      <c r="AA230" s="62">
        <f t="shared" si="124"/>
        <v>50.738029685411639</v>
      </c>
      <c r="AB230" s="62">
        <f t="shared" si="124"/>
        <v>50.555973787058839</v>
      </c>
      <c r="AC230" s="62">
        <f t="shared" si="124"/>
        <v>52.054794349068061</v>
      </c>
      <c r="AD230" s="62">
        <f t="shared" si="124"/>
        <v>51.945026737664101</v>
      </c>
      <c r="AE230" s="62">
        <f t="shared" si="124"/>
        <v>54.007780733729518</v>
      </c>
      <c r="AF230" s="62">
        <f t="shared" si="124"/>
        <v>53.881398116024286</v>
      </c>
      <c r="AG230" s="62">
        <f t="shared" si="124"/>
        <v>58.091745515884554</v>
      </c>
      <c r="AH230" s="62">
        <f t="shared" si="124"/>
        <v>55.988637916882638</v>
      </c>
      <c r="AI230" s="62">
        <f t="shared" si="124"/>
        <v>56.22352902352219</v>
      </c>
      <c r="AJ230" s="62">
        <f t="shared" si="124"/>
        <v>54.292892176051524</v>
      </c>
      <c r="AK230" s="62">
        <f t="shared" si="124"/>
        <v>52.665699614100689</v>
      </c>
      <c r="AL230" s="62">
        <f t="shared" si="124"/>
        <v>53.975764128067759</v>
      </c>
      <c r="AM230" s="62">
        <f t="shared" si="124"/>
        <v>55.196632264244641</v>
      </c>
      <c r="AN230" s="62">
        <f t="shared" si="124"/>
        <v>53.122354526086028</v>
      </c>
      <c r="AO230" s="62">
        <f t="shared" si="124"/>
        <v>53.860802523721283</v>
      </c>
      <c r="AP230" s="62">
        <f t="shared" si="124"/>
        <v>54.48103167446294</v>
      </c>
      <c r="AQ230" s="62">
        <f t="shared" si="124"/>
        <v>52.966144850038546</v>
      </c>
      <c r="AR230" s="62">
        <f t="shared" si="124"/>
        <v>53.040829580243049</v>
      </c>
      <c r="AS230" s="62">
        <f t="shared" si="124"/>
        <v>55.526994705174396</v>
      </c>
      <c r="AT230" s="62">
        <f t="shared" ref="AT230:BJ230" si="125">(AT131*1000000000/1.609)/(AT228*1000000*$N$5)</f>
        <v>54.981114561474712</v>
      </c>
      <c r="AU230" s="62">
        <f t="shared" si="125"/>
        <v>55.370510653547484</v>
      </c>
      <c r="AV230" s="62">
        <f t="shared" si="125"/>
        <v>56.978043509505341</v>
      </c>
      <c r="AW230" s="62">
        <f t="shared" si="125"/>
        <v>56.164994635148112</v>
      </c>
      <c r="AX230" s="62">
        <f t="shared" si="125"/>
        <v>58.489075900468166</v>
      </c>
      <c r="AY230" s="62">
        <f t="shared" si="125"/>
        <v>58.275051912321537</v>
      </c>
      <c r="AZ230" s="62">
        <f t="shared" si="125"/>
        <v>58.033983849624384</v>
      </c>
      <c r="BA230" s="62">
        <f t="shared" si="125"/>
        <v>61.598521452510866</v>
      </c>
      <c r="BB230" s="62">
        <f t="shared" si="125"/>
        <v>63.266571617757386</v>
      </c>
      <c r="BC230" s="62">
        <f t="shared" si="125"/>
        <v>63.767501478713122</v>
      </c>
      <c r="BD230" s="62">
        <f t="shared" si="125"/>
        <v>65.802195325328213</v>
      </c>
      <c r="BE230" s="62">
        <f t="shared" si="125"/>
        <v>67.023189834424812</v>
      </c>
      <c r="BF230" s="62">
        <f t="shared" si="125"/>
        <v>67.529287683386016</v>
      </c>
      <c r="BG230" s="62">
        <f t="shared" si="125"/>
        <v>66.869690944070271</v>
      </c>
      <c r="BH230" s="62">
        <f t="shared" si="125"/>
        <v>68.554628257617367</v>
      </c>
      <c r="BI230" s="62">
        <f t="shared" si="125"/>
        <v>68.23269953041148</v>
      </c>
      <c r="BJ230" s="62">
        <f t="shared" si="125"/>
        <v>69.846619572945244</v>
      </c>
      <c r="BK230" s="18"/>
    </row>
    <row r="231" spans="1:63" s="17" customFormat="1">
      <c r="A231" s="3"/>
      <c r="C231" s="17" t="s">
        <v>145</v>
      </c>
      <c r="D231" s="116">
        <f>D228/D240</f>
        <v>5.9111102147046922E-2</v>
      </c>
      <c r="E231" s="116">
        <f t="shared" ref="E231:M231" si="126">E228/E240</f>
        <v>5.3828140846266644E-2</v>
      </c>
      <c r="F231" s="116">
        <f t="shared" si="126"/>
        <v>4.6276034635194911E-2</v>
      </c>
      <c r="G231" s="116">
        <f t="shared" si="126"/>
        <v>3.8332858477181583E-2</v>
      </c>
      <c r="H231" s="116">
        <f t="shared" si="126"/>
        <v>3.4797124128854988E-2</v>
      </c>
      <c r="I231" s="116">
        <f t="shared" si="126"/>
        <v>2.9130425413273524E-2</v>
      </c>
      <c r="J231" s="116">
        <f t="shared" si="126"/>
        <v>2.4458238009693139E-2</v>
      </c>
      <c r="K231" s="116">
        <f t="shared" si="126"/>
        <v>1.9916126934346166E-2</v>
      </c>
      <c r="L231" s="116">
        <f t="shared" si="126"/>
        <v>1.711249599718127E-2</v>
      </c>
      <c r="M231" s="116">
        <f t="shared" si="126"/>
        <v>1.4922715184102514E-2</v>
      </c>
      <c r="N231" s="9">
        <f>N228/N$240</f>
        <v>1.4540494437851884E-2</v>
      </c>
      <c r="O231" s="9">
        <f t="shared" ref="O231:BJ231" si="127">O228/O$240</f>
        <v>1.3366381827831291E-2</v>
      </c>
      <c r="P231" s="9">
        <f t="shared" si="127"/>
        <v>1.1713105407023354E-2</v>
      </c>
      <c r="Q231" s="9">
        <f t="shared" si="127"/>
        <v>1.1703791408804736E-2</v>
      </c>
      <c r="R231" s="9">
        <f t="shared" si="127"/>
        <v>1.2931954815903127E-2</v>
      </c>
      <c r="S231" s="9">
        <f t="shared" si="127"/>
        <v>1.5318407806705568E-2</v>
      </c>
      <c r="T231" s="9">
        <f t="shared" si="127"/>
        <v>1.8311067300738958E-2</v>
      </c>
      <c r="U231" s="9">
        <f t="shared" si="127"/>
        <v>1.7583863710755161E-2</v>
      </c>
      <c r="V231" s="9">
        <f t="shared" si="127"/>
        <v>1.6731381270488642E-2</v>
      </c>
      <c r="W231" s="9">
        <f t="shared" si="127"/>
        <v>1.7497443712126106E-2</v>
      </c>
      <c r="X231" s="9">
        <f t="shared" si="127"/>
        <v>1.9699777236537108E-2</v>
      </c>
      <c r="Y231" s="9">
        <f t="shared" si="127"/>
        <v>2.2312776920056697E-2</v>
      </c>
      <c r="Z231" s="9">
        <f t="shared" si="127"/>
        <v>2.2532227453913905E-2</v>
      </c>
      <c r="AA231" s="9">
        <f t="shared" si="127"/>
        <v>2.0055227295953701E-2</v>
      </c>
      <c r="AB231" s="9">
        <f t="shared" si="127"/>
        <v>1.8720728601566514E-2</v>
      </c>
      <c r="AC231" s="9">
        <f t="shared" si="127"/>
        <v>1.6585034171572217E-2</v>
      </c>
      <c r="AD231" s="9">
        <f t="shared" si="127"/>
        <v>1.5101072781071444E-2</v>
      </c>
      <c r="AE231" s="9">
        <f t="shared" si="127"/>
        <v>1.3418005373636984E-2</v>
      </c>
      <c r="AF231" s="9">
        <f t="shared" si="127"/>
        <v>1.1305614934388196E-2</v>
      </c>
      <c r="AG231" s="9">
        <f t="shared" si="127"/>
        <v>1.0190456781626315E-2</v>
      </c>
      <c r="AH231" s="9">
        <f t="shared" si="127"/>
        <v>9.8410633098808681E-3</v>
      </c>
      <c r="AI231" s="9">
        <f t="shared" si="127"/>
        <v>9.6342957274321815E-3</v>
      </c>
      <c r="AJ231" s="9">
        <f t="shared" si="127"/>
        <v>8.2094086002820615E-3</v>
      </c>
      <c r="AK231" s="9">
        <f t="shared" si="127"/>
        <v>7.0357342470112137E-3</v>
      </c>
      <c r="AL231" s="9">
        <f t="shared" si="127"/>
        <v>7.1492027315629963E-3</v>
      </c>
      <c r="AM231" s="9">
        <f t="shared" si="127"/>
        <v>7.2803226610223719E-3</v>
      </c>
      <c r="AN231" s="9">
        <f t="shared" si="127"/>
        <v>7.4096485904656569E-3</v>
      </c>
      <c r="AO231" s="9">
        <f t="shared" si="127"/>
        <v>8.0017736074022398E-3</v>
      </c>
      <c r="AP231" s="9">
        <f t="shared" si="127"/>
        <v>8.3821383739626412E-3</v>
      </c>
      <c r="AQ231" s="9">
        <f t="shared" si="127"/>
        <v>9.3128466165864621E-3</v>
      </c>
      <c r="AR231" s="9">
        <f t="shared" si="127"/>
        <v>9.4705027702437373E-3</v>
      </c>
      <c r="AS231" s="9">
        <f t="shared" si="127"/>
        <v>9.9118027890171476E-3</v>
      </c>
      <c r="AT231" s="9">
        <f t="shared" si="127"/>
        <v>1.0412764828072726E-2</v>
      </c>
      <c r="AU231" s="9">
        <f t="shared" si="127"/>
        <v>1.1858031205587545E-2</v>
      </c>
      <c r="AV231" s="9">
        <f t="shared" si="127"/>
        <v>1.1103082322471725E-2</v>
      </c>
      <c r="AW231" s="9">
        <f t="shared" si="127"/>
        <v>1.2012733109810712E-2</v>
      </c>
      <c r="AX231" s="9">
        <f t="shared" si="127"/>
        <v>1.167171722270881E-2</v>
      </c>
      <c r="AY231" s="9">
        <f t="shared" si="127"/>
        <v>1.2798379778931701E-2</v>
      </c>
      <c r="AZ231" s="9">
        <f t="shared" si="127"/>
        <v>1.2490936838077076E-2</v>
      </c>
      <c r="BA231" s="9">
        <f t="shared" si="127"/>
        <v>1.2874135670446509E-2</v>
      </c>
      <c r="BB231" s="9">
        <f t="shared" si="127"/>
        <v>1.2182225859935659E-2</v>
      </c>
      <c r="BC231" s="9">
        <f t="shared" si="127"/>
        <v>1.2722022286882717E-2</v>
      </c>
      <c r="BD231" s="9">
        <f t="shared" si="127"/>
        <v>1.295051178262319E-2</v>
      </c>
      <c r="BE231" s="9">
        <f t="shared" si="127"/>
        <v>1.2940104971456427E-2</v>
      </c>
      <c r="BF231" s="9">
        <f t="shared" si="127"/>
        <v>1.3600777361050757E-2</v>
      </c>
      <c r="BG231" s="9">
        <f t="shared" si="127"/>
        <v>1.404351274525077E-2</v>
      </c>
      <c r="BH231" s="9">
        <f t="shared" si="127"/>
        <v>1.4355734571992032E-2</v>
      </c>
      <c r="BI231" s="9">
        <f t="shared" si="127"/>
        <v>1.4645837514514412E-2</v>
      </c>
      <c r="BJ231" s="9">
        <f t="shared" si="127"/>
        <v>1.4580228746185541E-2</v>
      </c>
      <c r="BK231" s="18"/>
    </row>
    <row r="232" spans="1:63" s="17" customFormat="1">
      <c r="A232" s="3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7"/>
      <c r="O232" s="117"/>
      <c r="P232" s="117"/>
      <c r="Q232" s="117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18"/>
    </row>
    <row r="233" spans="1:63">
      <c r="BD233" s="62"/>
      <c r="BE233" s="62"/>
      <c r="BF233" s="62"/>
      <c r="BG233" s="62"/>
      <c r="BH233" s="62"/>
      <c r="BI233" s="62"/>
      <c r="BJ233" s="62"/>
    </row>
    <row r="234" spans="1:63">
      <c r="A234" s="5" t="s">
        <v>66</v>
      </c>
      <c r="C234" s="3" t="s">
        <v>171</v>
      </c>
      <c r="D234" s="103">
        <f t="shared" ref="D234:M234" si="128">$N234*D132/$N132*D236/$N236</f>
        <v>0.70887227347055137</v>
      </c>
      <c r="E234" s="103">
        <f t="shared" si="128"/>
        <v>0.76917564395676152</v>
      </c>
      <c r="F234" s="103">
        <f t="shared" si="128"/>
        <v>0.80122462912162662</v>
      </c>
      <c r="G234" s="103">
        <f t="shared" si="128"/>
        <v>0.8346089886683612</v>
      </c>
      <c r="H234" s="103">
        <f t="shared" si="128"/>
        <v>0.8693843631962096</v>
      </c>
      <c r="I234" s="103">
        <f t="shared" si="128"/>
        <v>0.86938436319620938</v>
      </c>
      <c r="J234" s="103">
        <f t="shared" si="128"/>
        <v>0.90560871166271806</v>
      </c>
      <c r="K234" s="103">
        <f t="shared" si="128"/>
        <v>0.9433424079819982</v>
      </c>
      <c r="L234" s="103">
        <f t="shared" si="128"/>
        <v>0.9826483416479147</v>
      </c>
      <c r="M234" s="103">
        <f t="shared" si="128"/>
        <v>1.0235920225499111</v>
      </c>
      <c r="N234" s="101">
        <v>0.97738821597647796</v>
      </c>
      <c r="O234" s="101">
        <v>0.97957376438854193</v>
      </c>
      <c r="P234" s="101">
        <v>0.9707709582298264</v>
      </c>
      <c r="Q234" s="101">
        <v>1.0011559430591548</v>
      </c>
      <c r="R234" s="101">
        <v>0.92165243083941861</v>
      </c>
      <c r="S234" s="101">
        <v>0.89810619822481674</v>
      </c>
      <c r="T234" s="101">
        <v>0.91224268533715513</v>
      </c>
      <c r="U234" s="101">
        <v>0.91179843212812528</v>
      </c>
      <c r="V234" s="101">
        <v>0.92306017836270438</v>
      </c>
      <c r="W234" s="101">
        <v>0.94371932043592288</v>
      </c>
      <c r="X234" s="101">
        <v>0.97153208570266159</v>
      </c>
      <c r="Y234" s="101">
        <v>0.94275705680007527</v>
      </c>
      <c r="Z234" s="101">
        <v>0.99176698862108859</v>
      </c>
      <c r="AA234" s="101">
        <v>1.0975293337119705</v>
      </c>
      <c r="AB234" s="101">
        <v>1.1922932908789028</v>
      </c>
      <c r="AC234" s="101">
        <v>1.1804107835667512</v>
      </c>
      <c r="AD234" s="101">
        <v>1.281563549247529</v>
      </c>
      <c r="AE234" s="101">
        <v>1.3675047314017419</v>
      </c>
      <c r="AF234" s="101">
        <v>1.471749100779659</v>
      </c>
      <c r="AG234" s="101">
        <v>1.6137400268599218</v>
      </c>
      <c r="AH234" s="101">
        <v>1.6419591775132569</v>
      </c>
      <c r="AI234" s="101">
        <v>1.6838030016810448</v>
      </c>
      <c r="AJ234" s="101">
        <v>1.6626739533136359</v>
      </c>
      <c r="AK234" s="101">
        <v>1.6595940943076162</v>
      </c>
      <c r="AL234" s="101">
        <v>1.6815976330414499</v>
      </c>
      <c r="AM234" s="101">
        <v>1.7057526652184061</v>
      </c>
      <c r="AN234" s="101">
        <v>1.7272290134156811</v>
      </c>
      <c r="AO234" s="101">
        <v>1.7281480191349716</v>
      </c>
      <c r="AP234" s="101">
        <v>1.6832656222221059</v>
      </c>
      <c r="AQ234" s="101">
        <v>1.6308548326551744</v>
      </c>
      <c r="AR234" s="101">
        <v>1.5306668814916273</v>
      </c>
      <c r="AS234" s="101">
        <v>1.4938990075453698</v>
      </c>
      <c r="AT234" s="101">
        <v>1.4891752654979771</v>
      </c>
      <c r="AU234" s="101">
        <v>1.5285094074887069</v>
      </c>
      <c r="AV234" s="101">
        <v>1.4612216522284129</v>
      </c>
      <c r="AW234" s="101">
        <v>1.4567083660349942</v>
      </c>
      <c r="AX234" s="101">
        <v>1.4767424946105412</v>
      </c>
      <c r="AY234" s="101">
        <v>1.5023657646432329</v>
      </c>
      <c r="AZ234" s="101">
        <v>1.3310219238176337</v>
      </c>
      <c r="BA234" s="101">
        <v>1.326672901416178</v>
      </c>
      <c r="BB234" s="101">
        <v>1.356808772258784</v>
      </c>
      <c r="BC234" s="102">
        <v>1.2481093388572564</v>
      </c>
      <c r="BD234" s="62">
        <v>1.1933868025704466</v>
      </c>
      <c r="BE234" s="62">
        <v>1.2091302008950202</v>
      </c>
      <c r="BF234" s="62">
        <v>1.2031801385705025</v>
      </c>
      <c r="BG234" s="62">
        <v>1.1628905240157792</v>
      </c>
      <c r="BH234" s="62">
        <v>1.1035610214496423</v>
      </c>
      <c r="BI234" s="62">
        <v>1.0516623158886553</v>
      </c>
      <c r="BJ234" s="103">
        <v>0.99168563432712054</v>
      </c>
      <c r="BK234" s="113">
        <f t="array" ref="BK234">TREND(AZ234:BJ234,AZ184:BJ184,BK184)</f>
        <v>0.9952584338784618</v>
      </c>
    </row>
    <row r="235" spans="1:63" s="17" customFormat="1">
      <c r="A235" s="3"/>
      <c r="C235" s="17" t="s">
        <v>172</v>
      </c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05">
        <f t="shared" ref="N235:AS235" si="129">N132/N234</f>
        <v>3.6216929385254524</v>
      </c>
      <c r="O235" s="105">
        <f t="shared" si="129"/>
        <v>3.6136125003404644</v>
      </c>
      <c r="P235" s="105">
        <f t="shared" si="129"/>
        <v>3.6463801991509159</v>
      </c>
      <c r="Q235" s="105">
        <f t="shared" si="129"/>
        <v>3.5357129171942057</v>
      </c>
      <c r="R235" s="105">
        <f t="shared" si="129"/>
        <v>3.6661325755117691</v>
      </c>
      <c r="S235" s="105">
        <f t="shared" si="129"/>
        <v>3.5830951911484972</v>
      </c>
      <c r="T235" s="105">
        <f t="shared" si="129"/>
        <v>3.7039485811291488</v>
      </c>
      <c r="U235" s="105">
        <f t="shared" si="129"/>
        <v>3.5292888061775138</v>
      </c>
      <c r="V235" s="105">
        <f t="shared" si="129"/>
        <v>3.6605414026129788</v>
      </c>
      <c r="W235" s="105">
        <f t="shared" si="129"/>
        <v>3.580407783152324</v>
      </c>
      <c r="X235" s="105">
        <f t="shared" si="129"/>
        <v>3.6435235151702026</v>
      </c>
      <c r="Y235" s="105">
        <f t="shared" si="129"/>
        <v>3.754731905179113</v>
      </c>
      <c r="Z235" s="105">
        <f t="shared" si="129"/>
        <v>3.5691851418865941</v>
      </c>
      <c r="AA235" s="105">
        <f t="shared" si="129"/>
        <v>3.3718460967998065</v>
      </c>
      <c r="AB235" s="105">
        <f t="shared" si="129"/>
        <v>3.2388004105545281</v>
      </c>
      <c r="AC235" s="105">
        <f t="shared" si="129"/>
        <v>3.1350950461651119</v>
      </c>
      <c r="AD235" s="105">
        <f t="shared" si="129"/>
        <v>2.8876445511990947</v>
      </c>
      <c r="AE235" s="105">
        <f t="shared" si="129"/>
        <v>2.9414889086904963</v>
      </c>
      <c r="AF235" s="105">
        <f t="shared" si="129"/>
        <v>2.951793887761581</v>
      </c>
      <c r="AG235" s="105">
        <f t="shared" si="129"/>
        <v>2.7917755803370592</v>
      </c>
      <c r="AH235" s="105">
        <f t="shared" si="129"/>
        <v>2.8417880687306716</v>
      </c>
      <c r="AI235" s="105">
        <f t="shared" si="129"/>
        <v>2.8667249049805155</v>
      </c>
      <c r="AJ235" s="105">
        <f t="shared" si="129"/>
        <v>2.806383049846104</v>
      </c>
      <c r="AK235" s="105">
        <f t="shared" si="129"/>
        <v>2.811591108937213</v>
      </c>
      <c r="AL235" s="105">
        <f t="shared" si="129"/>
        <v>2.7748017173172275</v>
      </c>
      <c r="AM235" s="105">
        <f t="shared" si="129"/>
        <v>2.8298358246340167</v>
      </c>
      <c r="AN235" s="105">
        <f t="shared" si="129"/>
        <v>2.8878046635727705</v>
      </c>
      <c r="AO235" s="105">
        <f t="shared" si="129"/>
        <v>2.9793744187359854</v>
      </c>
      <c r="AP235" s="105">
        <f t="shared" si="129"/>
        <v>3.1544041118065369</v>
      </c>
      <c r="AQ235" s="105">
        <f t="shared" si="129"/>
        <v>3.2557772118535793</v>
      </c>
      <c r="AR235" s="105">
        <f t="shared" si="129"/>
        <v>3.3637625941070342</v>
      </c>
      <c r="AS235" s="105">
        <f t="shared" si="129"/>
        <v>3.4465515901640567</v>
      </c>
      <c r="AT235" s="105">
        <f t="shared" ref="AT235:BJ235" si="130">AT132/AT234</f>
        <v>3.457484232575037</v>
      </c>
      <c r="AU235" s="105">
        <f t="shared" si="130"/>
        <v>3.4737764609009965</v>
      </c>
      <c r="AV235" s="105">
        <f t="shared" si="130"/>
        <v>3.5236269543008101</v>
      </c>
      <c r="AW235" s="105">
        <f t="shared" si="130"/>
        <v>3.5345441270544002</v>
      </c>
      <c r="AX235" s="105">
        <f t="shared" si="130"/>
        <v>3.5955490001662866</v>
      </c>
      <c r="AY235" s="105">
        <f t="shared" si="130"/>
        <v>3.6413236568254099</v>
      </c>
      <c r="AZ235" s="105">
        <f t="shared" si="130"/>
        <v>3.7474213690588338</v>
      </c>
      <c r="BA235" s="105">
        <f t="shared" si="130"/>
        <v>3.7597059491270133</v>
      </c>
      <c r="BB235" s="105">
        <f t="shared" si="130"/>
        <v>3.7947867859288649</v>
      </c>
      <c r="BC235" s="105">
        <f t="shared" si="130"/>
        <v>3.8674496293886427</v>
      </c>
      <c r="BD235" s="105">
        <f t="shared" si="130"/>
        <v>3.7751381113786482</v>
      </c>
      <c r="BE235" s="105">
        <f t="shared" si="130"/>
        <v>3.8590550434899962</v>
      </c>
      <c r="BF235" s="105">
        <f t="shared" si="130"/>
        <v>3.8781391500891877</v>
      </c>
      <c r="BG235" s="105">
        <f t="shared" si="130"/>
        <v>3.8741394026002647</v>
      </c>
      <c r="BH235" s="105">
        <f t="shared" si="130"/>
        <v>3.7908189204659188</v>
      </c>
      <c r="BI235" s="105">
        <f t="shared" si="130"/>
        <v>3.9778928433553542</v>
      </c>
      <c r="BJ235" s="105">
        <f t="shared" si="130"/>
        <v>4.0562249373808372</v>
      </c>
      <c r="BK235" s="18"/>
    </row>
    <row r="236" spans="1:63" s="17" customFormat="1">
      <c r="A236" s="3"/>
      <c r="B236" s="106">
        <v>0.96</v>
      </c>
      <c r="C236" s="17" t="s">
        <v>173</v>
      </c>
      <c r="D236" s="107">
        <f>E236*$B236</f>
        <v>6.2799344092262102</v>
      </c>
      <c r="E236" s="107">
        <f t="shared" ref="E236:M236" si="131">F236*$B236</f>
        <v>6.5415983429439688</v>
      </c>
      <c r="F236" s="107">
        <f t="shared" si="131"/>
        <v>6.8141649405666342</v>
      </c>
      <c r="G236" s="107">
        <f t="shared" si="131"/>
        <v>7.0980884797569113</v>
      </c>
      <c r="H236" s="107">
        <f t="shared" si="131"/>
        <v>7.3938421664134495</v>
      </c>
      <c r="I236" s="107">
        <f t="shared" si="131"/>
        <v>7.7019189233473435</v>
      </c>
      <c r="J236" s="107">
        <f t="shared" si="131"/>
        <v>8.0228322118201501</v>
      </c>
      <c r="K236" s="107">
        <f t="shared" si="131"/>
        <v>8.3571168873126567</v>
      </c>
      <c r="L236" s="107">
        <f t="shared" si="131"/>
        <v>8.7053300909506834</v>
      </c>
      <c r="M236" s="107">
        <f t="shared" si="131"/>
        <v>9.0680521780736285</v>
      </c>
      <c r="N236" s="62">
        <f t="shared" ref="N236:AS236" si="132">(N132*1000000000/1.609)/(N234*1000000*$N$9)</f>
        <v>9.4458876854933642</v>
      </c>
      <c r="O236" s="62">
        <f t="shared" si="132"/>
        <v>9.4248127592529176</v>
      </c>
      <c r="P236" s="62">
        <f t="shared" si="132"/>
        <v>9.5102755546719084</v>
      </c>
      <c r="Q236" s="62">
        <f t="shared" si="132"/>
        <v>9.2216396229223978</v>
      </c>
      <c r="R236" s="62">
        <f t="shared" si="132"/>
        <v>9.5617925473582535</v>
      </c>
      <c r="S236" s="62">
        <f t="shared" si="132"/>
        <v>9.345219298409118</v>
      </c>
      <c r="T236" s="62">
        <f t="shared" si="132"/>
        <v>9.6604220413101043</v>
      </c>
      <c r="U236" s="62">
        <f t="shared" si="132"/>
        <v>9.2048846323219191</v>
      </c>
      <c r="V236" s="62">
        <f t="shared" si="132"/>
        <v>9.5472099772374293</v>
      </c>
      <c r="W236" s="62">
        <f t="shared" si="132"/>
        <v>9.3382101580629211</v>
      </c>
      <c r="X236" s="62">
        <f t="shared" si="132"/>
        <v>9.5028249186039719</v>
      </c>
      <c r="Y236" s="62">
        <f t="shared" si="132"/>
        <v>9.7928721367252294</v>
      </c>
      <c r="Z236" s="62">
        <f t="shared" si="132"/>
        <v>9.3089399215381672</v>
      </c>
      <c r="AA236" s="62">
        <f t="shared" si="132"/>
        <v>8.7942517667187161</v>
      </c>
      <c r="AB236" s="62">
        <f t="shared" si="132"/>
        <v>8.4472497898410275</v>
      </c>
      <c r="AC236" s="62">
        <f t="shared" si="132"/>
        <v>8.1767715242803867</v>
      </c>
      <c r="AD236" s="62">
        <f t="shared" si="132"/>
        <v>7.5313856169592679</v>
      </c>
      <c r="AE236" s="62">
        <f t="shared" si="132"/>
        <v>7.6718193207531655</v>
      </c>
      <c r="AF236" s="62">
        <f t="shared" si="132"/>
        <v>7.6986961644169067</v>
      </c>
      <c r="AG236" s="62">
        <f t="shared" si="132"/>
        <v>7.2813457746375381</v>
      </c>
      <c r="AH236" s="62">
        <f t="shared" si="132"/>
        <v>7.4117854215807837</v>
      </c>
      <c r="AI236" s="62">
        <f t="shared" si="132"/>
        <v>7.4768242193048868</v>
      </c>
      <c r="AJ236" s="62">
        <f t="shared" si="132"/>
        <v>7.319444122204211</v>
      </c>
      <c r="AK236" s="62">
        <f t="shared" si="132"/>
        <v>7.333027477300587</v>
      </c>
      <c r="AL236" s="62">
        <f t="shared" si="132"/>
        <v>7.2370755379289688</v>
      </c>
      <c r="AM236" s="62">
        <f t="shared" si="132"/>
        <v>7.3806122776276775</v>
      </c>
      <c r="AN236" s="62">
        <f t="shared" si="132"/>
        <v>7.5318032126871426</v>
      </c>
      <c r="AO236" s="62">
        <f t="shared" si="132"/>
        <v>7.7706300920890206</v>
      </c>
      <c r="AP236" s="62">
        <f t="shared" si="132"/>
        <v>8.2271322998780505</v>
      </c>
      <c r="AQ236" s="62">
        <f t="shared" si="132"/>
        <v>8.4915276899975964</v>
      </c>
      <c r="AR236" s="62">
        <f t="shared" si="132"/>
        <v>8.7731688478083125</v>
      </c>
      <c r="AS236" s="62">
        <f t="shared" si="132"/>
        <v>8.9890942649055958</v>
      </c>
      <c r="AT236" s="62">
        <f t="shared" ref="AT236:BJ236" si="133">(AT132*1000000000/1.609)/(AT234*1000000*$N$9)</f>
        <v>9.0176081433797393</v>
      </c>
      <c r="AU236" s="62">
        <f t="shared" si="133"/>
        <v>9.0601005803493067</v>
      </c>
      <c r="AV236" s="62">
        <f t="shared" si="133"/>
        <v>9.1901177214249916</v>
      </c>
      <c r="AW236" s="62">
        <f t="shared" si="133"/>
        <v>9.2185912528435683</v>
      </c>
      <c r="AX236" s="62">
        <f t="shared" si="133"/>
        <v>9.3777005946524472</v>
      </c>
      <c r="AY236" s="62">
        <f t="shared" si="133"/>
        <v>9.497087376741197</v>
      </c>
      <c r="AZ236" s="62">
        <f t="shared" si="133"/>
        <v>9.773805224017547</v>
      </c>
      <c r="BA236" s="62">
        <f t="shared" si="133"/>
        <v>9.8058451472128887</v>
      </c>
      <c r="BB236" s="62">
        <f t="shared" si="133"/>
        <v>9.8973409338430844</v>
      </c>
      <c r="BC236" s="62">
        <f t="shared" si="133"/>
        <v>10.086855912025939</v>
      </c>
      <c r="BD236" s="62">
        <f t="shared" si="133"/>
        <v>9.8460944101536061</v>
      </c>
      <c r="BE236" s="62">
        <f t="shared" si="133"/>
        <v>10.06496164409357</v>
      </c>
      <c r="BF236" s="62">
        <f t="shared" si="133"/>
        <v>10.11473569467538</v>
      </c>
      <c r="BG236" s="62">
        <f t="shared" si="133"/>
        <v>10.10430378722436</v>
      </c>
      <c r="BH236" s="62">
        <f t="shared" si="133"/>
        <v>9.8869921792274056</v>
      </c>
      <c r="BI236" s="62">
        <f t="shared" si="133"/>
        <v>10.374907442749913</v>
      </c>
      <c r="BJ236" s="62">
        <f t="shared" si="133"/>
        <v>10.579208628657593</v>
      </c>
      <c r="BK236" s="18"/>
    </row>
    <row r="237" spans="1:63" s="17" customFormat="1">
      <c r="A237" s="3"/>
      <c r="C237" s="17" t="s">
        <v>146</v>
      </c>
      <c r="D237" s="116">
        <f>D234/D241</f>
        <v>0.26550746475232806</v>
      </c>
      <c r="E237" s="116">
        <f t="shared" ref="E237:M237" si="134">E234/E241</f>
        <v>0.26221256320104502</v>
      </c>
      <c r="F237" s="116">
        <f t="shared" si="134"/>
        <v>0.2549229540760255</v>
      </c>
      <c r="G237" s="116">
        <f t="shared" si="134"/>
        <v>0.24427270346864707</v>
      </c>
      <c r="H237" s="116">
        <f t="shared" si="134"/>
        <v>0.23130635451973658</v>
      </c>
      <c r="I237" s="116">
        <f t="shared" si="134"/>
        <v>0.21875206500888067</v>
      </c>
      <c r="J237" s="116">
        <f t="shared" si="134"/>
        <v>0.21676756418235729</v>
      </c>
      <c r="K237" s="116">
        <f t="shared" si="134"/>
        <v>0.21288927794940363</v>
      </c>
      <c r="L237" s="116">
        <f t="shared" si="134"/>
        <v>0.20764639167120597</v>
      </c>
      <c r="M237" s="116">
        <f t="shared" si="134"/>
        <v>0.20665642849642168</v>
      </c>
      <c r="N237" s="9">
        <f>N234/N$241</f>
        <v>0.2033973488782396</v>
      </c>
      <c r="O237" s="9">
        <f t="shared" ref="O237:BJ237" si="135">O234/O$241</f>
        <v>0.19756536667328345</v>
      </c>
      <c r="P237" s="9">
        <f t="shared" si="135"/>
        <v>0.19333664618889995</v>
      </c>
      <c r="Q237" s="9">
        <f t="shared" si="135"/>
        <v>0.18524149931964984</v>
      </c>
      <c r="R237" s="9">
        <f t="shared" si="135"/>
        <v>0.17499327742620135</v>
      </c>
      <c r="S237" s="9">
        <f t="shared" si="135"/>
        <v>0.17344275475062049</v>
      </c>
      <c r="T237" s="9">
        <f t="shared" si="135"/>
        <v>0.17039845506460449</v>
      </c>
      <c r="U237" s="9">
        <f t="shared" si="135"/>
        <v>0.16682674544912049</v>
      </c>
      <c r="V237" s="9">
        <f t="shared" si="135"/>
        <v>0.1640249948534136</v>
      </c>
      <c r="W237" s="9">
        <f t="shared" si="135"/>
        <v>0.16244633403551351</v>
      </c>
      <c r="X237" s="9">
        <f t="shared" si="135"/>
        <v>0.17271356376761565</v>
      </c>
      <c r="Y237" s="9">
        <f t="shared" si="135"/>
        <v>0.17680972035833592</v>
      </c>
      <c r="Z237" s="9">
        <f t="shared" si="135"/>
        <v>0.17989707975892766</v>
      </c>
      <c r="AA237" s="9">
        <f t="shared" si="135"/>
        <v>0.18416515661938668</v>
      </c>
      <c r="AB237" s="9">
        <f t="shared" si="135"/>
        <v>0.18278628255221058</v>
      </c>
      <c r="AC237" s="9">
        <f t="shared" si="135"/>
        <v>0.17190045341512897</v>
      </c>
      <c r="AD237" s="9">
        <f t="shared" si="135"/>
        <v>0.16812639535521262</v>
      </c>
      <c r="AE237" s="9">
        <f t="shared" si="135"/>
        <v>0.16648097121395877</v>
      </c>
      <c r="AF237" s="9">
        <f t="shared" si="135"/>
        <v>0.16177434028528093</v>
      </c>
      <c r="AG237" s="9">
        <f t="shared" si="135"/>
        <v>0.16408757701958232</v>
      </c>
      <c r="AH237" s="9">
        <f t="shared" si="135"/>
        <v>0.15837519058659541</v>
      </c>
      <c r="AI237" s="9">
        <f t="shared" si="135"/>
        <v>0.16158476193175034</v>
      </c>
      <c r="AJ237" s="9">
        <f t="shared" si="135"/>
        <v>0.15315807832562428</v>
      </c>
      <c r="AK237" s="9">
        <f t="shared" si="135"/>
        <v>0.14401590868089531</v>
      </c>
      <c r="AL237" s="9">
        <f t="shared" si="135"/>
        <v>0.13327315078939772</v>
      </c>
      <c r="AM237" s="9">
        <f t="shared" si="135"/>
        <v>0.12967649072166423</v>
      </c>
      <c r="AN237" s="9">
        <f t="shared" si="135"/>
        <v>0.12285559777458431</v>
      </c>
      <c r="AO237" s="9">
        <f t="shared" si="135"/>
        <v>0.11782478610365882</v>
      </c>
      <c r="AP237" s="9">
        <f t="shared" si="135"/>
        <v>0.11349495892043633</v>
      </c>
      <c r="AQ237" s="9">
        <f t="shared" si="135"/>
        <v>0.10734032430604891</v>
      </c>
      <c r="AR237" s="9">
        <f t="shared" si="135"/>
        <v>9.995157807708524E-2</v>
      </c>
      <c r="AS237" s="9">
        <f t="shared" si="135"/>
        <v>9.4919885565113701E-2</v>
      </c>
      <c r="AT237" s="9">
        <f t="shared" si="135"/>
        <v>8.9701885918583107E-2</v>
      </c>
      <c r="AU237" s="9">
        <f t="shared" si="135"/>
        <v>8.7930925171009228E-2</v>
      </c>
      <c r="AV237" s="9">
        <f t="shared" si="135"/>
        <v>8.0466217860221623E-2</v>
      </c>
      <c r="AW237" s="9">
        <f t="shared" si="135"/>
        <v>7.6571978766381624E-2</v>
      </c>
      <c r="AX237" s="9">
        <f t="shared" si="135"/>
        <v>7.4594642616031326E-2</v>
      </c>
      <c r="AY237" s="9">
        <f t="shared" si="135"/>
        <v>7.2713249613559003E-2</v>
      </c>
      <c r="AZ237" s="9">
        <f t="shared" si="135"/>
        <v>6.6107571217452477E-2</v>
      </c>
      <c r="BA237" s="9">
        <f t="shared" si="135"/>
        <v>6.7100411647302613E-2</v>
      </c>
      <c r="BB237" s="9">
        <f t="shared" si="135"/>
        <v>6.659083153700901E-2</v>
      </c>
      <c r="BC237" s="9">
        <f t="shared" si="135"/>
        <v>6.0530758306905574E-2</v>
      </c>
      <c r="BD237" s="9">
        <f t="shared" si="135"/>
        <v>5.6328577025950718E-2</v>
      </c>
      <c r="BE237" s="9">
        <f t="shared" si="135"/>
        <v>5.6059078153181049E-2</v>
      </c>
      <c r="BF237" s="9">
        <f t="shared" si="135"/>
        <v>5.3975230784937871E-2</v>
      </c>
      <c r="BG237" s="9">
        <f t="shared" si="135"/>
        <v>4.9998676340653553E-2</v>
      </c>
      <c r="BH237" s="9">
        <f t="shared" si="135"/>
        <v>4.5563690747174208E-2</v>
      </c>
      <c r="BI237" s="9">
        <f t="shared" si="135"/>
        <v>4.3002399992589743E-2</v>
      </c>
      <c r="BJ237" s="9">
        <f t="shared" si="135"/>
        <v>4.1025526463911881E-2</v>
      </c>
      <c r="BK237" s="18"/>
    </row>
    <row r="238" spans="1:63" s="17" customFormat="1">
      <c r="A238" s="3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18"/>
    </row>
    <row r="239" spans="1:63">
      <c r="D239" s="3" t="s">
        <v>174</v>
      </c>
    </row>
    <row r="240" spans="1:63">
      <c r="C240" s="3" t="s">
        <v>175</v>
      </c>
      <c r="D240" s="73">
        <f t="shared" ref="D240:M240" si="136">D113</f>
        <v>8.1414919999999995</v>
      </c>
      <c r="E240" s="73">
        <f t="shared" si="136"/>
        <v>8.6942769999999996</v>
      </c>
      <c r="F240" s="73">
        <f t="shared" si="136"/>
        <v>9.1461740000000002</v>
      </c>
      <c r="G240" s="73">
        <f t="shared" si="136"/>
        <v>9.6569219999999998</v>
      </c>
      <c r="H240" s="73">
        <f t="shared" si="136"/>
        <v>10.689978</v>
      </c>
      <c r="I240" s="73">
        <f t="shared" si="136"/>
        <v>11.466609</v>
      </c>
      <c r="J240" s="73">
        <f t="shared" si="136"/>
        <v>12.089806000000001</v>
      </c>
      <c r="K240" s="73">
        <f t="shared" si="136"/>
        <v>12.903219999999999</v>
      </c>
      <c r="L240" s="73">
        <f t="shared" si="136"/>
        <v>13.675647000000001</v>
      </c>
      <c r="M240" s="73">
        <f t="shared" si="136"/>
        <v>14.128594999999999</v>
      </c>
      <c r="N240" s="62">
        <f t="shared" ref="N240:BI240" si="137">N185+N197+N228</f>
        <v>14.010206831971372</v>
      </c>
      <c r="O240" s="62">
        <f t="shared" si="137"/>
        <v>14.738933783474154</v>
      </c>
      <c r="P240" s="62">
        <f t="shared" si="137"/>
        <v>15.6698129108538</v>
      </c>
      <c r="Q240" s="62">
        <f t="shared" si="137"/>
        <v>16.684245544647418</v>
      </c>
      <c r="R240" s="62">
        <f t="shared" si="137"/>
        <v>16.242113220999268</v>
      </c>
      <c r="S240" s="62">
        <f t="shared" si="137"/>
        <v>15.891951079766434</v>
      </c>
      <c r="T240" s="62">
        <f t="shared" si="137"/>
        <v>16.642553857180623</v>
      </c>
      <c r="U240" s="62">
        <f t="shared" si="137"/>
        <v>17.095828565445768</v>
      </c>
      <c r="V240" s="62">
        <f t="shared" si="137"/>
        <v>18.105676107719713</v>
      </c>
      <c r="W240" s="62">
        <f t="shared" si="137"/>
        <v>18.442067472900828</v>
      </c>
      <c r="X240" s="62">
        <f t="shared" si="137"/>
        <v>18.913037781136811</v>
      </c>
      <c r="Y240" s="62">
        <f t="shared" si="137"/>
        <v>18.492438593153299</v>
      </c>
      <c r="Z240" s="62">
        <f t="shared" si="137"/>
        <v>19.019888992767555</v>
      </c>
      <c r="AA240" s="62">
        <f t="shared" si="137"/>
        <v>19.334360925789849</v>
      </c>
      <c r="AB240" s="62">
        <f t="shared" si="137"/>
        <v>19.987682476710496</v>
      </c>
      <c r="AC240" s="62">
        <f t="shared" si="137"/>
        <v>20.158972411842868</v>
      </c>
      <c r="AD240" s="62">
        <f t="shared" si="137"/>
        <v>21.222110241192432</v>
      </c>
      <c r="AE240" s="62">
        <f t="shared" si="137"/>
        <v>21.92767883730842</v>
      </c>
      <c r="AF240" s="62">
        <f t="shared" si="137"/>
        <v>22.980334338488884</v>
      </c>
      <c r="AG240" s="62">
        <f t="shared" si="137"/>
        <v>23.647286385077933</v>
      </c>
      <c r="AH240" s="62">
        <f t="shared" si="137"/>
        <v>24.03332066114994</v>
      </c>
      <c r="AI240" s="62">
        <f t="shared" si="137"/>
        <v>23.748080194815184</v>
      </c>
      <c r="AJ240" s="62">
        <f t="shared" si="137"/>
        <v>23.76790192950768</v>
      </c>
      <c r="AK240" s="62">
        <f t="shared" si="137"/>
        <v>23.484332240744394</v>
      </c>
      <c r="AL240" s="62">
        <f t="shared" si="137"/>
        <v>22.550651254114019</v>
      </c>
      <c r="AM240" s="62">
        <f t="shared" si="137"/>
        <v>21.65470602649539</v>
      </c>
      <c r="AN240" s="62">
        <f t="shared" si="137"/>
        <v>22.107547817631403</v>
      </c>
      <c r="AO240" s="62">
        <f t="shared" si="137"/>
        <v>21.946667972946848</v>
      </c>
      <c r="AP240" s="62">
        <f t="shared" si="137"/>
        <v>21.540752144306907</v>
      </c>
      <c r="AQ240" s="62">
        <f t="shared" si="137"/>
        <v>21.476568022689019</v>
      </c>
      <c r="AR240" s="62">
        <f t="shared" si="137"/>
        <v>21.089309113202837</v>
      </c>
      <c r="AS240" s="62">
        <f t="shared" si="137"/>
        <v>20.623012170634819</v>
      </c>
      <c r="AT240" s="62">
        <f t="shared" si="137"/>
        <v>20.486593914437599</v>
      </c>
      <c r="AU240" s="62">
        <f t="shared" si="137"/>
        <v>19.591850759642846</v>
      </c>
      <c r="AV240" s="62">
        <f t="shared" si="137"/>
        <v>19.137559348115843</v>
      </c>
      <c r="AW240" s="62">
        <f t="shared" si="137"/>
        <v>18.505211553737283</v>
      </c>
      <c r="AX240" s="62">
        <f t="shared" si="137"/>
        <v>17.73487476311653</v>
      </c>
      <c r="AY240" s="62">
        <f t="shared" si="137"/>
        <v>17.247609834788644</v>
      </c>
      <c r="AZ240" s="62">
        <f t="shared" si="137"/>
        <v>16.179755763423504</v>
      </c>
      <c r="BA240" s="62">
        <f t="shared" si="137"/>
        <v>15.266844195002079</v>
      </c>
      <c r="BB240" s="62">
        <f t="shared" si="137"/>
        <v>14.235892978683218</v>
      </c>
      <c r="BC240" s="62">
        <f t="shared" si="137"/>
        <v>13.524776888563276</v>
      </c>
      <c r="BD240" s="62">
        <f t="shared" si="137"/>
        <v>12.875329380651781</v>
      </c>
      <c r="BE240" s="62">
        <f t="shared" si="137"/>
        <v>12.214699950255381</v>
      </c>
      <c r="BF240" s="62">
        <f t="shared" si="137"/>
        <v>11.946199477476402</v>
      </c>
      <c r="BG240" s="62">
        <f t="shared" si="137"/>
        <v>11.683705288287861</v>
      </c>
      <c r="BH240" s="62">
        <f t="shared" si="137"/>
        <v>11.533117566688047</v>
      </c>
      <c r="BI240" s="62">
        <f t="shared" si="137"/>
        <v>11.358007569647894</v>
      </c>
      <c r="BJ240" s="103">
        <f>BJ185+BJ197+BJ228</f>
        <v>11.145490593136897</v>
      </c>
      <c r="BK240" s="118">
        <f>BK185+BK197+BK228</f>
        <v>9.9861869669344188</v>
      </c>
    </row>
    <row r="241" spans="3:63">
      <c r="C241" s="3" t="s">
        <v>176</v>
      </c>
      <c r="D241" s="73">
        <f t="shared" ref="D241:M241" si="138">D114</f>
        <v>2.6698770000000001</v>
      </c>
      <c r="E241" s="73">
        <f t="shared" si="138"/>
        <v>2.933405</v>
      </c>
      <c r="F241" s="73">
        <f t="shared" si="138"/>
        <v>3.1430069999999999</v>
      </c>
      <c r="G241" s="73">
        <f t="shared" si="138"/>
        <v>3.4167100000000001</v>
      </c>
      <c r="H241" s="73">
        <f t="shared" si="138"/>
        <v>3.7585839999999999</v>
      </c>
      <c r="I241" s="73">
        <f t="shared" si="138"/>
        <v>3.974291</v>
      </c>
      <c r="J241" s="73">
        <f t="shared" si="138"/>
        <v>4.1777870000000004</v>
      </c>
      <c r="K241" s="73">
        <f t="shared" si="138"/>
        <v>4.4311409999999993</v>
      </c>
      <c r="L241" s="73">
        <f t="shared" si="138"/>
        <v>4.732316</v>
      </c>
      <c r="M241" s="73">
        <f t="shared" si="138"/>
        <v>4.9531099999999997</v>
      </c>
      <c r="N241" s="62">
        <f t="shared" ref="N241:BJ241" si="139">N186+N198+N221+N234</f>
        <v>4.8053144319082302</v>
      </c>
      <c r="O241" s="62">
        <f t="shared" si="139"/>
        <v>4.9582261348897072</v>
      </c>
      <c r="P241" s="62">
        <f t="shared" si="139"/>
        <v>5.0211430546971041</v>
      </c>
      <c r="Q241" s="62">
        <f t="shared" si="139"/>
        <v>5.404598573949003</v>
      </c>
      <c r="R241" s="62">
        <f t="shared" si="139"/>
        <v>5.2667876411886763</v>
      </c>
      <c r="S241" s="62">
        <f t="shared" si="139"/>
        <v>5.1781130870305425</v>
      </c>
      <c r="T241" s="62">
        <f t="shared" si="139"/>
        <v>5.3535854241829215</v>
      </c>
      <c r="U241" s="62">
        <f t="shared" si="139"/>
        <v>5.465541089790122</v>
      </c>
      <c r="V241" s="62">
        <f t="shared" si="139"/>
        <v>5.6275580388685755</v>
      </c>
      <c r="W241" s="62">
        <f t="shared" si="139"/>
        <v>5.8094220841549431</v>
      </c>
      <c r="X241" s="62">
        <f t="shared" si="139"/>
        <v>5.6251058950404618</v>
      </c>
      <c r="Y241" s="62">
        <f t="shared" si="139"/>
        <v>5.3320431415728313</v>
      </c>
      <c r="Z241" s="62">
        <f t="shared" si="139"/>
        <v>5.5129688038856042</v>
      </c>
      <c r="AA241" s="62">
        <f t="shared" si="139"/>
        <v>5.9594841600804518</v>
      </c>
      <c r="AB241" s="62">
        <f t="shared" si="139"/>
        <v>6.5228816639363476</v>
      </c>
      <c r="AC241" s="62">
        <f t="shared" si="139"/>
        <v>6.86682763259578</v>
      </c>
      <c r="AD241" s="62">
        <f t="shared" si="139"/>
        <v>7.622619556791653</v>
      </c>
      <c r="AE241" s="62">
        <f t="shared" si="139"/>
        <v>8.2141804041030362</v>
      </c>
      <c r="AF241" s="62">
        <f t="shared" si="139"/>
        <v>9.0975435176203057</v>
      </c>
      <c r="AG241" s="62">
        <f t="shared" si="139"/>
        <v>9.8346264608888525</v>
      </c>
      <c r="AH241" s="62">
        <f t="shared" si="139"/>
        <v>10.367527713347734</v>
      </c>
      <c r="AI241" s="62">
        <f t="shared" si="139"/>
        <v>10.42055563625637</v>
      </c>
      <c r="AJ241" s="62">
        <f t="shared" si="139"/>
        <v>10.855933761317377</v>
      </c>
      <c r="AK241" s="62">
        <f t="shared" si="139"/>
        <v>11.523685886570201</v>
      </c>
      <c r="AL241" s="62">
        <f t="shared" si="139"/>
        <v>12.617677477279438</v>
      </c>
      <c r="AM241" s="62">
        <f t="shared" si="139"/>
        <v>13.153908281491123</v>
      </c>
      <c r="AN241" s="62">
        <f t="shared" si="139"/>
        <v>14.059017616639693</v>
      </c>
      <c r="AO241" s="62">
        <f t="shared" si="139"/>
        <v>14.667100839161272</v>
      </c>
      <c r="AP241" s="62">
        <f t="shared" si="139"/>
        <v>14.831192840927233</v>
      </c>
      <c r="AQ241" s="62">
        <f t="shared" si="139"/>
        <v>15.193310092908593</v>
      </c>
      <c r="AR241" s="62">
        <f t="shared" si="139"/>
        <v>15.314084188957352</v>
      </c>
      <c r="AS241" s="62">
        <f t="shared" si="139"/>
        <v>15.73852516415621</v>
      </c>
      <c r="AT241" s="62">
        <f t="shared" si="139"/>
        <v>16.601381902378396</v>
      </c>
      <c r="AU241" s="62">
        <f t="shared" si="139"/>
        <v>17.383069773416366</v>
      </c>
      <c r="AV241" s="62">
        <f t="shared" si="139"/>
        <v>18.159442447844516</v>
      </c>
      <c r="AW241" s="62">
        <f t="shared" si="139"/>
        <v>19.024039727109045</v>
      </c>
      <c r="AX241" s="62">
        <f t="shared" si="139"/>
        <v>19.796897509274622</v>
      </c>
      <c r="AY241" s="62">
        <f t="shared" si="139"/>
        <v>20.661513171639125</v>
      </c>
      <c r="AZ241" s="62">
        <f t="shared" si="139"/>
        <v>20.134182806979943</v>
      </c>
      <c r="BA241" s="62">
        <f t="shared" si="139"/>
        <v>19.771456967947071</v>
      </c>
      <c r="BB241" s="62">
        <f t="shared" si="139"/>
        <v>20.375309046932596</v>
      </c>
      <c r="BC241" s="62">
        <f t="shared" si="139"/>
        <v>20.619423476062209</v>
      </c>
      <c r="BD241" s="62">
        <f t="shared" si="139"/>
        <v>21.186169890651602</v>
      </c>
      <c r="BE241" s="62">
        <f t="shared" si="139"/>
        <v>21.568856298190994</v>
      </c>
      <c r="BF241" s="62">
        <f t="shared" si="139"/>
        <v>22.291338472725116</v>
      </c>
      <c r="BG241" s="62">
        <f t="shared" si="139"/>
        <v>23.258426204980182</v>
      </c>
      <c r="BH241" s="62">
        <f t="shared" si="139"/>
        <v>24.220185049826842</v>
      </c>
      <c r="BI241" s="62">
        <f t="shared" si="139"/>
        <v>24.45589818405205</v>
      </c>
      <c r="BJ241" s="103">
        <f t="shared" si="139"/>
        <v>24.172404836765644</v>
      </c>
      <c r="BK241" s="113">
        <f t="array" ref="BK241">TREND(AZ241:BJ241,AZ208:BJ208,BK208)</f>
        <v>25.105605224752708</v>
      </c>
    </row>
    <row r="242" spans="3:63" s="17" customFormat="1">
      <c r="C242" s="17" t="s">
        <v>177</v>
      </c>
      <c r="D242" s="111">
        <f t="shared" ref="D242:M242" si="140">D115</f>
        <v>10.811368999999999</v>
      </c>
      <c r="E242" s="111">
        <f t="shared" si="140"/>
        <v>11.627682</v>
      </c>
      <c r="F242" s="111">
        <f t="shared" si="140"/>
        <v>12.289180999999999</v>
      </c>
      <c r="G242" s="111">
        <f t="shared" si="140"/>
        <v>13.073632</v>
      </c>
      <c r="H242" s="111">
        <f t="shared" si="140"/>
        <v>14.448561999999999</v>
      </c>
      <c r="I242" s="111">
        <f t="shared" si="140"/>
        <v>15.440899999999999</v>
      </c>
      <c r="J242" s="111">
        <f t="shared" si="140"/>
        <v>16.267593000000002</v>
      </c>
      <c r="K242" s="111">
        <f t="shared" si="140"/>
        <v>17.334360999999998</v>
      </c>
      <c r="L242" s="111">
        <f t="shared" si="140"/>
        <v>18.407963000000002</v>
      </c>
      <c r="M242" s="111">
        <f t="shared" si="140"/>
        <v>19.081704999999999</v>
      </c>
      <c r="N242" s="105">
        <f>SUM(N240:N241)</f>
        <v>18.815521263879603</v>
      </c>
      <c r="O242" s="105">
        <f t="shared" ref="O242:BJ242" si="141">SUM(O240:O241)</f>
        <v>19.697159918363862</v>
      </c>
      <c r="P242" s="105">
        <f t="shared" si="141"/>
        <v>20.690955965550906</v>
      </c>
      <c r="Q242" s="105">
        <f t="shared" si="141"/>
        <v>22.08884411859642</v>
      </c>
      <c r="R242" s="105">
        <f t="shared" si="141"/>
        <v>21.508900862187943</v>
      </c>
      <c r="S242" s="105">
        <f t="shared" si="141"/>
        <v>21.070064166796975</v>
      </c>
      <c r="T242" s="105">
        <f t="shared" si="141"/>
        <v>21.996139281363543</v>
      </c>
      <c r="U242" s="105">
        <f t="shared" si="141"/>
        <v>22.56136965523589</v>
      </c>
      <c r="V242" s="105">
        <f t="shared" si="141"/>
        <v>23.733234146588288</v>
      </c>
      <c r="W242" s="105">
        <f t="shared" si="141"/>
        <v>24.25148955705577</v>
      </c>
      <c r="X242" s="105">
        <f t="shared" si="141"/>
        <v>24.538143676177274</v>
      </c>
      <c r="Y242" s="105">
        <f t="shared" si="141"/>
        <v>23.824481734726131</v>
      </c>
      <c r="Z242" s="105">
        <f t="shared" si="141"/>
        <v>24.532857796653161</v>
      </c>
      <c r="AA242" s="105">
        <f t="shared" si="141"/>
        <v>25.293845085870302</v>
      </c>
      <c r="AB242" s="105">
        <f t="shared" si="141"/>
        <v>26.510564140646842</v>
      </c>
      <c r="AC242" s="105">
        <f t="shared" si="141"/>
        <v>27.025800044438647</v>
      </c>
      <c r="AD242" s="105">
        <f t="shared" si="141"/>
        <v>28.844729797984087</v>
      </c>
      <c r="AE242" s="105">
        <f t="shared" si="141"/>
        <v>30.141859241411456</v>
      </c>
      <c r="AF242" s="105">
        <f t="shared" si="141"/>
        <v>32.07787785610919</v>
      </c>
      <c r="AG242" s="105">
        <f t="shared" si="141"/>
        <v>33.481912845966789</v>
      </c>
      <c r="AH242" s="105">
        <f t="shared" si="141"/>
        <v>34.40084837449767</v>
      </c>
      <c r="AI242" s="105">
        <f t="shared" si="141"/>
        <v>34.168635831071555</v>
      </c>
      <c r="AJ242" s="105">
        <f t="shared" si="141"/>
        <v>34.623835690825061</v>
      </c>
      <c r="AK242" s="105">
        <f t="shared" si="141"/>
        <v>35.008018127314593</v>
      </c>
      <c r="AL242" s="105">
        <f t="shared" si="141"/>
        <v>35.168328731393458</v>
      </c>
      <c r="AM242" s="105">
        <f t="shared" si="141"/>
        <v>34.808614307986517</v>
      </c>
      <c r="AN242" s="105">
        <f t="shared" si="141"/>
        <v>36.166565434271092</v>
      </c>
      <c r="AO242" s="105">
        <f t="shared" si="141"/>
        <v>36.61376881210812</v>
      </c>
      <c r="AP242" s="105">
        <f t="shared" si="141"/>
        <v>36.371944985234137</v>
      </c>
      <c r="AQ242" s="105">
        <f t="shared" si="141"/>
        <v>36.669878115597612</v>
      </c>
      <c r="AR242" s="105">
        <f t="shared" si="141"/>
        <v>36.40339330216019</v>
      </c>
      <c r="AS242" s="105">
        <f t="shared" si="141"/>
        <v>36.361537334791031</v>
      </c>
      <c r="AT242" s="105">
        <f t="shared" si="141"/>
        <v>37.087975816815998</v>
      </c>
      <c r="AU242" s="105">
        <f t="shared" si="141"/>
        <v>36.974920533059212</v>
      </c>
      <c r="AV242" s="105">
        <f t="shared" si="141"/>
        <v>37.297001795960355</v>
      </c>
      <c r="AW242" s="105">
        <f t="shared" si="141"/>
        <v>37.529251280846324</v>
      </c>
      <c r="AX242" s="105">
        <f t="shared" si="141"/>
        <v>37.531772272391152</v>
      </c>
      <c r="AY242" s="105">
        <f t="shared" si="141"/>
        <v>37.90912300642777</v>
      </c>
      <c r="AZ242" s="105">
        <f t="shared" si="141"/>
        <v>36.313938570403451</v>
      </c>
      <c r="BA242" s="105">
        <f t="shared" si="141"/>
        <v>35.038301162949153</v>
      </c>
      <c r="BB242" s="105">
        <f t="shared" si="141"/>
        <v>34.61120202561581</v>
      </c>
      <c r="BC242" s="105">
        <f t="shared" si="141"/>
        <v>34.144200364625483</v>
      </c>
      <c r="BD242" s="105">
        <f t="shared" si="141"/>
        <v>34.061499271303383</v>
      </c>
      <c r="BE242" s="105">
        <f t="shared" si="141"/>
        <v>33.783556248446374</v>
      </c>
      <c r="BF242" s="105">
        <f t="shared" si="141"/>
        <v>34.237537950201514</v>
      </c>
      <c r="BG242" s="105">
        <f t="shared" si="141"/>
        <v>34.942131493268043</v>
      </c>
      <c r="BH242" s="105">
        <f t="shared" si="141"/>
        <v>35.753302616514887</v>
      </c>
      <c r="BI242" s="105">
        <f t="shared" si="141"/>
        <v>35.813905753699942</v>
      </c>
      <c r="BJ242" s="105">
        <f t="shared" si="141"/>
        <v>35.317895429902542</v>
      </c>
      <c r="BK242" s="18"/>
    </row>
    <row r="243" spans="3:63">
      <c r="C243" s="3" t="s">
        <v>178</v>
      </c>
      <c r="D243" s="119">
        <f>D240*D246</f>
        <v>101.19874555999999</v>
      </c>
      <c r="E243" s="119">
        <f t="shared" ref="D243:L244" si="142">E240*E246</f>
        <v>108.06986310999999</v>
      </c>
      <c r="F243" s="119">
        <f t="shared" si="142"/>
        <v>113.68694282</v>
      </c>
      <c r="G243" s="119">
        <f t="shared" si="142"/>
        <v>120.03554045999999</v>
      </c>
      <c r="H243" s="119">
        <f t="shared" si="142"/>
        <v>132.87642653999998</v>
      </c>
      <c r="I243" s="119">
        <f t="shared" si="142"/>
        <v>142.52994987</v>
      </c>
      <c r="J243" s="119">
        <f t="shared" si="142"/>
        <v>150.27628858</v>
      </c>
      <c r="K243" s="119">
        <f t="shared" si="142"/>
        <v>160.38702459999999</v>
      </c>
      <c r="L243" s="119">
        <f t="shared" si="142"/>
        <v>169.98829221000003</v>
      </c>
      <c r="M243" s="119">
        <f>M240*M246</f>
        <v>175.61843584999997</v>
      </c>
      <c r="N243" s="120">
        <f t="shared" ref="N243:BJ243" si="143">N189*N185+N201*N197+N229*N228</f>
        <v>174.45153477315205</v>
      </c>
      <c r="O243" s="120">
        <f t="shared" si="143"/>
        <v>184.95680395093865</v>
      </c>
      <c r="P243" s="120">
        <f t="shared" si="143"/>
        <v>195.05104795707354</v>
      </c>
      <c r="Q243" s="120">
        <f t="shared" si="143"/>
        <v>204.98599256906169</v>
      </c>
      <c r="R243" s="120">
        <f t="shared" si="143"/>
        <v>201.48839154948334</v>
      </c>
      <c r="S243" s="120">
        <f t="shared" si="143"/>
        <v>203.84609161920747</v>
      </c>
      <c r="T243" s="120">
        <f t="shared" si="143"/>
        <v>214.36205500636211</v>
      </c>
      <c r="U243" s="120">
        <f t="shared" si="143"/>
        <v>217.99264383786286</v>
      </c>
      <c r="V243" s="120">
        <f t="shared" si="143"/>
        <v>226.80742339184741</v>
      </c>
      <c r="W243" s="120">
        <f t="shared" si="143"/>
        <v>225.98350242604195</v>
      </c>
      <c r="X243" s="120">
        <f t="shared" si="143"/>
        <v>241.34204632633944</v>
      </c>
      <c r="Y243" s="120">
        <f t="shared" si="143"/>
        <v>246.81737222088685</v>
      </c>
      <c r="Z243" s="120">
        <f t="shared" si="143"/>
        <v>254.21835099078743</v>
      </c>
      <c r="AA243" s="120">
        <f t="shared" si="143"/>
        <v>257.08214871285065</v>
      </c>
      <c r="AB243" s="120">
        <f t="shared" si="143"/>
        <v>270.01018963955465</v>
      </c>
      <c r="AC243" s="120">
        <f t="shared" si="143"/>
        <v>276.20461462514822</v>
      </c>
      <c r="AD243" s="120">
        <f t="shared" si="143"/>
        <v>289.8176995152873</v>
      </c>
      <c r="AE243" s="120">
        <f t="shared" si="143"/>
        <v>309.42571354875741</v>
      </c>
      <c r="AF243" s="120">
        <f t="shared" si="143"/>
        <v>329.30487597394625</v>
      </c>
      <c r="AG243" s="120">
        <f t="shared" si="143"/>
        <v>350.9237496800335</v>
      </c>
      <c r="AH243" s="120">
        <f t="shared" si="143"/>
        <v>346.05035762412831</v>
      </c>
      <c r="AI243" s="120">
        <f t="shared" si="143"/>
        <v>342.16070577912922</v>
      </c>
      <c r="AJ243" s="120">
        <f t="shared" si="143"/>
        <v>336.79434668132399</v>
      </c>
      <c r="AK243" s="120">
        <f t="shared" si="143"/>
        <v>327.93693412068342</v>
      </c>
      <c r="AL243" s="120">
        <f t="shared" si="143"/>
        <v>322.18250798560803</v>
      </c>
      <c r="AM243" s="120">
        <f t="shared" si="143"/>
        <v>317.95665626043262</v>
      </c>
      <c r="AN243" s="120">
        <f t="shared" si="143"/>
        <v>318.89044081938653</v>
      </c>
      <c r="AO243" s="120">
        <f t="shared" si="143"/>
        <v>318.37871436226914</v>
      </c>
      <c r="AP243" s="120">
        <f t="shared" si="143"/>
        <v>319.40667772649851</v>
      </c>
      <c r="AQ243" s="120">
        <f t="shared" si="143"/>
        <v>318.53003629300594</v>
      </c>
      <c r="AR243" s="120">
        <f t="shared" si="143"/>
        <v>312.78910240855242</v>
      </c>
      <c r="AS243" s="120">
        <f t="shared" si="143"/>
        <v>310.10115383117994</v>
      </c>
      <c r="AT243" s="120">
        <f t="shared" si="143"/>
        <v>308.45229608852071</v>
      </c>
      <c r="AU243" s="120">
        <f t="shared" si="143"/>
        <v>298.15496923651608</v>
      </c>
      <c r="AV243" s="120">
        <f t="shared" si="143"/>
        <v>291.64074202465366</v>
      </c>
      <c r="AW243" s="120">
        <f t="shared" si="143"/>
        <v>279.49986656897295</v>
      </c>
      <c r="AX243" s="120">
        <f t="shared" si="143"/>
        <v>270.96739251892433</v>
      </c>
      <c r="AY243" s="120">
        <f t="shared" si="143"/>
        <v>261.99404653599225</v>
      </c>
      <c r="AZ243" s="120">
        <f t="shared" si="143"/>
        <v>249.53544168235538</v>
      </c>
      <c r="BA243" s="120">
        <f t="shared" si="143"/>
        <v>241.34607729817654</v>
      </c>
      <c r="BB243" s="120">
        <f t="shared" si="143"/>
        <v>228.13204244334361</v>
      </c>
      <c r="BC243" s="120">
        <f t="shared" si="143"/>
        <v>220.09786161333753</v>
      </c>
      <c r="BD243" s="120">
        <f t="shared" si="143"/>
        <v>210.36678136446821</v>
      </c>
      <c r="BE243" s="120">
        <f t="shared" si="143"/>
        <v>203.07687468971625</v>
      </c>
      <c r="BF243" s="120">
        <f t="shared" si="143"/>
        <v>202.89708129071875</v>
      </c>
      <c r="BG243" s="120">
        <f t="shared" si="143"/>
        <v>199.82696306569807</v>
      </c>
      <c r="BH243" s="120">
        <f t="shared" si="143"/>
        <v>198.51480382777839</v>
      </c>
      <c r="BI243" s="120">
        <f t="shared" si="143"/>
        <v>199.25025931348779</v>
      </c>
      <c r="BJ243" s="120">
        <f t="shared" si="143"/>
        <v>201.46451314308209</v>
      </c>
    </row>
    <row r="244" spans="3:63">
      <c r="C244" s="3" t="s">
        <v>179</v>
      </c>
      <c r="D244" s="119">
        <f t="shared" si="142"/>
        <v>14.417335800000002</v>
      </c>
      <c r="E244" s="119">
        <f t="shared" si="142"/>
        <v>15.840387000000002</v>
      </c>
      <c r="F244" s="119">
        <f t="shared" si="142"/>
        <v>16.972237800000002</v>
      </c>
      <c r="G244" s="119">
        <f t="shared" si="142"/>
        <v>18.450234000000002</v>
      </c>
      <c r="H244" s="119">
        <f t="shared" si="142"/>
        <v>20.2963536</v>
      </c>
      <c r="I244" s="119">
        <f t="shared" si="142"/>
        <v>21.461171400000001</v>
      </c>
      <c r="J244" s="119">
        <f t="shared" si="142"/>
        <v>22.560049800000005</v>
      </c>
      <c r="K244" s="119">
        <f t="shared" si="142"/>
        <v>23.928161399999997</v>
      </c>
      <c r="L244" s="119">
        <f t="shared" si="142"/>
        <v>25.554506400000001</v>
      </c>
      <c r="M244" s="119">
        <f>M241*M247</f>
        <v>26.746794000000001</v>
      </c>
      <c r="N244" s="120">
        <f t="shared" ref="N244:BJ244" si="144">N190*N186+N202*N198+N224*N221+N235*N234</f>
        <v>25.868965226847934</v>
      </c>
      <c r="O244" s="120">
        <f t="shared" si="144"/>
        <v>26.787596049061342</v>
      </c>
      <c r="P244" s="120">
        <f t="shared" si="144"/>
        <v>27.473652042926464</v>
      </c>
      <c r="Q244" s="120">
        <f t="shared" si="144"/>
        <v>28.962607430938291</v>
      </c>
      <c r="R244" s="120">
        <f t="shared" si="144"/>
        <v>28.276808450516675</v>
      </c>
      <c r="S244" s="120">
        <f t="shared" si="144"/>
        <v>27.849908380792524</v>
      </c>
      <c r="T244" s="120">
        <f t="shared" si="144"/>
        <v>28.918744993637851</v>
      </c>
      <c r="U244" s="120">
        <f t="shared" si="144"/>
        <v>28.827956162137138</v>
      </c>
      <c r="V244" s="120">
        <f t="shared" si="144"/>
        <v>29.8280766081526</v>
      </c>
      <c r="W244" s="120">
        <f t="shared" si="144"/>
        <v>30.008397573958071</v>
      </c>
      <c r="X244" s="120">
        <f t="shared" si="144"/>
        <v>30.578953673660557</v>
      </c>
      <c r="Y244" s="120">
        <f t="shared" si="144"/>
        <v>30.091527779113207</v>
      </c>
      <c r="Z244" s="120">
        <f t="shared" si="144"/>
        <v>30.091949009212506</v>
      </c>
      <c r="AA244" s="120">
        <f t="shared" si="144"/>
        <v>31.089751287149344</v>
      </c>
      <c r="AB244" s="120">
        <f t="shared" si="144"/>
        <v>32.964510360445374</v>
      </c>
      <c r="AC244" s="120">
        <f t="shared" si="144"/>
        <v>33.68878537485179</v>
      </c>
      <c r="AD244" s="120">
        <f t="shared" si="144"/>
        <v>35.361200484712718</v>
      </c>
      <c r="AE244" s="120">
        <f t="shared" si="144"/>
        <v>40.853586451242577</v>
      </c>
      <c r="AF244" s="120">
        <f t="shared" si="144"/>
        <v>46.396624026053843</v>
      </c>
      <c r="AG244" s="120">
        <f t="shared" si="144"/>
        <v>55.992350319966505</v>
      </c>
      <c r="AH244" s="120">
        <f t="shared" si="144"/>
        <v>64.888242375871712</v>
      </c>
      <c r="AI244" s="120">
        <f t="shared" si="144"/>
        <v>69.42149422087077</v>
      </c>
      <c r="AJ244" s="120">
        <f t="shared" si="144"/>
        <v>75.27055331867605</v>
      </c>
      <c r="AK244" s="120">
        <f t="shared" si="144"/>
        <v>84.28886587931656</v>
      </c>
      <c r="AL244" s="120">
        <f t="shared" si="144"/>
        <v>99.214592014391897</v>
      </c>
      <c r="AM244" s="120">
        <f t="shared" si="144"/>
        <v>111.64634373956746</v>
      </c>
      <c r="AN244" s="120">
        <f t="shared" si="144"/>
        <v>121.97555918061339</v>
      </c>
      <c r="AO244" s="120">
        <f t="shared" si="144"/>
        <v>131.9803856377309</v>
      </c>
      <c r="AP244" s="120">
        <f t="shared" si="144"/>
        <v>139.15832227350145</v>
      </c>
      <c r="AQ244" s="120">
        <f t="shared" si="144"/>
        <v>148.40176370699407</v>
      </c>
      <c r="AR244" s="120">
        <f t="shared" si="144"/>
        <v>153.17729759144757</v>
      </c>
      <c r="AS244" s="120">
        <f t="shared" si="144"/>
        <v>162.46214616882008</v>
      </c>
      <c r="AT244" s="120">
        <f t="shared" si="144"/>
        <v>175.21310391147938</v>
      </c>
      <c r="AU244" s="120">
        <f t="shared" si="144"/>
        <v>188.40663076348383</v>
      </c>
      <c r="AV244" s="120">
        <f t="shared" si="144"/>
        <v>202.3222579753463</v>
      </c>
      <c r="AW244" s="120">
        <f t="shared" si="144"/>
        <v>214.3022334310271</v>
      </c>
      <c r="AX244" s="120">
        <f t="shared" si="144"/>
        <v>229.91430748107564</v>
      </c>
      <c r="AY244" s="120">
        <f t="shared" si="144"/>
        <v>243.55375346400774</v>
      </c>
      <c r="AZ244" s="120">
        <f t="shared" si="144"/>
        <v>250.86355831764467</v>
      </c>
      <c r="BA244" s="120">
        <f t="shared" si="144"/>
        <v>254.38682270182341</v>
      </c>
      <c r="BB244" s="120">
        <f t="shared" si="144"/>
        <v>263.90015755665638</v>
      </c>
      <c r="BC244" s="120">
        <f t="shared" si="144"/>
        <v>275.79593838666256</v>
      </c>
      <c r="BD244" s="120">
        <f t="shared" si="144"/>
        <v>286.8142186355318</v>
      </c>
      <c r="BE244" s="120">
        <f t="shared" si="144"/>
        <v>298.77022531028376</v>
      </c>
      <c r="BF244" s="120">
        <f t="shared" si="144"/>
        <v>315.36181870928124</v>
      </c>
      <c r="BG244" s="120">
        <f t="shared" si="144"/>
        <v>330.338536934302</v>
      </c>
      <c r="BH244" s="120">
        <f t="shared" si="144"/>
        <v>345.64899617222159</v>
      </c>
      <c r="BI244" s="120">
        <f t="shared" si="144"/>
        <v>356.17654068651223</v>
      </c>
      <c r="BJ244" s="120">
        <f t="shared" si="144"/>
        <v>360.8809868569179</v>
      </c>
    </row>
    <row r="245" spans="3:63" s="17" customFormat="1">
      <c r="C245" s="17" t="s">
        <v>180</v>
      </c>
      <c r="D245" s="82">
        <f t="shared" ref="D245:M245" si="145">D133</f>
        <v>112.14729999999999</v>
      </c>
      <c r="E245" s="82">
        <f t="shared" si="145"/>
        <v>122.44489999999998</v>
      </c>
      <c r="F245" s="82">
        <f t="shared" si="145"/>
        <v>128.3982</v>
      </c>
      <c r="G245" s="82">
        <f t="shared" si="145"/>
        <v>136.28229999999999</v>
      </c>
      <c r="H245" s="82">
        <f t="shared" si="145"/>
        <v>152.37230000000002</v>
      </c>
      <c r="I245" s="82">
        <f t="shared" si="145"/>
        <v>162.66990000000001</v>
      </c>
      <c r="J245" s="82">
        <f t="shared" si="145"/>
        <v>172.8066</v>
      </c>
      <c r="K245" s="82">
        <f t="shared" si="145"/>
        <v>179.8862</v>
      </c>
      <c r="L245" s="82">
        <f t="shared" si="145"/>
        <v>187.60940000000002</v>
      </c>
      <c r="M245" s="82">
        <f t="shared" si="145"/>
        <v>192.59730000000002</v>
      </c>
      <c r="N245" s="82">
        <f>SUM(N243:N244)</f>
        <v>200.32049999999998</v>
      </c>
      <c r="O245" s="82">
        <f t="shared" ref="O245:BJ245" si="146">SUM(O243:O244)</f>
        <v>211.74439999999998</v>
      </c>
      <c r="P245" s="82">
        <f t="shared" si="146"/>
        <v>222.5247</v>
      </c>
      <c r="Q245" s="82">
        <f t="shared" si="146"/>
        <v>233.9486</v>
      </c>
      <c r="R245" s="82">
        <f t="shared" si="146"/>
        <v>229.76520000000002</v>
      </c>
      <c r="S245" s="82">
        <f t="shared" si="146"/>
        <v>231.696</v>
      </c>
      <c r="T245" s="82">
        <f t="shared" si="146"/>
        <v>243.28079999999997</v>
      </c>
      <c r="U245" s="82">
        <f t="shared" si="146"/>
        <v>246.82059999999998</v>
      </c>
      <c r="V245" s="82">
        <f t="shared" si="146"/>
        <v>256.63549999999998</v>
      </c>
      <c r="W245" s="82">
        <f t="shared" si="146"/>
        <v>255.99190000000002</v>
      </c>
      <c r="X245" s="82">
        <f t="shared" si="146"/>
        <v>271.92099999999999</v>
      </c>
      <c r="Y245" s="82">
        <f t="shared" si="146"/>
        <v>276.90890000000007</v>
      </c>
      <c r="Z245" s="82">
        <f t="shared" si="146"/>
        <v>284.31029999999993</v>
      </c>
      <c r="AA245" s="82">
        <f t="shared" si="146"/>
        <v>288.17189999999999</v>
      </c>
      <c r="AB245" s="82">
        <f t="shared" si="146"/>
        <v>302.97470000000004</v>
      </c>
      <c r="AC245" s="82">
        <f t="shared" si="146"/>
        <v>309.89340000000004</v>
      </c>
      <c r="AD245" s="82">
        <f t="shared" si="146"/>
        <v>325.1789</v>
      </c>
      <c r="AE245" s="82">
        <f t="shared" si="146"/>
        <v>350.27929999999998</v>
      </c>
      <c r="AF245" s="82">
        <f t="shared" si="146"/>
        <v>375.70150000000012</v>
      </c>
      <c r="AG245" s="82">
        <f t="shared" si="146"/>
        <v>406.91610000000003</v>
      </c>
      <c r="AH245" s="82">
        <f t="shared" si="146"/>
        <v>410.93860000000001</v>
      </c>
      <c r="AI245" s="82">
        <f t="shared" si="146"/>
        <v>411.5822</v>
      </c>
      <c r="AJ245" s="82">
        <f t="shared" si="146"/>
        <v>412.06490000000002</v>
      </c>
      <c r="AK245" s="82">
        <f t="shared" si="146"/>
        <v>412.22579999999999</v>
      </c>
      <c r="AL245" s="82">
        <f t="shared" si="146"/>
        <v>421.39709999999991</v>
      </c>
      <c r="AM245" s="82">
        <f t="shared" si="146"/>
        <v>429.60300000000007</v>
      </c>
      <c r="AN245" s="82">
        <f t="shared" si="146"/>
        <v>440.86599999999993</v>
      </c>
      <c r="AO245" s="82">
        <f t="shared" si="146"/>
        <v>450.35910000000001</v>
      </c>
      <c r="AP245" s="82">
        <f t="shared" si="146"/>
        <v>458.56499999999994</v>
      </c>
      <c r="AQ245" s="82">
        <f t="shared" si="146"/>
        <v>466.93180000000001</v>
      </c>
      <c r="AR245" s="82">
        <f t="shared" si="146"/>
        <v>465.96640000000002</v>
      </c>
      <c r="AS245" s="82">
        <f t="shared" si="146"/>
        <v>472.56330000000003</v>
      </c>
      <c r="AT245" s="82">
        <f t="shared" si="146"/>
        <v>483.66540000000009</v>
      </c>
      <c r="AU245" s="82">
        <f t="shared" si="146"/>
        <v>486.56159999999988</v>
      </c>
      <c r="AV245" s="82">
        <f t="shared" si="146"/>
        <v>493.96299999999997</v>
      </c>
      <c r="AW245" s="82">
        <f t="shared" si="146"/>
        <v>493.80210000000005</v>
      </c>
      <c r="AX245" s="82">
        <f t="shared" si="146"/>
        <v>500.88169999999997</v>
      </c>
      <c r="AY245" s="82">
        <f t="shared" si="146"/>
        <v>505.5478</v>
      </c>
      <c r="AZ245" s="82">
        <f t="shared" si="146"/>
        <v>500.39900000000006</v>
      </c>
      <c r="BA245" s="82">
        <f t="shared" si="146"/>
        <v>495.73289999999997</v>
      </c>
      <c r="BB245" s="82">
        <f t="shared" si="146"/>
        <v>492.03219999999999</v>
      </c>
      <c r="BC245" s="82">
        <f t="shared" si="146"/>
        <v>495.89380000000006</v>
      </c>
      <c r="BD245" s="82">
        <f t="shared" si="146"/>
        <v>497.18100000000004</v>
      </c>
      <c r="BE245" s="82">
        <f t="shared" si="146"/>
        <v>501.84710000000001</v>
      </c>
      <c r="BF245" s="82">
        <f t="shared" si="146"/>
        <v>518.25890000000004</v>
      </c>
      <c r="BG245" s="82">
        <f t="shared" si="146"/>
        <v>530.16550000000007</v>
      </c>
      <c r="BH245" s="82">
        <f t="shared" si="146"/>
        <v>544.16380000000004</v>
      </c>
      <c r="BI245" s="82">
        <f t="shared" si="146"/>
        <v>555.42679999999996</v>
      </c>
      <c r="BJ245" s="82">
        <f t="shared" si="146"/>
        <v>562.34550000000002</v>
      </c>
      <c r="BK245" s="18"/>
    </row>
    <row r="246" spans="3:63">
      <c r="C246" s="121" t="s">
        <v>181</v>
      </c>
      <c r="D246" s="119">
        <v>12.43</v>
      </c>
      <c r="E246" s="119">
        <v>12.43</v>
      </c>
      <c r="F246" s="119">
        <v>12.43</v>
      </c>
      <c r="G246" s="119">
        <v>12.43</v>
      </c>
      <c r="H246" s="119">
        <v>12.43</v>
      </c>
      <c r="I246" s="119">
        <v>12.43</v>
      </c>
      <c r="J246" s="119">
        <v>12.43</v>
      </c>
      <c r="K246" s="119">
        <v>12.43</v>
      </c>
      <c r="L246" s="119">
        <v>12.43</v>
      </c>
      <c r="M246" s="119">
        <v>12.43</v>
      </c>
      <c r="N246" s="107">
        <f>N243/N240</f>
        <v>12.451745849679581</v>
      </c>
      <c r="O246" s="107">
        <f t="shared" ref="O246:BJ248" si="147">O243/O240</f>
        <v>12.548859141922406</v>
      </c>
      <c r="P246" s="107">
        <f t="shared" si="147"/>
        <v>12.447567119449788</v>
      </c>
      <c r="Q246" s="107">
        <f t="shared" si="147"/>
        <v>12.286200896559246</v>
      </c>
      <c r="R246" s="107">
        <f t="shared" si="147"/>
        <v>12.405306428290437</v>
      </c>
      <c r="S246" s="107">
        <f t="shared" si="147"/>
        <v>12.827002209863549</v>
      </c>
      <c r="T246" s="107">
        <f t="shared" si="147"/>
        <v>12.880358197781833</v>
      </c>
      <c r="U246" s="107">
        <f t="shared" si="147"/>
        <v>12.751218404147513</v>
      </c>
      <c r="V246" s="107">
        <f t="shared" si="147"/>
        <v>12.526868482704359</v>
      </c>
      <c r="W246" s="107">
        <f t="shared" si="147"/>
        <v>12.253696759222196</v>
      </c>
      <c r="X246" s="107">
        <f t="shared" si="147"/>
        <v>12.760617787537303</v>
      </c>
      <c r="Y246" s="107">
        <f t="shared" si="147"/>
        <v>13.346934801355475</v>
      </c>
      <c r="Z246" s="107">
        <f t="shared" si="147"/>
        <v>13.365921908769064</v>
      </c>
      <c r="AA246" s="107">
        <f t="shared" si="147"/>
        <v>13.296645785169561</v>
      </c>
      <c r="AB246" s="107">
        <f t="shared" si="147"/>
        <v>13.508829247921494</v>
      </c>
      <c r="AC246" s="107">
        <f t="shared" si="147"/>
        <v>13.701324104342008</v>
      </c>
      <c r="AD246" s="107">
        <f t="shared" si="147"/>
        <v>13.656403450055915</v>
      </c>
      <c r="AE246" s="107">
        <f t="shared" si="147"/>
        <v>14.111193247791055</v>
      </c>
      <c r="AF246" s="107">
        <f t="shared" si="147"/>
        <v>14.32985574202052</v>
      </c>
      <c r="AG246" s="107">
        <f t="shared" si="147"/>
        <v>14.839916257853405</v>
      </c>
      <c r="AH246" s="107">
        <f t="shared" si="147"/>
        <v>14.398774206159599</v>
      </c>
      <c r="AI246" s="107">
        <f t="shared" si="147"/>
        <v>14.407931208428026</v>
      </c>
      <c r="AJ246" s="107">
        <f t="shared" si="147"/>
        <v>14.170133639906862</v>
      </c>
      <c r="AK246" s="107">
        <f t="shared" si="147"/>
        <v>13.964073185428953</v>
      </c>
      <c r="AL246" s="107">
        <f t="shared" si="147"/>
        <v>14.287060021241329</v>
      </c>
      <c r="AM246" s="107">
        <f t="shared" si="147"/>
        <v>14.683028061955682</v>
      </c>
      <c r="AN246" s="107">
        <f t="shared" si="147"/>
        <v>14.424505306964088</v>
      </c>
      <c r="AO246" s="107">
        <f t="shared" si="147"/>
        <v>14.506927190711922</v>
      </c>
      <c r="AP246" s="107">
        <f t="shared" si="147"/>
        <v>14.82801879835546</v>
      </c>
      <c r="AQ246" s="107">
        <f t="shared" si="147"/>
        <v>14.831514791213076</v>
      </c>
      <c r="AR246" s="107">
        <f t="shared" si="147"/>
        <v>14.831642930053723</v>
      </c>
      <c r="AS246" s="107">
        <f t="shared" si="147"/>
        <v>15.036656685522113</v>
      </c>
      <c r="AT246" s="107">
        <f t="shared" si="147"/>
        <v>15.056299616069605</v>
      </c>
      <c r="AU246" s="107">
        <f t="shared" si="147"/>
        <v>15.21831566064621</v>
      </c>
      <c r="AV246" s="107">
        <f t="shared" si="147"/>
        <v>15.239181586306442</v>
      </c>
      <c r="AW246" s="107">
        <f t="shared" si="147"/>
        <v>15.103846057492145</v>
      </c>
      <c r="AX246" s="107">
        <f t="shared" si="147"/>
        <v>15.278788045487588</v>
      </c>
      <c r="AY246" s="107">
        <f t="shared" si="147"/>
        <v>15.190165422663203</v>
      </c>
      <c r="AZ246" s="107">
        <f t="shared" si="147"/>
        <v>15.422695208197366</v>
      </c>
      <c r="BA246" s="107">
        <f t="shared" si="147"/>
        <v>15.808511190360234</v>
      </c>
      <c r="BB246" s="107">
        <f t="shared" si="147"/>
        <v>16.025130477234399</v>
      </c>
      <c r="BC246" s="107">
        <f t="shared" si="147"/>
        <v>16.273677815672887</v>
      </c>
      <c r="BD246" s="107">
        <f t="shared" si="147"/>
        <v>16.338749490991191</v>
      </c>
      <c r="BE246" s="107">
        <f t="shared" si="147"/>
        <v>16.625613033210069</v>
      </c>
      <c r="BF246" s="107">
        <f t="shared" si="147"/>
        <v>16.984236842291548</v>
      </c>
      <c r="BG246" s="107">
        <f t="shared" si="147"/>
        <v>17.103047204212807</v>
      </c>
      <c r="BH246" s="107">
        <f t="shared" si="147"/>
        <v>17.212588242502907</v>
      </c>
      <c r="BI246" s="107">
        <f t="shared" si="147"/>
        <v>17.542712319187572</v>
      </c>
      <c r="BJ246" s="107">
        <f t="shared" si="147"/>
        <v>18.075876648008542</v>
      </c>
    </row>
    <row r="247" spans="3:63">
      <c r="C247" s="121" t="s">
        <v>182</v>
      </c>
      <c r="D247" s="119">
        <v>5.4</v>
      </c>
      <c r="E247" s="119">
        <v>5.4</v>
      </c>
      <c r="F247" s="119">
        <v>5.4</v>
      </c>
      <c r="G247" s="119">
        <v>5.4</v>
      </c>
      <c r="H247" s="119">
        <v>5.4</v>
      </c>
      <c r="I247" s="119">
        <v>5.4</v>
      </c>
      <c r="J247" s="119">
        <v>5.4</v>
      </c>
      <c r="K247" s="119">
        <v>5.4</v>
      </c>
      <c r="L247" s="119">
        <v>5.4</v>
      </c>
      <c r="M247" s="119">
        <v>5.4</v>
      </c>
      <c r="N247" s="107">
        <f>N244/N241</f>
        <v>5.3834073905909117</v>
      </c>
      <c r="O247" s="107">
        <f t="shared" si="147"/>
        <v>5.4026571843031146</v>
      </c>
      <c r="P247" s="107">
        <f t="shared" si="147"/>
        <v>5.4715931698512001</v>
      </c>
      <c r="Q247" s="107">
        <f t="shared" si="147"/>
        <v>5.3588822619579028</v>
      </c>
      <c r="R247" s="107">
        <f t="shared" si="147"/>
        <v>5.368890940158507</v>
      </c>
      <c r="S247" s="107">
        <f t="shared" si="147"/>
        <v>5.378389369391587</v>
      </c>
      <c r="T247" s="107">
        <f t="shared" si="147"/>
        <v>5.4017527885158394</v>
      </c>
      <c r="U247" s="107">
        <f t="shared" si="147"/>
        <v>5.2744926236103256</v>
      </c>
      <c r="V247" s="107">
        <f t="shared" si="147"/>
        <v>5.3003587705600195</v>
      </c>
      <c r="W247" s="107">
        <f t="shared" si="147"/>
        <v>5.1654703581971164</v>
      </c>
      <c r="X247" s="107">
        <f t="shared" si="147"/>
        <v>5.4361560909673505</v>
      </c>
      <c r="Y247" s="107">
        <f t="shared" si="147"/>
        <v>5.6435266895152862</v>
      </c>
      <c r="Z247" s="107">
        <f t="shared" si="147"/>
        <v>5.4583927607214742</v>
      </c>
      <c r="AA247" s="107">
        <f t="shared" si="147"/>
        <v>5.2168527429611693</v>
      </c>
      <c r="AB247" s="107">
        <f t="shared" si="147"/>
        <v>5.0536729100420876</v>
      </c>
      <c r="AC247" s="107">
        <f t="shared" si="147"/>
        <v>4.9060187873271026</v>
      </c>
      <c r="AD247" s="107">
        <f t="shared" si="147"/>
        <v>4.6389827304455142</v>
      </c>
      <c r="AE247" s="107">
        <f t="shared" si="147"/>
        <v>4.973543852389211</v>
      </c>
      <c r="AF247" s="107">
        <f t="shared" si="147"/>
        <v>5.0999067974988987</v>
      </c>
      <c r="AG247" s="107">
        <f t="shared" si="147"/>
        <v>5.6933886144676125</v>
      </c>
      <c r="AH247" s="107">
        <f t="shared" si="147"/>
        <v>6.2587961344275902</v>
      </c>
      <c r="AI247" s="107">
        <f t="shared" si="147"/>
        <v>6.6619762557892486</v>
      </c>
      <c r="AJ247" s="107">
        <f t="shared" si="147"/>
        <v>6.9335862739772187</v>
      </c>
      <c r="AK247" s="107">
        <f t="shared" si="147"/>
        <v>7.3144015472989858</v>
      </c>
      <c r="AL247" s="107">
        <f t="shared" si="147"/>
        <v>7.8631421823110399</v>
      </c>
      <c r="AM247" s="107">
        <f t="shared" si="147"/>
        <v>8.4876936459002934</v>
      </c>
      <c r="AN247" s="107">
        <f t="shared" si="147"/>
        <v>8.675966024556935</v>
      </c>
      <c r="AO247" s="107">
        <f t="shared" si="147"/>
        <v>8.9983962805616127</v>
      </c>
      <c r="AP247" s="107">
        <f t="shared" si="147"/>
        <v>9.3828138954197158</v>
      </c>
      <c r="AQ247" s="107">
        <f t="shared" si="147"/>
        <v>9.7675728856649808</v>
      </c>
      <c r="AR247" s="107">
        <f t="shared" si="147"/>
        <v>10.002380534247052</v>
      </c>
      <c r="AS247" s="107">
        <f t="shared" si="147"/>
        <v>10.322577527074797</v>
      </c>
      <c r="AT247" s="107">
        <f t="shared" si="147"/>
        <v>10.554127658877452</v>
      </c>
      <c r="AU247" s="107">
        <f t="shared" si="147"/>
        <v>10.838513175136125</v>
      </c>
      <c r="AV247" s="107">
        <f t="shared" si="147"/>
        <v>11.141435567552984</v>
      </c>
      <c r="AW247" s="107">
        <f t="shared" si="147"/>
        <v>11.264812127449924</v>
      </c>
      <c r="AX247" s="107">
        <f t="shared" si="147"/>
        <v>11.613653471376685</v>
      </c>
      <c r="AY247" s="107">
        <f t="shared" si="147"/>
        <v>11.787798475395308</v>
      </c>
      <c r="AZ247" s="107">
        <f t="shared" si="147"/>
        <v>12.459584812683705</v>
      </c>
      <c r="BA247" s="107">
        <f t="shared" si="147"/>
        <v>12.866367062084912</v>
      </c>
      <c r="BB247" s="107">
        <f t="shared" si="147"/>
        <v>12.951958517477568</v>
      </c>
      <c r="BC247" s="107">
        <f t="shared" si="147"/>
        <v>13.375540722893803</v>
      </c>
      <c r="BD247" s="107">
        <f t="shared" si="147"/>
        <v>13.537804148454818</v>
      </c>
      <c r="BE247" s="107">
        <f t="shared" si="147"/>
        <v>13.851927111005045</v>
      </c>
      <c r="BF247" s="107">
        <f t="shared" si="147"/>
        <v>14.147280527598047</v>
      </c>
      <c r="BG247" s="107">
        <f t="shared" si="147"/>
        <v>14.202961714734107</v>
      </c>
      <c r="BH247" s="107">
        <f t="shared" si="147"/>
        <v>14.271112935806935</v>
      </c>
      <c r="BI247" s="107">
        <f t="shared" si="147"/>
        <v>14.564034328486807</v>
      </c>
      <c r="BJ247" s="107">
        <f t="shared" si="147"/>
        <v>14.929461478653817</v>
      </c>
    </row>
    <row r="248" spans="3:63" s="17" customFormat="1">
      <c r="C248" s="90" t="s">
        <v>183</v>
      </c>
      <c r="D248" s="109">
        <f t="shared" ref="D248:M248" si="148">D245/D242</f>
        <v>10.373089661448056</v>
      </c>
      <c r="E248" s="109">
        <f t="shared" si="148"/>
        <v>10.530465143439594</v>
      </c>
      <c r="F248" s="109">
        <f t="shared" si="148"/>
        <v>10.448068101527678</v>
      </c>
      <c r="G248" s="109">
        <f t="shared" si="148"/>
        <v>10.424211114401873</v>
      </c>
      <c r="H248" s="109">
        <f t="shared" si="148"/>
        <v>10.545845323569226</v>
      </c>
      <c r="I248" s="109">
        <f t="shared" si="148"/>
        <v>10.535001198116692</v>
      </c>
      <c r="J248" s="109">
        <f t="shared" si="148"/>
        <v>10.622751626500612</v>
      </c>
      <c r="K248" s="109">
        <f t="shared" si="148"/>
        <v>10.377434737859678</v>
      </c>
      <c r="L248" s="109">
        <f t="shared" si="148"/>
        <v>10.191752341092819</v>
      </c>
      <c r="M248" s="109">
        <f t="shared" si="148"/>
        <v>10.093296170336981</v>
      </c>
      <c r="N248" s="109">
        <f>N245/N242</f>
        <v>10.646555957211657</v>
      </c>
      <c r="O248" s="109">
        <f t="shared" si="147"/>
        <v>10.749996490742229</v>
      </c>
      <c r="P248" s="109">
        <f t="shared" si="147"/>
        <v>10.754684335053883</v>
      </c>
      <c r="Q248" s="109">
        <f t="shared" si="147"/>
        <v>10.591255873051345</v>
      </c>
      <c r="R248" s="109">
        <f t="shared" si="147"/>
        <v>10.682331071780657</v>
      </c>
      <c r="S248" s="109">
        <f t="shared" si="147"/>
        <v>10.996454408768036</v>
      </c>
      <c r="T248" s="109">
        <f t="shared" si="147"/>
        <v>11.060159098288768</v>
      </c>
      <c r="U248" s="109">
        <f t="shared" si="147"/>
        <v>10.939965249083162</v>
      </c>
      <c r="V248" s="109">
        <f t="shared" si="147"/>
        <v>10.813338730612573</v>
      </c>
      <c r="W248" s="109">
        <f t="shared" si="147"/>
        <v>10.555718624942001</v>
      </c>
      <c r="X248" s="109">
        <f t="shared" si="147"/>
        <v>11.081563609230679</v>
      </c>
      <c r="Y248" s="109">
        <f t="shared" si="147"/>
        <v>11.622871929943503</v>
      </c>
      <c r="Z248" s="109">
        <f t="shared" si="147"/>
        <v>11.58895968649793</v>
      </c>
      <c r="AA248" s="109">
        <f t="shared" si="147"/>
        <v>11.392965325029968</v>
      </c>
      <c r="AB248" s="109">
        <f t="shared" si="147"/>
        <v>11.428451631305332</v>
      </c>
      <c r="AC248" s="109">
        <f t="shared" si="147"/>
        <v>11.466576363713227</v>
      </c>
      <c r="AD248" s="109">
        <f t="shared" si="147"/>
        <v>11.273425068544974</v>
      </c>
      <c r="AE248" s="109">
        <f t="shared" si="147"/>
        <v>11.621025006936414</v>
      </c>
      <c r="AF248" s="109">
        <f t="shared" si="147"/>
        <v>11.712168170390619</v>
      </c>
      <c r="AG248" s="109">
        <f t="shared" si="147"/>
        <v>12.153311009201103</v>
      </c>
      <c r="AH248" s="109">
        <f t="shared" si="147"/>
        <v>11.945594932031982</v>
      </c>
      <c r="AI248" s="109">
        <f t="shared" si="147"/>
        <v>12.04561405479712</v>
      </c>
      <c r="AJ248" s="109">
        <f t="shared" si="147"/>
        <v>11.901191528274053</v>
      </c>
      <c r="AK248" s="109">
        <f t="shared" si="147"/>
        <v>11.775182431088998</v>
      </c>
      <c r="AL248" s="109">
        <f t="shared" si="147"/>
        <v>11.982289611158986</v>
      </c>
      <c r="AM248" s="109">
        <f t="shared" si="147"/>
        <v>12.341858719191578</v>
      </c>
      <c r="AN248" s="109">
        <f t="shared" si="147"/>
        <v>12.189877438078195</v>
      </c>
      <c r="AO248" s="109">
        <f t="shared" si="147"/>
        <v>12.300266118768601</v>
      </c>
      <c r="AP248" s="109">
        <f t="shared" si="147"/>
        <v>12.607656813133389</v>
      </c>
      <c r="AQ248" s="109">
        <f t="shared" si="147"/>
        <v>12.733388382913374</v>
      </c>
      <c r="AR248" s="109">
        <f t="shared" si="147"/>
        <v>12.80008146856874</v>
      </c>
      <c r="AS248" s="109">
        <f t="shared" si="147"/>
        <v>12.996240935826643</v>
      </c>
      <c r="AT248" s="109">
        <f t="shared" si="147"/>
        <v>13.041029858003254</v>
      </c>
      <c r="AU248" s="109">
        <f t="shared" si="147"/>
        <v>13.159233150074414</v>
      </c>
      <c r="AV248" s="109">
        <f t="shared" si="147"/>
        <v>13.244040437950193</v>
      </c>
      <c r="AW248" s="109">
        <f t="shared" si="147"/>
        <v>13.157792472455217</v>
      </c>
      <c r="AX248" s="109">
        <f t="shared" si="147"/>
        <v>13.345538184682393</v>
      </c>
      <c r="AY248" s="109">
        <f t="shared" si="147"/>
        <v>13.335781994067251</v>
      </c>
      <c r="AZ248" s="109">
        <f t="shared" si="147"/>
        <v>13.779805212531663</v>
      </c>
      <c r="BA248" s="109">
        <f t="shared" si="147"/>
        <v>14.148314374448239</v>
      </c>
      <c r="BB248" s="109">
        <f t="shared" si="147"/>
        <v>14.215981277848892</v>
      </c>
      <c r="BC248" s="109">
        <f t="shared" si="147"/>
        <v>14.523514819628412</v>
      </c>
      <c r="BD248" s="109">
        <f t="shared" si="147"/>
        <v>14.596568284910235</v>
      </c>
      <c r="BE248" s="109">
        <f t="shared" si="147"/>
        <v>14.85477420758742</v>
      </c>
      <c r="BF248" s="109">
        <f t="shared" si="147"/>
        <v>15.137154451754311</v>
      </c>
      <c r="BG248" s="109">
        <f t="shared" si="147"/>
        <v>15.172671996330328</v>
      </c>
      <c r="BH248" s="109">
        <f t="shared" si="147"/>
        <v>15.219959001735525</v>
      </c>
      <c r="BI248" s="109">
        <f t="shared" si="147"/>
        <v>15.508691060388427</v>
      </c>
      <c r="BJ248" s="109">
        <f t="shared" si="147"/>
        <v>15.922395520880327</v>
      </c>
      <c r="BK248" s="18"/>
    </row>
    <row r="250" spans="3:63" s="17" customFormat="1">
      <c r="D250" s="17">
        <v>1960</v>
      </c>
      <c r="E250" s="17">
        <v>1961</v>
      </c>
      <c r="F250" s="17">
        <v>1962</v>
      </c>
      <c r="G250" s="17">
        <v>1963</v>
      </c>
      <c r="H250" s="17">
        <v>1964</v>
      </c>
      <c r="I250" s="17">
        <v>1965</v>
      </c>
      <c r="J250" s="17">
        <v>1966</v>
      </c>
      <c r="K250" s="17">
        <v>1967</v>
      </c>
      <c r="L250" s="17">
        <v>1968</v>
      </c>
      <c r="M250" s="17">
        <v>1969</v>
      </c>
      <c r="N250" s="17">
        <v>1970</v>
      </c>
      <c r="O250" s="17">
        <v>1971</v>
      </c>
      <c r="P250" s="17">
        <v>1972</v>
      </c>
      <c r="Q250" s="17">
        <v>1973</v>
      </c>
      <c r="R250" s="17">
        <v>1974</v>
      </c>
      <c r="S250" s="17">
        <v>1975</v>
      </c>
      <c r="T250" s="17">
        <v>1976</v>
      </c>
      <c r="U250" s="17">
        <v>1977</v>
      </c>
      <c r="V250" s="17">
        <v>1978</v>
      </c>
      <c r="W250" s="17">
        <v>1979</v>
      </c>
      <c r="X250" s="17">
        <v>1980</v>
      </c>
      <c r="Y250" s="17">
        <v>1981</v>
      </c>
      <c r="Z250" s="17">
        <v>1982</v>
      </c>
      <c r="AA250" s="17">
        <v>1983</v>
      </c>
      <c r="AB250" s="17">
        <v>1984</v>
      </c>
      <c r="AC250" s="17">
        <v>1985</v>
      </c>
      <c r="AD250" s="17">
        <v>1986</v>
      </c>
      <c r="AE250" s="17">
        <v>1987</v>
      </c>
      <c r="AF250" s="17">
        <v>1988</v>
      </c>
      <c r="AG250" s="17">
        <v>1989</v>
      </c>
      <c r="AH250" s="17">
        <v>1990</v>
      </c>
      <c r="AI250" s="17">
        <v>1991</v>
      </c>
      <c r="AJ250" s="17">
        <v>1992</v>
      </c>
      <c r="AK250" s="17">
        <v>1993</v>
      </c>
      <c r="AL250" s="17">
        <v>1994</v>
      </c>
      <c r="AM250" s="17">
        <v>1995</v>
      </c>
      <c r="AN250" s="17">
        <v>1996</v>
      </c>
      <c r="AO250" s="17">
        <v>1997</v>
      </c>
      <c r="AP250" s="17">
        <v>1998</v>
      </c>
      <c r="AQ250" s="17">
        <v>1999</v>
      </c>
      <c r="AR250" s="17">
        <v>2000</v>
      </c>
      <c r="AS250" s="17">
        <v>2001</v>
      </c>
      <c r="AT250" s="17">
        <v>2002</v>
      </c>
      <c r="AU250" s="17">
        <v>2003</v>
      </c>
      <c r="AV250" s="17">
        <v>2004</v>
      </c>
      <c r="AW250" s="17">
        <v>2005</v>
      </c>
      <c r="AX250" s="17">
        <v>2006</v>
      </c>
      <c r="AY250" s="17">
        <v>2007</v>
      </c>
      <c r="AZ250" s="17">
        <v>2008</v>
      </c>
      <c r="BA250" s="17">
        <v>2009</v>
      </c>
      <c r="BB250" s="17">
        <v>2010</v>
      </c>
      <c r="BC250" s="17">
        <v>2011</v>
      </c>
      <c r="BD250" s="17">
        <v>2012</v>
      </c>
      <c r="BE250" s="17">
        <v>2013</v>
      </c>
      <c r="BF250" s="17">
        <v>2014</v>
      </c>
      <c r="BG250" s="17">
        <v>2015</v>
      </c>
      <c r="BH250" s="17">
        <v>2016</v>
      </c>
      <c r="BI250" s="17">
        <v>2017</v>
      </c>
      <c r="BJ250" s="17">
        <v>2018</v>
      </c>
      <c r="BK250" s="18"/>
    </row>
    <row r="251" spans="3:63" s="17" customFormat="1">
      <c r="C251" s="17" t="s">
        <v>184</v>
      </c>
      <c r="D251" s="105">
        <f>8*LOG(D258*0.83)</f>
        <v>11.079046731864642</v>
      </c>
      <c r="E251" s="105">
        <f t="shared" ref="E251:BJ251" si="149">8*LOG(E258*0.83)</f>
        <v>11.079046731864642</v>
      </c>
      <c r="F251" s="105">
        <f t="shared" si="149"/>
        <v>11.079046731864642</v>
      </c>
      <c r="G251" s="105">
        <f t="shared" si="149"/>
        <v>11.079046731864644</v>
      </c>
      <c r="H251" s="105">
        <f t="shared" si="149"/>
        <v>11.079046731864642</v>
      </c>
      <c r="I251" s="105">
        <f t="shared" si="149"/>
        <v>11.079046731864644</v>
      </c>
      <c r="J251" s="105">
        <f t="shared" si="149"/>
        <v>11.079046731864642</v>
      </c>
      <c r="K251" s="105">
        <f t="shared" si="149"/>
        <v>11.079046731864644</v>
      </c>
      <c r="L251" s="105">
        <f t="shared" si="149"/>
        <v>11.079046731864644</v>
      </c>
      <c r="M251" s="105">
        <f t="shared" si="149"/>
        <v>11.079046731864642</v>
      </c>
      <c r="N251" s="105">
        <f t="shared" si="149"/>
        <v>11.085119685093392</v>
      </c>
      <c r="O251" s="105">
        <f t="shared" si="149"/>
        <v>11.112111658501801</v>
      </c>
      <c r="P251" s="105">
        <f t="shared" si="149"/>
        <v>11.083953516693839</v>
      </c>
      <c r="Q251" s="105">
        <f t="shared" si="149"/>
        <v>11.038618601639264</v>
      </c>
      <c r="R251" s="105">
        <f t="shared" si="149"/>
        <v>11.072137674070175</v>
      </c>
      <c r="S251" s="105">
        <f t="shared" si="149"/>
        <v>11.188279059209837</v>
      </c>
      <c r="T251" s="105">
        <f t="shared" si="149"/>
        <v>11.202701228758466</v>
      </c>
      <c r="U251" s="105">
        <f t="shared" si="149"/>
        <v>11.167691178329209</v>
      </c>
      <c r="V251" s="105">
        <f t="shared" si="149"/>
        <v>11.106017845684489</v>
      </c>
      <c r="W251" s="105">
        <f t="shared" si="149"/>
        <v>11.02941473229126</v>
      </c>
      <c r="X251" s="105">
        <f t="shared" si="149"/>
        <v>11.170251307984174</v>
      </c>
      <c r="Y251" s="105">
        <f t="shared" si="149"/>
        <v>11.326330014580908</v>
      </c>
      <c r="Z251" s="105">
        <f t="shared" si="149"/>
        <v>11.331269057951777</v>
      </c>
      <c r="AA251" s="105">
        <f t="shared" si="149"/>
        <v>11.313214499212588</v>
      </c>
      <c r="AB251" s="105">
        <f t="shared" si="149"/>
        <v>11.368219400489151</v>
      </c>
      <c r="AC251" s="105">
        <f t="shared" si="149"/>
        <v>11.417378020082975</v>
      </c>
      <c r="AD251" s="105">
        <f t="shared" si="149"/>
        <v>11.405968411723617</v>
      </c>
      <c r="AE251" s="105">
        <f t="shared" si="149"/>
        <v>11.519787618022173</v>
      </c>
      <c r="AF251" s="105">
        <f t="shared" si="149"/>
        <v>11.573212249910346</v>
      </c>
      <c r="AG251" s="105">
        <f t="shared" si="149"/>
        <v>11.694729304423914</v>
      </c>
      <c r="AH251" s="105">
        <f t="shared" si="149"/>
        <v>11.589881873848821</v>
      </c>
      <c r="AI251" s="105">
        <f t="shared" si="149"/>
        <v>11.592090712732777</v>
      </c>
      <c r="AJ251" s="105">
        <f t="shared" si="149"/>
        <v>11.534269271853256</v>
      </c>
      <c r="AK251" s="105">
        <f t="shared" si="149"/>
        <v>11.483374632946047</v>
      </c>
      <c r="AL251" s="105">
        <f t="shared" si="149"/>
        <v>11.562820656690377</v>
      </c>
      <c r="AM251" s="105">
        <f t="shared" si="149"/>
        <v>11.657802733195458</v>
      </c>
      <c r="AN251" s="105">
        <f t="shared" si="149"/>
        <v>11.596085125248411</v>
      </c>
      <c r="AO251" s="105">
        <f t="shared" si="149"/>
        <v>11.615881153608756</v>
      </c>
      <c r="AP251" s="105">
        <f t="shared" si="149"/>
        <v>11.691942726240665</v>
      </c>
      <c r="AQ251" s="105">
        <f t="shared" si="149"/>
        <v>11.692761776430666</v>
      </c>
      <c r="AR251" s="105">
        <f t="shared" si="149"/>
        <v>11.692791793459566</v>
      </c>
      <c r="AS251" s="105">
        <f t="shared" si="149"/>
        <v>11.740487975522692</v>
      </c>
      <c r="AT251" s="105">
        <f t="shared" si="149"/>
        <v>11.745023690775799</v>
      </c>
      <c r="AU251" s="105">
        <f t="shared" si="149"/>
        <v>11.782210407219161</v>
      </c>
      <c r="AV251" s="105">
        <f t="shared" si="149"/>
        <v>11.786970854983219</v>
      </c>
      <c r="AW251" s="105">
        <f t="shared" si="149"/>
        <v>11.755978106963859</v>
      </c>
      <c r="AX251" s="105">
        <f t="shared" si="149"/>
        <v>11.795988952338872</v>
      </c>
      <c r="AY251" s="105">
        <f t="shared" si="149"/>
        <v>11.775777729978016</v>
      </c>
      <c r="AZ251" s="105">
        <f t="shared" si="149"/>
        <v>11.828559909968279</v>
      </c>
      <c r="BA251" s="105">
        <f t="shared" si="149"/>
        <v>11.914405470661261</v>
      </c>
      <c r="BB251" s="105">
        <f t="shared" si="149"/>
        <v>11.961690296713726</v>
      </c>
      <c r="BC251" s="105">
        <f t="shared" si="149"/>
        <v>12.015163411807432</v>
      </c>
      <c r="BD251" s="105">
        <f t="shared" si="149"/>
        <v>12.029028215801013</v>
      </c>
      <c r="BE251" s="105">
        <f t="shared" si="149"/>
        <v>12.089499046187044</v>
      </c>
      <c r="BF251" s="105">
        <f t="shared" si="149"/>
        <v>12.163646001633799</v>
      </c>
      <c r="BG251" s="105">
        <f t="shared" si="149"/>
        <v>12.187865657717117</v>
      </c>
      <c r="BH251" s="105">
        <f t="shared" si="149"/>
        <v>12.210047140620143</v>
      </c>
      <c r="BI251" s="105">
        <f t="shared" si="149"/>
        <v>12.276051634670273</v>
      </c>
      <c r="BJ251" s="105">
        <f t="shared" si="149"/>
        <v>12.380072654656706</v>
      </c>
      <c r="BK251" s="18"/>
    </row>
    <row r="252" spans="3:63" s="17" customFormat="1">
      <c r="C252" s="17" t="s">
        <v>185</v>
      </c>
      <c r="D252" s="105">
        <f>7.5*LOG(D258)</f>
        <v>10.993520618302549</v>
      </c>
      <c r="E252" s="105">
        <f t="shared" ref="E252:BJ252" si="150">7.5*LOG(E258)</f>
        <v>10.993520618302549</v>
      </c>
      <c r="F252" s="105">
        <f t="shared" si="150"/>
        <v>10.993520618302549</v>
      </c>
      <c r="G252" s="105">
        <f t="shared" si="150"/>
        <v>10.993520618302549</v>
      </c>
      <c r="H252" s="105">
        <f t="shared" si="150"/>
        <v>10.993520618302549</v>
      </c>
      <c r="I252" s="105">
        <f t="shared" si="150"/>
        <v>10.993520618302549</v>
      </c>
      <c r="J252" s="105">
        <f t="shared" si="150"/>
        <v>10.993520618302547</v>
      </c>
      <c r="K252" s="105">
        <f t="shared" si="150"/>
        <v>10.993520618302549</v>
      </c>
      <c r="L252" s="105">
        <f t="shared" si="150"/>
        <v>10.993520618302549</v>
      </c>
      <c r="M252" s="105">
        <f t="shared" si="150"/>
        <v>10.993520618302549</v>
      </c>
      <c r="N252" s="105">
        <f t="shared" si="150"/>
        <v>10.999214011954502</v>
      </c>
      <c r="O252" s="105">
        <f t="shared" si="150"/>
        <v>11.024518987024884</v>
      </c>
      <c r="P252" s="105">
        <f t="shared" si="150"/>
        <v>10.998120729079922</v>
      </c>
      <c r="Q252" s="105">
        <f t="shared" si="150"/>
        <v>10.955619246216255</v>
      </c>
      <c r="R252" s="105">
        <f t="shared" si="150"/>
        <v>10.987043376620237</v>
      </c>
      <c r="S252" s="105">
        <f t="shared" si="150"/>
        <v>11.095925925188666</v>
      </c>
      <c r="T252" s="105">
        <f t="shared" si="150"/>
        <v>11.109446709140508</v>
      </c>
      <c r="U252" s="105">
        <f t="shared" si="150"/>
        <v>11.076624786863078</v>
      </c>
      <c r="V252" s="105">
        <f t="shared" si="150"/>
        <v>11.018806037508654</v>
      </c>
      <c r="W252" s="105">
        <f t="shared" si="150"/>
        <v>10.9469906187025</v>
      </c>
      <c r="X252" s="105">
        <f t="shared" si="150"/>
        <v>11.079024908414608</v>
      </c>
      <c r="Y252" s="105">
        <f t="shared" si="150"/>
        <v>11.225348695849046</v>
      </c>
      <c r="Z252" s="105">
        <f t="shared" si="150"/>
        <v>11.229979049009236</v>
      </c>
      <c r="AA252" s="105">
        <f t="shared" si="150"/>
        <v>11.213052900191249</v>
      </c>
      <c r="AB252" s="105">
        <f t="shared" si="150"/>
        <v>11.264619995138027</v>
      </c>
      <c r="AC252" s="105">
        <f t="shared" si="150"/>
        <v>11.310706201007234</v>
      </c>
      <c r="AD252" s="105">
        <f t="shared" si="150"/>
        <v>11.300009693170336</v>
      </c>
      <c r="AE252" s="105">
        <f t="shared" si="150"/>
        <v>11.406715199075233</v>
      </c>
      <c r="AF252" s="105">
        <f t="shared" si="150"/>
        <v>11.456800791470396</v>
      </c>
      <c r="AG252" s="105">
        <f t="shared" si="150"/>
        <v>11.570723030076866</v>
      </c>
      <c r="AH252" s="105">
        <f t="shared" si="150"/>
        <v>11.472428563912715</v>
      </c>
      <c r="AI252" s="105">
        <f t="shared" si="150"/>
        <v>11.474499350366425</v>
      </c>
      <c r="AJ252" s="105">
        <f t="shared" si="150"/>
        <v>11.420291749541873</v>
      </c>
      <c r="AK252" s="105">
        <f t="shared" si="150"/>
        <v>11.372578025566364</v>
      </c>
      <c r="AL252" s="105">
        <f t="shared" si="150"/>
        <v>11.447058672826675</v>
      </c>
      <c r="AM252" s="105">
        <f t="shared" si="150"/>
        <v>11.536104369550189</v>
      </c>
      <c r="AN252" s="105">
        <f t="shared" si="150"/>
        <v>11.47824411209983</v>
      </c>
      <c r="AO252" s="105">
        <f t="shared" si="150"/>
        <v>11.496802888687654</v>
      </c>
      <c r="AP252" s="105">
        <f t="shared" si="150"/>
        <v>11.56811061303007</v>
      </c>
      <c r="AQ252" s="105">
        <f t="shared" si="150"/>
        <v>11.568878472583195</v>
      </c>
      <c r="AR252" s="105">
        <f t="shared" si="150"/>
        <v>11.568906613547789</v>
      </c>
      <c r="AS252" s="105">
        <f t="shared" si="150"/>
        <v>11.613621784231968</v>
      </c>
      <c r="AT252" s="105">
        <f t="shared" si="150"/>
        <v>11.617874017281757</v>
      </c>
      <c r="AU252" s="105">
        <f t="shared" si="150"/>
        <v>11.652736563947409</v>
      </c>
      <c r="AV252" s="105">
        <f t="shared" si="150"/>
        <v>11.657199483726215</v>
      </c>
      <c r="AW252" s="105">
        <f t="shared" si="150"/>
        <v>11.628143782458062</v>
      </c>
      <c r="AX252" s="105">
        <f t="shared" si="150"/>
        <v>11.665653949997138</v>
      </c>
      <c r="AY252" s="105">
        <f t="shared" si="150"/>
        <v>11.646705929033836</v>
      </c>
      <c r="AZ252" s="105">
        <f t="shared" si="150"/>
        <v>11.696189222774706</v>
      </c>
      <c r="BA252" s="105">
        <f t="shared" si="150"/>
        <v>11.776669435924379</v>
      </c>
      <c r="BB252" s="105">
        <f t="shared" si="150"/>
        <v>11.820998960348565</v>
      </c>
      <c r="BC252" s="105">
        <f t="shared" si="150"/>
        <v>11.871130005748913</v>
      </c>
      <c r="BD252" s="105">
        <f t="shared" si="150"/>
        <v>11.884128259492895</v>
      </c>
      <c r="BE252" s="105">
        <f t="shared" si="150"/>
        <v>11.940819662979798</v>
      </c>
      <c r="BF252" s="105">
        <f t="shared" si="150"/>
        <v>12.010332433711133</v>
      </c>
      <c r="BG252" s="105">
        <f t="shared" si="150"/>
        <v>12.033038361289242</v>
      </c>
      <c r="BH252" s="105">
        <f t="shared" si="150"/>
        <v>12.05383350151083</v>
      </c>
      <c r="BI252" s="105">
        <f t="shared" si="150"/>
        <v>12.115712714682827</v>
      </c>
      <c r="BJ252" s="105">
        <f t="shared" si="150"/>
        <v>12.213232420920109</v>
      </c>
      <c r="BK252" s="18"/>
    </row>
    <row r="253" spans="3:63" s="17" customFormat="1">
      <c r="C253" s="17" t="s">
        <v>186</v>
      </c>
      <c r="D253" s="105">
        <f>10*LOG(D259*0.83)</f>
        <v>10.678030032433497</v>
      </c>
      <c r="E253" s="105">
        <f t="shared" ref="E253:BJ253" si="151">10*LOG(E259*0.83)</f>
        <v>10.678030032433497</v>
      </c>
      <c r="F253" s="105">
        <f t="shared" si="151"/>
        <v>10.678030032433497</v>
      </c>
      <c r="G253" s="105">
        <f t="shared" si="151"/>
        <v>10.678030032433497</v>
      </c>
      <c r="H253" s="105">
        <f t="shared" si="151"/>
        <v>10.678030032433497</v>
      </c>
      <c r="I253" s="105">
        <f t="shared" si="151"/>
        <v>10.678030032433497</v>
      </c>
      <c r="J253" s="105">
        <f t="shared" si="151"/>
        <v>10.678030032433497</v>
      </c>
      <c r="K253" s="105">
        <f t="shared" si="151"/>
        <v>10.678030032433497</v>
      </c>
      <c r="L253" s="105">
        <f t="shared" si="151"/>
        <v>10.678030032433497</v>
      </c>
      <c r="M253" s="105">
        <f t="shared" si="151"/>
        <v>10.678030032433494</v>
      </c>
      <c r="N253" s="105">
        <f t="shared" si="151"/>
        <v>10.664664898143579</v>
      </c>
      <c r="O253" s="105">
        <f t="shared" si="151"/>
        <v>10.680166544744917</v>
      </c>
      <c r="P253" s="105">
        <f t="shared" si="151"/>
        <v>10.735230421731863</v>
      </c>
      <c r="Q253" s="105">
        <f t="shared" si="151"/>
        <v>10.644834588435971</v>
      </c>
      <c r="R253" s="105">
        <f t="shared" si="151"/>
        <v>10.652938255232325</v>
      </c>
      <c r="S253" s="105">
        <f t="shared" si="151"/>
        <v>10.660614832669413</v>
      </c>
      <c r="T253" s="105">
        <f t="shared" si="151"/>
        <v>10.679439482181065</v>
      </c>
      <c r="U253" s="105">
        <f t="shared" si="151"/>
        <v>10.575899327239135</v>
      </c>
      <c r="V253" s="105">
        <f t="shared" si="151"/>
        <v>10.59714510530805</v>
      </c>
      <c r="W253" s="105">
        <f t="shared" si="151"/>
        <v>10.485191171305871</v>
      </c>
      <c r="X253" s="105">
        <f t="shared" si="151"/>
        <v>10.707011617664431</v>
      </c>
      <c r="Y253" s="105">
        <f t="shared" si="151"/>
        <v>10.869598266828342</v>
      </c>
      <c r="Z253" s="105">
        <f t="shared" si="151"/>
        <v>10.724740257027833</v>
      </c>
      <c r="AA253" s="105">
        <f t="shared" si="151"/>
        <v>10.528178214074709</v>
      </c>
      <c r="AB253" s="105">
        <f t="shared" si="151"/>
        <v>10.390163729787956</v>
      </c>
      <c r="AC253" s="105">
        <f t="shared" si="151"/>
        <v>10.261384504005866</v>
      </c>
      <c r="AD253" s="105">
        <f t="shared" si="151"/>
        <v>10.018319991928205</v>
      </c>
      <c r="AE253" s="105">
        <f t="shared" si="151"/>
        <v>10.32075194946481</v>
      </c>
      <c r="AF253" s="105">
        <f t="shared" si="151"/>
        <v>10.429714827140442</v>
      </c>
      <c r="AG253" s="105">
        <f t="shared" si="151"/>
        <v>10.907800719462717</v>
      </c>
      <c r="AH253" s="105">
        <f t="shared" si="151"/>
        <v>11.319000490821473</v>
      </c>
      <c r="AI253" s="105">
        <f t="shared" si="151"/>
        <v>11.590123238923082</v>
      </c>
      <c r="AJ253" s="105">
        <f t="shared" si="151"/>
        <v>11.763671672291764</v>
      </c>
      <c r="AK253" s="105">
        <f t="shared" si="151"/>
        <v>11.995880420515075</v>
      </c>
      <c r="AL253" s="105">
        <f t="shared" si="151"/>
        <v>12.310053721242669</v>
      </c>
      <c r="AM253" s="105">
        <f t="shared" si="151"/>
        <v>12.641989392080937</v>
      </c>
      <c r="AN253" s="105">
        <f t="shared" si="151"/>
        <v>12.737270860506493</v>
      </c>
      <c r="AO253" s="105">
        <f t="shared" si="151"/>
        <v>12.895743585748376</v>
      </c>
      <c r="AP253" s="105">
        <f t="shared" si="151"/>
        <v>13.077423457640522</v>
      </c>
      <c r="AQ253" s="105">
        <f t="shared" si="151"/>
        <v>13.251959040363237</v>
      </c>
      <c r="AR253" s="105">
        <f t="shared" si="151"/>
        <v>13.355126164054703</v>
      </c>
      <c r="AS253" s="105">
        <f t="shared" si="151"/>
        <v>13.49197396720993</v>
      </c>
      <c r="AT253" s="105">
        <f t="shared" si="151"/>
        <v>13.588315863608551</v>
      </c>
      <c r="AU253" s="105">
        <f t="shared" si="151"/>
        <v>13.70378953286793</v>
      </c>
      <c r="AV253" s="105">
        <f t="shared" si="151"/>
        <v>13.823503964572621</v>
      </c>
      <c r="AW253" s="105">
        <f t="shared" si="151"/>
        <v>13.871331964538495</v>
      </c>
      <c r="AX253" s="105">
        <f t="shared" si="151"/>
        <v>14.003781068161409</v>
      </c>
      <c r="AY253" s="105">
        <f t="shared" si="151"/>
        <v>14.068419459484625</v>
      </c>
      <c r="AZ253" s="105">
        <f t="shared" si="151"/>
        <v>14.309128141091293</v>
      </c>
      <c r="BA253" s="105">
        <f t="shared" si="151"/>
        <v>14.44865180564323</v>
      </c>
      <c r="BB253" s="105">
        <f t="shared" si="151"/>
        <v>14.477446882099049</v>
      </c>
      <c r="BC253" s="105">
        <f t="shared" si="151"/>
        <v>14.617205913639085</v>
      </c>
      <c r="BD253" s="105">
        <f t="shared" si="151"/>
        <v>14.669574702845454</v>
      </c>
      <c r="BE253" s="105">
        <f t="shared" si="151"/>
        <v>14.769194410414093</v>
      </c>
      <c r="BF253" s="105">
        <f t="shared" si="151"/>
        <v>14.860822086965978</v>
      </c>
      <c r="BG253" s="105">
        <f t="shared" si="151"/>
        <v>14.877881597926248</v>
      </c>
      <c r="BH253" s="105">
        <f t="shared" si="151"/>
        <v>14.898670864041531</v>
      </c>
      <c r="BI253" s="105">
        <f t="shared" si="151"/>
        <v>14.986909373471335</v>
      </c>
      <c r="BJ253" s="105">
        <f t="shared" si="151"/>
        <v>15.094533859701167</v>
      </c>
      <c r="BK253" s="18"/>
    </row>
    <row r="254" spans="3:63" s="17" customFormat="1">
      <c r="C254" s="17" t="s">
        <v>187</v>
      </c>
      <c r="D254" s="105">
        <f>9.3*LOG(D259)</f>
        <v>10.683141671065664</v>
      </c>
      <c r="E254" s="105">
        <f t="shared" ref="E254:BJ254" si="152">9.3*LOG(E259)</f>
        <v>10.683141671065664</v>
      </c>
      <c r="F254" s="105">
        <f t="shared" si="152"/>
        <v>10.683141671065664</v>
      </c>
      <c r="G254" s="105">
        <f t="shared" si="152"/>
        <v>10.683141671065664</v>
      </c>
      <c r="H254" s="105">
        <f t="shared" si="152"/>
        <v>10.683141671065664</v>
      </c>
      <c r="I254" s="105">
        <f t="shared" si="152"/>
        <v>10.683141671065664</v>
      </c>
      <c r="J254" s="105">
        <f t="shared" si="152"/>
        <v>10.683141671065664</v>
      </c>
      <c r="K254" s="105">
        <f t="shared" si="152"/>
        <v>10.683141671065664</v>
      </c>
      <c r="L254" s="105">
        <f t="shared" si="152"/>
        <v>10.683141671065664</v>
      </c>
      <c r="M254" s="105">
        <f t="shared" si="152"/>
        <v>10.683141671065664</v>
      </c>
      <c r="N254" s="105">
        <f t="shared" si="152"/>
        <v>10.670712096176041</v>
      </c>
      <c r="O254" s="105">
        <f t="shared" si="152"/>
        <v>10.685128627515287</v>
      </c>
      <c r="P254" s="105">
        <f t="shared" si="152"/>
        <v>10.736338033113146</v>
      </c>
      <c r="Q254" s="105">
        <f t="shared" si="152"/>
        <v>10.652269908147966</v>
      </c>
      <c r="R254" s="105">
        <f t="shared" si="152"/>
        <v>10.659806318268576</v>
      </c>
      <c r="S254" s="105">
        <f t="shared" si="152"/>
        <v>10.666945535285066</v>
      </c>
      <c r="T254" s="105">
        <f t="shared" si="152"/>
        <v>10.684452459330904</v>
      </c>
      <c r="U254" s="105">
        <f t="shared" si="152"/>
        <v>10.58816011523491</v>
      </c>
      <c r="V254" s="105">
        <f t="shared" si="152"/>
        <v>10.607918688839</v>
      </c>
      <c r="W254" s="105">
        <f t="shared" si="152"/>
        <v>10.503801530216975</v>
      </c>
      <c r="X254" s="105">
        <f t="shared" si="152"/>
        <v>10.710094545330435</v>
      </c>
      <c r="Y254" s="105">
        <f t="shared" si="152"/>
        <v>10.861300129052873</v>
      </c>
      <c r="Z254" s="105">
        <f t="shared" si="152"/>
        <v>10.726582179938397</v>
      </c>
      <c r="AA254" s="105">
        <f t="shared" si="152"/>
        <v>10.543779479991993</v>
      </c>
      <c r="AB254" s="105">
        <f t="shared" si="152"/>
        <v>10.415426009605312</v>
      </c>
      <c r="AC254" s="105">
        <f t="shared" si="152"/>
        <v>10.295661329627968</v>
      </c>
      <c r="AD254" s="105">
        <f t="shared" si="152"/>
        <v>10.069611333395745</v>
      </c>
      <c r="AE254" s="105">
        <f t="shared" si="152"/>
        <v>10.350873053904788</v>
      </c>
      <c r="AF254" s="105">
        <f t="shared" si="152"/>
        <v>10.452208530143123</v>
      </c>
      <c r="AG254" s="105">
        <f t="shared" si="152"/>
        <v>10.89682841000284</v>
      </c>
      <c r="AH254" s="105">
        <f t="shared" si="152"/>
        <v>11.279244197366486</v>
      </c>
      <c r="AI254" s="105">
        <f t="shared" si="152"/>
        <v>11.531388353100979</v>
      </c>
      <c r="AJ254" s="105">
        <f t="shared" si="152"/>
        <v>11.692788396133855</v>
      </c>
      <c r="AK254" s="105">
        <f t="shared" si="152"/>
        <v>11.908742531981535</v>
      </c>
      <c r="AL254" s="105">
        <f t="shared" si="152"/>
        <v>12.200923701658194</v>
      </c>
      <c r="AM254" s="105">
        <f t="shared" si="152"/>
        <v>12.509623875537784</v>
      </c>
      <c r="AN254" s="105">
        <f t="shared" si="152"/>
        <v>12.598235641173552</v>
      </c>
      <c r="AO254" s="105">
        <f t="shared" si="152"/>
        <v>12.745615275648502</v>
      </c>
      <c r="AP254" s="105">
        <f t="shared" si="152"/>
        <v>12.914577556508199</v>
      </c>
      <c r="AQ254" s="105">
        <f t="shared" si="152"/>
        <v>13.076895648440326</v>
      </c>
      <c r="AR254" s="105">
        <f t="shared" si="152"/>
        <v>13.172841073473387</v>
      </c>
      <c r="AS254" s="105">
        <f t="shared" si="152"/>
        <v>13.300109530407749</v>
      </c>
      <c r="AT254" s="105">
        <f t="shared" si="152"/>
        <v>13.389707494058465</v>
      </c>
      <c r="AU254" s="105">
        <f t="shared" si="152"/>
        <v>13.497098006469688</v>
      </c>
      <c r="AV254" s="105">
        <f t="shared" si="152"/>
        <v>13.608432427955051</v>
      </c>
      <c r="AW254" s="105">
        <f t="shared" si="152"/>
        <v>13.652912467923315</v>
      </c>
      <c r="AX254" s="105">
        <f t="shared" si="152"/>
        <v>13.776090134292623</v>
      </c>
      <c r="AY254" s="105">
        <f t="shared" si="152"/>
        <v>13.836203838223216</v>
      </c>
      <c r="AZ254" s="105">
        <f t="shared" si="152"/>
        <v>14.060062912117415</v>
      </c>
      <c r="BA254" s="105">
        <f t="shared" si="152"/>
        <v>14.189819920150718</v>
      </c>
      <c r="BB254" s="105">
        <f t="shared" si="152"/>
        <v>14.21659934125463</v>
      </c>
      <c r="BC254" s="105">
        <f t="shared" si="152"/>
        <v>14.346575240586862</v>
      </c>
      <c r="BD254" s="105">
        <f t="shared" si="152"/>
        <v>14.395278214548787</v>
      </c>
      <c r="BE254" s="105">
        <f t="shared" si="152"/>
        <v>14.487924542587619</v>
      </c>
      <c r="BF254" s="105">
        <f t="shared" si="152"/>
        <v>14.573138281780874</v>
      </c>
      <c r="BG254" s="105">
        <f t="shared" si="152"/>
        <v>14.589003626973923</v>
      </c>
      <c r="BH254" s="105">
        <f t="shared" si="152"/>
        <v>14.608337644461137</v>
      </c>
      <c r="BI254" s="105">
        <f t="shared" si="152"/>
        <v>14.690399458230855</v>
      </c>
      <c r="BJ254" s="105">
        <f t="shared" si="152"/>
        <v>14.7904902304246</v>
      </c>
      <c r="BK254" s="18"/>
    </row>
    <row r="255" spans="3:63">
      <c r="C255" s="5" t="str">
        <f t="shared" ref="C255:AH255" si="153">C25</f>
        <v>petrol exergy efficiency, y = 35(1-e^-0.025x)</v>
      </c>
      <c r="D255" s="13">
        <f t="shared" si="153"/>
        <v>0.15957566228914821</v>
      </c>
      <c r="E255" s="13">
        <f t="shared" si="153"/>
        <v>0.15957566228914821</v>
      </c>
      <c r="F255" s="13">
        <f t="shared" si="153"/>
        <v>0.15957566228914821</v>
      </c>
      <c r="G255" s="13">
        <f t="shared" si="153"/>
        <v>0.15957566228914824</v>
      </c>
      <c r="H255" s="13">
        <f t="shared" si="153"/>
        <v>0.15957566228914821</v>
      </c>
      <c r="I255" s="13">
        <f t="shared" si="153"/>
        <v>0.15957566228914824</v>
      </c>
      <c r="J255" s="13">
        <f t="shared" si="153"/>
        <v>0.15957566228914821</v>
      </c>
      <c r="K255" s="13">
        <f t="shared" si="153"/>
        <v>0.15957566228914824</v>
      </c>
      <c r="L255" s="13">
        <f t="shared" si="153"/>
        <v>0.15957566228914824</v>
      </c>
      <c r="M255" s="13">
        <f t="shared" si="153"/>
        <v>0.15957566228914821</v>
      </c>
      <c r="N255" s="13">
        <f t="shared" si="153"/>
        <v>0.15977832985657828</v>
      </c>
      <c r="O255" s="13">
        <f t="shared" si="153"/>
        <v>0.16068077968357733</v>
      </c>
      <c r="P255" s="13">
        <f t="shared" si="153"/>
        <v>0.15973940156086686</v>
      </c>
      <c r="Q255" s="13">
        <f t="shared" si="153"/>
        <v>0.15823003362711793</v>
      </c>
      <c r="R255" s="13">
        <f t="shared" si="153"/>
        <v>0.15934526063216348</v>
      </c>
      <c r="S255" s="13">
        <f t="shared" si="153"/>
        <v>0.16324187261236239</v>
      </c>
      <c r="T255" s="13">
        <f t="shared" si="153"/>
        <v>0.16372919018945534</v>
      </c>
      <c r="U255" s="13">
        <f t="shared" si="153"/>
        <v>0.16254752229460565</v>
      </c>
      <c r="V255" s="13">
        <f t="shared" si="153"/>
        <v>0.16047680163058048</v>
      </c>
      <c r="W255" s="13">
        <f t="shared" si="153"/>
        <v>0.1579245544997479</v>
      </c>
      <c r="X255" s="13">
        <f t="shared" si="153"/>
        <v>0.16263378185425792</v>
      </c>
      <c r="Y255" s="13">
        <f t="shared" si="153"/>
        <v>0.16793677186192457</v>
      </c>
      <c r="Z255" s="13">
        <f t="shared" si="153"/>
        <v>0.16810597008408468</v>
      </c>
      <c r="AA255" s="13">
        <f t="shared" si="153"/>
        <v>0.16748787469921694</v>
      </c>
      <c r="AB255" s="13">
        <f t="shared" si="153"/>
        <v>0.16937441294359271</v>
      </c>
      <c r="AC255" s="13">
        <f t="shared" si="153"/>
        <v>0.17106902296461737</v>
      </c>
      <c r="AD255" s="13">
        <f t="shared" si="153"/>
        <v>0.17067499596405628</v>
      </c>
      <c r="AE255" s="13">
        <f t="shared" si="153"/>
        <v>0.17462448779488315</v>
      </c>
      <c r="AF255" s="13">
        <f t="shared" si="153"/>
        <v>0.1764923155995331</v>
      </c>
      <c r="AG255" s="13">
        <f t="shared" si="153"/>
        <v>0.18077232454272851</v>
      </c>
      <c r="AH255" s="13">
        <f t="shared" si="153"/>
        <v>0.17707688799781174</v>
      </c>
      <c r="AI255" s="13">
        <f t="shared" ref="AI255:BJ255" si="154">AI25</f>
        <v>0.17715441011566577</v>
      </c>
      <c r="AJ255" s="13">
        <f t="shared" si="154"/>
        <v>0.17512993060076679</v>
      </c>
      <c r="AK255" s="13">
        <f t="shared" si="154"/>
        <v>0.17335647742683125</v>
      </c>
      <c r="AL255" s="13">
        <f t="shared" si="154"/>
        <v>0.17612832444328919</v>
      </c>
      <c r="AM255" s="13">
        <f t="shared" si="154"/>
        <v>0.17946721307183686</v>
      </c>
      <c r="AN255" s="13">
        <f t="shared" si="154"/>
        <v>0.17729463614075647</v>
      </c>
      <c r="AO255" s="13">
        <f t="shared" si="154"/>
        <v>0.17799028305817796</v>
      </c>
      <c r="AP255" s="13">
        <f t="shared" si="154"/>
        <v>0.18067370368605196</v>
      </c>
      <c r="AQ255" s="13">
        <f t="shared" si="154"/>
        <v>0.18070268875933287</v>
      </c>
      <c r="AR255" s="13">
        <f t="shared" si="154"/>
        <v>0.1807037510567342</v>
      </c>
      <c r="AS255" s="13">
        <f t="shared" si="154"/>
        <v>0.18239484916581919</v>
      </c>
      <c r="AT255" s="13">
        <f t="shared" si="154"/>
        <v>0.1825559884459059</v>
      </c>
      <c r="AU255" s="13">
        <f t="shared" si="154"/>
        <v>0.18387917975043055</v>
      </c>
      <c r="AV255" s="13">
        <f t="shared" si="154"/>
        <v>0.18404883077895423</v>
      </c>
      <c r="AW255" s="13">
        <f t="shared" si="154"/>
        <v>0.18294539099294047</v>
      </c>
      <c r="AX255" s="13">
        <f t="shared" si="154"/>
        <v>0.18437037586967936</v>
      </c>
      <c r="AY255" s="13">
        <f t="shared" si="154"/>
        <v>0.18365002855118884</v>
      </c>
      <c r="AZ255" s="13">
        <f t="shared" si="154"/>
        <v>0.18553345091565329</v>
      </c>
      <c r="BA255" s="13">
        <f t="shared" si="154"/>
        <v>0.18861151997382652</v>
      </c>
      <c r="BB255" s="13">
        <f t="shared" si="154"/>
        <v>0.19031440343162881</v>
      </c>
      <c r="BC255" s="13">
        <f t="shared" si="154"/>
        <v>0</v>
      </c>
      <c r="BD255" s="13">
        <f t="shared" si="154"/>
        <v>0</v>
      </c>
      <c r="BE255" s="13">
        <f t="shared" si="154"/>
        <v>0</v>
      </c>
      <c r="BF255" s="13">
        <f t="shared" si="154"/>
        <v>0</v>
      </c>
      <c r="BG255" s="13">
        <f t="shared" si="154"/>
        <v>0</v>
      </c>
      <c r="BH255" s="13">
        <f t="shared" si="154"/>
        <v>0</v>
      </c>
      <c r="BI255" s="13">
        <f t="shared" si="154"/>
        <v>0</v>
      </c>
      <c r="BJ255" s="13">
        <f t="shared" si="154"/>
        <v>0</v>
      </c>
    </row>
    <row r="256" spans="3:63">
      <c r="C256" s="5" t="str">
        <f t="shared" ref="C256:AH256" si="155">C26</f>
        <v>diesel exergy efficiency, y = 43.75(1-e^-0.025x)</v>
      </c>
      <c r="D256" s="13">
        <f t="shared" si="155"/>
        <v>0.11121274215320702</v>
      </c>
      <c r="E256" s="13">
        <f t="shared" si="155"/>
        <v>0.11121274215320696</v>
      </c>
      <c r="F256" s="13">
        <f t="shared" si="155"/>
        <v>0.11121274215320702</v>
      </c>
      <c r="G256" s="13">
        <f t="shared" si="155"/>
        <v>0.11121274215320696</v>
      </c>
      <c r="H256" s="13">
        <f t="shared" si="155"/>
        <v>0.11121274215320696</v>
      </c>
      <c r="I256" s="13">
        <f t="shared" si="155"/>
        <v>0.11121274215320696</v>
      </c>
      <c r="J256" s="13">
        <f t="shared" si="155"/>
        <v>0.11121274215320696</v>
      </c>
      <c r="K256" s="13">
        <f t="shared" si="155"/>
        <v>0.11121274215320696</v>
      </c>
      <c r="L256" s="13">
        <f t="shared" si="155"/>
        <v>0.11121274215320696</v>
      </c>
      <c r="M256" s="13">
        <f t="shared" si="155"/>
        <v>0.11121274215320696</v>
      </c>
      <c r="N256" s="13">
        <f t="shared" si="155"/>
        <v>0.11091855298567591</v>
      </c>
      <c r="O256" s="13">
        <f t="shared" si="155"/>
        <v>0.1112598297595818</v>
      </c>
      <c r="P256" s="13">
        <f t="shared" si="155"/>
        <v>0.11247906298805355</v>
      </c>
      <c r="Q256" s="13">
        <f t="shared" si="155"/>
        <v>0.11048323335533489</v>
      </c>
      <c r="R256" s="13">
        <f t="shared" si="155"/>
        <v>0.11066095685956194</v>
      </c>
      <c r="S256" s="13">
        <f t="shared" si="155"/>
        <v>0.11082953057573279</v>
      </c>
      <c r="T256" s="13">
        <f t="shared" si="155"/>
        <v>0.11124380384610733</v>
      </c>
      <c r="U256" s="13">
        <f t="shared" si="155"/>
        <v>0.1089808837749896</v>
      </c>
      <c r="V256" s="13">
        <f t="shared" si="155"/>
        <v>0.10944209886842129</v>
      </c>
      <c r="W256" s="13">
        <f t="shared" si="155"/>
        <v>0.10702978848780774</v>
      </c>
      <c r="X256" s="13">
        <f t="shared" si="155"/>
        <v>0.11185287687011244</v>
      </c>
      <c r="Y256" s="13">
        <f t="shared" si="155"/>
        <v>0.11550014004931991</v>
      </c>
      <c r="Z256" s="13">
        <f t="shared" si="155"/>
        <v>0.11224594778959419</v>
      </c>
      <c r="AA256" s="13">
        <f t="shared" si="155"/>
        <v>0.10795078261415936</v>
      </c>
      <c r="AB256" s="13">
        <f t="shared" si="155"/>
        <v>0.10501699320997183</v>
      </c>
      <c r="AC256" s="13">
        <f t="shared" si="155"/>
        <v>0.10233983630011806</v>
      </c>
      <c r="AD256" s="13">
        <f t="shared" si="155"/>
        <v>9.7443268647691705E-2</v>
      </c>
      <c r="AE256" s="13">
        <f t="shared" si="155"/>
        <v>0.10356681606912473</v>
      </c>
      <c r="AF256" s="13">
        <f t="shared" si="155"/>
        <v>0.10585086800312826</v>
      </c>
      <c r="AG256" s="13">
        <f t="shared" si="155"/>
        <v>0.11637100925335452</v>
      </c>
      <c r="AH256" s="13">
        <f t="shared" si="155"/>
        <v>0.12608294413231028</v>
      </c>
      <c r="AI256" s="13">
        <f t="shared" ref="AI256:BJ256" si="156">AI26</f>
        <v>0.13282839736846638</v>
      </c>
      <c r="AJ256" s="13">
        <f t="shared" si="156"/>
        <v>0.13729003632412218</v>
      </c>
      <c r="AK256" s="13">
        <f t="shared" si="156"/>
        <v>0.143435744452453</v>
      </c>
      <c r="AL256" s="13">
        <f t="shared" si="156"/>
        <v>0.15207088893372989</v>
      </c>
      <c r="AM256" s="13">
        <f t="shared" si="156"/>
        <v>0.16159089797073409</v>
      </c>
      <c r="AN256" s="13">
        <f t="shared" si="156"/>
        <v>0.16439794803510263</v>
      </c>
      <c r="AO256" s="13">
        <f t="shared" si="156"/>
        <v>0.16913905373674695</v>
      </c>
      <c r="AP256" s="13">
        <f t="shared" si="156"/>
        <v>0.17468419641627367</v>
      </c>
      <c r="AQ256" s="13">
        <f t="shared" si="156"/>
        <v>0.18011953210604217</v>
      </c>
      <c r="AR256" s="13">
        <f t="shared" si="156"/>
        <v>0.18338118355356364</v>
      </c>
      <c r="AS256" s="13">
        <f t="shared" si="156"/>
        <v>0.18776244552961463</v>
      </c>
      <c r="AT256" s="13">
        <f t="shared" si="156"/>
        <v>0.19088361211917754</v>
      </c>
      <c r="AU256" s="13">
        <f t="shared" si="156"/>
        <v>0.19466364667455832</v>
      </c>
      <c r="AV256" s="13">
        <f t="shared" si="156"/>
        <v>0.1986263667640005</v>
      </c>
      <c r="AW256" s="13">
        <f t="shared" si="156"/>
        <v>0.20022174150248401</v>
      </c>
      <c r="AX256" s="13">
        <f t="shared" si="156"/>
        <v>0.20467516740789446</v>
      </c>
      <c r="AY256" s="13">
        <f t="shared" si="156"/>
        <v>0.20686698389112135</v>
      </c>
      <c r="AZ256" s="13">
        <f t="shared" si="156"/>
        <v>0.21513059135750168</v>
      </c>
      <c r="BA256" s="13">
        <f t="shared" si="156"/>
        <v>0.2199897864503994</v>
      </c>
      <c r="BB256" s="13">
        <f t="shared" si="156"/>
        <v>0.2209986144578612</v>
      </c>
      <c r="BC256" s="13">
        <f t="shared" si="156"/>
        <v>0</v>
      </c>
      <c r="BD256" s="13">
        <f t="shared" si="156"/>
        <v>0</v>
      </c>
      <c r="BE256" s="13">
        <f t="shared" si="156"/>
        <v>0</v>
      </c>
      <c r="BF256" s="13">
        <f t="shared" si="156"/>
        <v>0</v>
      </c>
      <c r="BG256" s="13">
        <f t="shared" si="156"/>
        <v>0</v>
      </c>
      <c r="BH256" s="13">
        <f t="shared" si="156"/>
        <v>0</v>
      </c>
      <c r="BI256" s="13">
        <f t="shared" si="156"/>
        <v>0</v>
      </c>
      <c r="BJ256" s="13">
        <f t="shared" si="156"/>
        <v>0</v>
      </c>
    </row>
    <row r="257" spans="1:63" s="17" customFormat="1">
      <c r="C257" s="17" t="s">
        <v>188</v>
      </c>
      <c r="D257" s="122">
        <f>(D240*D255+D241*D256)/D242</f>
        <v>0.14763239699834313</v>
      </c>
      <c r="E257" s="122">
        <f t="shared" ref="E257:BJ257" si="157">(E240*E255+E241*E256)/E242</f>
        <v>0.14737477549663267</v>
      </c>
      <c r="F257" s="122">
        <f t="shared" si="157"/>
        <v>0.14720665278984113</v>
      </c>
      <c r="G257" s="122">
        <f t="shared" si="157"/>
        <v>0.14693632282650529</v>
      </c>
      <c r="H257" s="122">
        <f t="shared" si="157"/>
        <v>0.14699474954390571</v>
      </c>
      <c r="I257" s="122">
        <f t="shared" si="157"/>
        <v>0.14712766261102131</v>
      </c>
      <c r="J257" s="122">
        <f t="shared" si="157"/>
        <v>0.14715526432209963</v>
      </c>
      <c r="K257" s="122">
        <f t="shared" si="157"/>
        <v>0.14721276536470465</v>
      </c>
      <c r="L257" s="122">
        <f t="shared" si="157"/>
        <v>0.14714253099884539</v>
      </c>
      <c r="M257" s="122">
        <f t="shared" si="157"/>
        <v>0.1470219170470678</v>
      </c>
      <c r="N257" s="122">
        <f t="shared" si="157"/>
        <v>0.1472999835144928</v>
      </c>
      <c r="O257" s="122">
        <f t="shared" si="157"/>
        <v>0.14824039505250283</v>
      </c>
      <c r="P257" s="122">
        <f t="shared" si="157"/>
        <v>0.14827057812020003</v>
      </c>
      <c r="Q257" s="122">
        <f t="shared" si="157"/>
        <v>0.1465475622730712</v>
      </c>
      <c r="R257" s="122">
        <f t="shared" si="157"/>
        <v>0.14742415452486932</v>
      </c>
      <c r="S257" s="122">
        <f t="shared" si="157"/>
        <v>0.15036117931815446</v>
      </c>
      <c r="T257" s="122">
        <f t="shared" si="157"/>
        <v>0.15095490304223652</v>
      </c>
      <c r="U257" s="122">
        <f t="shared" si="157"/>
        <v>0.14957088708385496</v>
      </c>
      <c r="V257" s="122">
        <f t="shared" si="157"/>
        <v>0.14837559578494805</v>
      </c>
      <c r="W257" s="122">
        <f t="shared" si="157"/>
        <v>0.14573275997339308</v>
      </c>
      <c r="X257" s="122">
        <f t="shared" si="157"/>
        <v>0.15099280477989488</v>
      </c>
      <c r="Y257" s="122">
        <f t="shared" si="157"/>
        <v>0.15620118045906745</v>
      </c>
      <c r="Z257" s="122">
        <f t="shared" si="157"/>
        <v>0.15555323110656968</v>
      </c>
      <c r="AA257" s="122">
        <f t="shared" si="157"/>
        <v>0.15346033732743328</v>
      </c>
      <c r="AB257" s="122">
        <f t="shared" si="157"/>
        <v>0.15353937333856799</v>
      </c>
      <c r="AC257" s="122">
        <f t="shared" si="157"/>
        <v>0.15360602548156099</v>
      </c>
      <c r="AD257" s="122">
        <f t="shared" si="157"/>
        <v>0.15132249723278485</v>
      </c>
      <c r="AE257" s="122">
        <f t="shared" si="157"/>
        <v>0.1552600375140922</v>
      </c>
      <c r="AF257" s="122">
        <f t="shared" si="157"/>
        <v>0.15645783431187546</v>
      </c>
      <c r="AG257" s="122">
        <f t="shared" si="157"/>
        <v>0.16185575659230395</v>
      </c>
      <c r="AH257" s="122">
        <f t="shared" si="157"/>
        <v>0.16170862961990468</v>
      </c>
      <c r="AI257" s="122">
        <f t="shared" si="157"/>
        <v>0.16363611561162925</v>
      </c>
      <c r="AJ257" s="122">
        <f t="shared" si="157"/>
        <v>0.16326563603009445</v>
      </c>
      <c r="AK257" s="122">
        <f t="shared" si="157"/>
        <v>0.16350738722587371</v>
      </c>
      <c r="AL257" s="122">
        <f t="shared" si="157"/>
        <v>0.16749700833758235</v>
      </c>
      <c r="AM257" s="122">
        <f t="shared" si="157"/>
        <v>0.17271189074931081</v>
      </c>
      <c r="AN257" s="122">
        <f t="shared" si="157"/>
        <v>0.17228131062597365</v>
      </c>
      <c r="AO257" s="122">
        <f t="shared" si="157"/>
        <v>0.17444457123391369</v>
      </c>
      <c r="AP257" s="122">
        <f t="shared" si="157"/>
        <v>0.17823139444533689</v>
      </c>
      <c r="AQ257" s="122">
        <f t="shared" si="157"/>
        <v>0.1804610713795789</v>
      </c>
      <c r="AR257" s="122">
        <f t="shared" si="157"/>
        <v>0.18183008634988565</v>
      </c>
      <c r="AS257" s="122">
        <f t="shared" si="157"/>
        <v>0.18471812966039275</v>
      </c>
      <c r="AT257" s="122">
        <f t="shared" si="157"/>
        <v>0.18628361331338614</v>
      </c>
      <c r="AU257" s="122">
        <f t="shared" si="157"/>
        <v>0.18894929588073026</v>
      </c>
      <c r="AV257" s="122">
        <f t="shared" si="157"/>
        <v>0.1911464502390928</v>
      </c>
      <c r="AW257" s="122">
        <f t="shared" si="157"/>
        <v>0.19170298586136666</v>
      </c>
      <c r="AX257" s="122">
        <f t="shared" si="157"/>
        <v>0.19508055161389612</v>
      </c>
      <c r="AY257" s="122">
        <f t="shared" si="157"/>
        <v>0.19630390684006505</v>
      </c>
      <c r="AZ257" s="122">
        <f t="shared" si="157"/>
        <v>0.20194351987759496</v>
      </c>
      <c r="BA257" s="122">
        <f t="shared" si="157"/>
        <v>0.20631768793228808</v>
      </c>
      <c r="BB257" s="122">
        <f t="shared" si="157"/>
        <v>0.20837792754899609</v>
      </c>
      <c r="BC257" s="122">
        <f t="shared" si="157"/>
        <v>0</v>
      </c>
      <c r="BD257" s="122">
        <f t="shared" si="157"/>
        <v>0</v>
      </c>
      <c r="BE257" s="122">
        <f t="shared" si="157"/>
        <v>0</v>
      </c>
      <c r="BF257" s="122">
        <f t="shared" si="157"/>
        <v>0</v>
      </c>
      <c r="BG257" s="122">
        <f t="shared" si="157"/>
        <v>0</v>
      </c>
      <c r="BH257" s="122">
        <f t="shared" si="157"/>
        <v>0</v>
      </c>
      <c r="BI257" s="122">
        <f t="shared" si="157"/>
        <v>0</v>
      </c>
      <c r="BJ257" s="122">
        <f t="shared" si="157"/>
        <v>0</v>
      </c>
      <c r="BK257" s="18"/>
    </row>
    <row r="258" spans="1:63">
      <c r="C258" s="5" t="s">
        <v>189</v>
      </c>
      <c r="D258" s="62">
        <f t="shared" ref="D258:BJ258" si="158">(D243*1000000000/1.609)/(D240*1000000*$N$5)</f>
        <v>29.22824567507244</v>
      </c>
      <c r="E258" s="62">
        <f t="shared" si="158"/>
        <v>29.22824567507244</v>
      </c>
      <c r="F258" s="62">
        <f t="shared" si="158"/>
        <v>29.22824567507244</v>
      </c>
      <c r="G258" s="62">
        <f t="shared" si="158"/>
        <v>29.228245675072444</v>
      </c>
      <c r="H258" s="62">
        <f t="shared" si="158"/>
        <v>29.22824567507244</v>
      </c>
      <c r="I258" s="62">
        <f t="shared" si="158"/>
        <v>29.228245675072444</v>
      </c>
      <c r="J258" s="62">
        <f t="shared" si="158"/>
        <v>29.228245675072436</v>
      </c>
      <c r="K258" s="62">
        <f t="shared" si="158"/>
        <v>29.228245675072444</v>
      </c>
      <c r="L258" s="62">
        <f t="shared" si="158"/>
        <v>29.228245675072444</v>
      </c>
      <c r="M258" s="62">
        <f t="shared" si="158"/>
        <v>29.22824567507244</v>
      </c>
      <c r="N258" s="62">
        <f t="shared" si="158"/>
        <v>29.279379467256515</v>
      </c>
      <c r="O258" s="62">
        <f t="shared" si="158"/>
        <v>29.507734347706105</v>
      </c>
      <c r="P258" s="62">
        <f t="shared" si="158"/>
        <v>29.269553485457141</v>
      </c>
      <c r="Q258" s="62">
        <f t="shared" si="158"/>
        <v>28.890112487363552</v>
      </c>
      <c r="R258" s="62">
        <f t="shared" si="158"/>
        <v>29.170180527805982</v>
      </c>
      <c r="S258" s="62">
        <f t="shared" si="158"/>
        <v>30.161767647995891</v>
      </c>
      <c r="T258" s="62">
        <f t="shared" si="158"/>
        <v>30.287230393218085</v>
      </c>
      <c r="U258" s="62">
        <f t="shared" si="158"/>
        <v>29.983567511900944</v>
      </c>
      <c r="V258" s="62">
        <f t="shared" si="158"/>
        <v>29.456024903604582</v>
      </c>
      <c r="W258" s="62">
        <f t="shared" si="158"/>
        <v>28.813681360127546</v>
      </c>
      <c r="X258" s="62">
        <f t="shared" si="158"/>
        <v>30.005669481885736</v>
      </c>
      <c r="Y258" s="62">
        <f t="shared" si="158"/>
        <v>31.384351519162674</v>
      </c>
      <c r="Z258" s="62">
        <f t="shared" si="158"/>
        <v>31.42899832850647</v>
      </c>
      <c r="AA258" s="62">
        <f t="shared" si="158"/>
        <v>31.266100536070194</v>
      </c>
      <c r="AB258" s="62">
        <f t="shared" si="158"/>
        <v>31.765034597011542</v>
      </c>
      <c r="AC258" s="62">
        <f t="shared" si="158"/>
        <v>32.217672324658096</v>
      </c>
      <c r="AD258" s="62">
        <f t="shared" si="158"/>
        <v>32.112044656165828</v>
      </c>
      <c r="AE258" s="62">
        <f t="shared" si="158"/>
        <v>33.181449960970262</v>
      </c>
      <c r="AF258" s="62">
        <f t="shared" si="158"/>
        <v>33.695618995665583</v>
      </c>
      <c r="AG258" s="62">
        <f t="shared" si="158"/>
        <v>34.894989395176268</v>
      </c>
      <c r="AH258" s="62">
        <f t="shared" si="158"/>
        <v>33.857675777757755</v>
      </c>
      <c r="AI258" s="62">
        <f t="shared" si="158"/>
        <v>33.879207806072223</v>
      </c>
      <c r="AJ258" s="62">
        <f t="shared" si="158"/>
        <v>33.3200440286248</v>
      </c>
      <c r="AK258" s="62">
        <f t="shared" si="158"/>
        <v>32.835507778633051</v>
      </c>
      <c r="AL258" s="62">
        <f t="shared" si="158"/>
        <v>33.594987954573391</v>
      </c>
      <c r="AM258" s="62">
        <f t="shared" si="158"/>
        <v>34.526078153565848</v>
      </c>
      <c r="AN258" s="62">
        <f t="shared" si="158"/>
        <v>33.918180599624513</v>
      </c>
      <c r="AO258" s="62">
        <f t="shared" si="158"/>
        <v>34.111989695938583</v>
      </c>
      <c r="AP258" s="62">
        <f t="shared" si="158"/>
        <v>34.867013379961861</v>
      </c>
      <c r="AQ258" s="62">
        <f t="shared" si="158"/>
        <v>34.875233954227397</v>
      </c>
      <c r="AR258" s="62">
        <f t="shared" si="158"/>
        <v>34.875535263440192</v>
      </c>
      <c r="AS258" s="62">
        <f t="shared" si="158"/>
        <v>35.35761027644093</v>
      </c>
      <c r="AT258" s="62">
        <f t="shared" si="158"/>
        <v>35.403799206434527</v>
      </c>
      <c r="AU258" s="62">
        <f t="shared" si="158"/>
        <v>35.784768213207542</v>
      </c>
      <c r="AV258" s="62">
        <f t="shared" si="158"/>
        <v>35.833832927723648</v>
      </c>
      <c r="AW258" s="62">
        <f t="shared" si="158"/>
        <v>35.515601223399422</v>
      </c>
      <c r="AX258" s="62">
        <f t="shared" si="158"/>
        <v>35.926964650914805</v>
      </c>
      <c r="AY258" s="62">
        <f t="shared" si="158"/>
        <v>35.718574965292902</v>
      </c>
      <c r="AZ258" s="62">
        <f t="shared" si="158"/>
        <v>36.2653519321766</v>
      </c>
      <c r="BA258" s="62">
        <f t="shared" si="158"/>
        <v>37.172570299998455</v>
      </c>
      <c r="BB258" s="62">
        <f t="shared" si="158"/>
        <v>37.681934880426219</v>
      </c>
      <c r="BC258" s="62">
        <f t="shared" si="158"/>
        <v>38.266375964075898</v>
      </c>
      <c r="BD258" s="62">
        <f t="shared" si="158"/>
        <v>38.41938730057565</v>
      </c>
      <c r="BE258" s="62">
        <f t="shared" si="158"/>
        <v>39.093926165193103</v>
      </c>
      <c r="BF258" s="62">
        <f t="shared" si="158"/>
        <v>39.93720410539936</v>
      </c>
      <c r="BG258" s="62">
        <f t="shared" si="158"/>
        <v>40.216578075389599</v>
      </c>
      <c r="BH258" s="62">
        <f t="shared" si="158"/>
        <v>40.474155901507508</v>
      </c>
      <c r="BI258" s="62">
        <f t="shared" si="158"/>
        <v>41.25041878297138</v>
      </c>
      <c r="BJ258" s="62">
        <f t="shared" si="158"/>
        <v>42.504116127135845</v>
      </c>
    </row>
    <row r="259" spans="1:63">
      <c r="C259" s="5" t="s">
        <v>190</v>
      </c>
      <c r="D259" s="62">
        <f t="shared" ref="D259:BJ259" si="159">(D244*1000000000/1.609)/(D241*1000000*$N$9)</f>
        <v>14.08396414811236</v>
      </c>
      <c r="E259" s="62">
        <f t="shared" si="159"/>
        <v>14.083964148112358</v>
      </c>
      <c r="F259" s="62">
        <f t="shared" si="159"/>
        <v>14.08396414811236</v>
      </c>
      <c r="G259" s="62">
        <f t="shared" si="159"/>
        <v>14.083964148112358</v>
      </c>
      <c r="H259" s="62">
        <f t="shared" si="159"/>
        <v>14.083964148112358</v>
      </c>
      <c r="I259" s="62">
        <f t="shared" si="159"/>
        <v>14.083964148112358</v>
      </c>
      <c r="J259" s="62">
        <f t="shared" si="159"/>
        <v>14.083964148112358</v>
      </c>
      <c r="K259" s="62">
        <f t="shared" si="159"/>
        <v>14.083964148112358</v>
      </c>
      <c r="L259" s="62">
        <f t="shared" si="159"/>
        <v>14.083964148112358</v>
      </c>
      <c r="M259" s="62">
        <f t="shared" si="159"/>
        <v>14.083964148112356</v>
      </c>
      <c r="N259" s="62">
        <f t="shared" si="159"/>
        <v>14.040688274771389</v>
      </c>
      <c r="O259" s="62">
        <f t="shared" si="159"/>
        <v>14.090894460790137</v>
      </c>
      <c r="P259" s="62">
        <f t="shared" si="159"/>
        <v>14.270689266155694</v>
      </c>
      <c r="Q259" s="62">
        <f t="shared" si="159"/>
        <v>13.97672326877229</v>
      </c>
      <c r="R259" s="62">
        <f t="shared" si="159"/>
        <v>14.002827317836603</v>
      </c>
      <c r="S259" s="62">
        <f t="shared" si="159"/>
        <v>14.027600565388843</v>
      </c>
      <c r="T259" s="62">
        <f t="shared" si="159"/>
        <v>14.088535668596862</v>
      </c>
      <c r="U259" s="62">
        <f t="shared" si="159"/>
        <v>13.756623150076093</v>
      </c>
      <c r="V259" s="62">
        <f t="shared" si="159"/>
        <v>13.824085721611151</v>
      </c>
      <c r="W259" s="62">
        <f t="shared" si="159"/>
        <v>13.472277654256533</v>
      </c>
      <c r="X259" s="62">
        <f t="shared" si="159"/>
        <v>14.178264349764222</v>
      </c>
      <c r="Y259" s="62">
        <f t="shared" si="159"/>
        <v>14.719116215564542</v>
      </c>
      <c r="Z259" s="62">
        <f t="shared" si="159"/>
        <v>14.236260731169866</v>
      </c>
      <c r="AA259" s="62">
        <f t="shared" si="159"/>
        <v>13.606290184786431</v>
      </c>
      <c r="AB259" s="62">
        <f t="shared" si="159"/>
        <v>13.180694089133224</v>
      </c>
      <c r="AC259" s="62">
        <f t="shared" si="159"/>
        <v>12.795591242718627</v>
      </c>
      <c r="AD259" s="62">
        <f t="shared" si="159"/>
        <v>12.099123418390183</v>
      </c>
      <c r="AE259" s="62">
        <f t="shared" si="159"/>
        <v>12.971706167798938</v>
      </c>
      <c r="AF259" s="62">
        <f t="shared" si="159"/>
        <v>13.301278610127593</v>
      </c>
      <c r="AG259" s="62">
        <f t="shared" si="159"/>
        <v>14.849163171746842</v>
      </c>
      <c r="AH259" s="62">
        <f t="shared" si="159"/>
        <v>16.323825994004149</v>
      </c>
      <c r="AI259" s="62">
        <f t="shared" si="159"/>
        <v>17.375376804094735</v>
      </c>
      <c r="AJ259" s="62">
        <f t="shared" si="159"/>
        <v>18.083774166766503</v>
      </c>
      <c r="AK259" s="62">
        <f t="shared" si="159"/>
        <v>19.076994288343791</v>
      </c>
      <c r="AL259" s="62">
        <f t="shared" si="159"/>
        <v>20.508187516144194</v>
      </c>
      <c r="AM259" s="62">
        <f t="shared" si="159"/>
        <v>22.13710611278163</v>
      </c>
      <c r="AN259" s="62">
        <f t="shared" si="159"/>
        <v>22.628147118537179</v>
      </c>
      <c r="AO259" s="62">
        <f t="shared" si="159"/>
        <v>23.469090852951364</v>
      </c>
      <c r="AP259" s="62">
        <f t="shared" si="159"/>
        <v>24.471706391018841</v>
      </c>
      <c r="AQ259" s="62">
        <f t="shared" si="159"/>
        <v>25.4752122844037</v>
      </c>
      <c r="AR259" s="62">
        <f t="shared" si="159"/>
        <v>26.087623859280075</v>
      </c>
      <c r="AS259" s="62">
        <f t="shared" si="159"/>
        <v>26.922742927302185</v>
      </c>
      <c r="AT259" s="62">
        <f t="shared" si="159"/>
        <v>27.526658437450191</v>
      </c>
      <c r="AU259" s="62">
        <f t="shared" si="159"/>
        <v>28.268376106937151</v>
      </c>
      <c r="AV259" s="62">
        <f t="shared" si="159"/>
        <v>29.058440572577794</v>
      </c>
      <c r="AW259" s="62">
        <f t="shared" si="159"/>
        <v>29.380224099671487</v>
      </c>
      <c r="AX259" s="62">
        <f t="shared" si="159"/>
        <v>30.290051688790715</v>
      </c>
      <c r="AY259" s="62">
        <f t="shared" si="159"/>
        <v>30.744246502340925</v>
      </c>
      <c r="AZ259" s="62">
        <f t="shared" si="159"/>
        <v>32.496360333741215</v>
      </c>
      <c r="BA259" s="62">
        <f t="shared" si="159"/>
        <v>33.557306003492151</v>
      </c>
      <c r="BB259" s="62">
        <f t="shared" si="159"/>
        <v>33.78054063110973</v>
      </c>
      <c r="BC259" s="62">
        <f t="shared" si="159"/>
        <v>34.88530296349132</v>
      </c>
      <c r="BD259" s="62">
        <f t="shared" si="159"/>
        <v>35.308508939074883</v>
      </c>
      <c r="BE259" s="62">
        <f t="shared" si="159"/>
        <v>36.127786076603826</v>
      </c>
      <c r="BF259" s="62">
        <f t="shared" si="159"/>
        <v>36.898109582218332</v>
      </c>
      <c r="BG259" s="62">
        <f t="shared" si="159"/>
        <v>37.043333997653249</v>
      </c>
      <c r="BH259" s="62">
        <f t="shared" si="159"/>
        <v>37.22108202621618</v>
      </c>
      <c r="BI259" s="62">
        <f t="shared" si="159"/>
        <v>37.98506246931219</v>
      </c>
      <c r="BJ259" s="62">
        <f t="shared" si="159"/>
        <v>38.938148188145348</v>
      </c>
    </row>
    <row r="260" spans="1:63" s="17" customFormat="1">
      <c r="C260" s="17" t="s">
        <v>191</v>
      </c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  <c r="AS260" s="105"/>
      <c r="AT260" s="105"/>
      <c r="AU260" s="105"/>
      <c r="AV260" s="105"/>
      <c r="AW260" s="105"/>
      <c r="AX260" s="105"/>
      <c r="AY260" s="105"/>
      <c r="AZ260" s="105"/>
      <c r="BA260" s="105"/>
      <c r="BB260" s="105"/>
      <c r="BC260" s="109"/>
      <c r="BK260" s="18"/>
    </row>
    <row r="261" spans="1:63" s="17" customFormat="1"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  <c r="AS261" s="105"/>
      <c r="AT261" s="105"/>
      <c r="AU261" s="105"/>
      <c r="AV261" s="105"/>
      <c r="AW261" s="105"/>
      <c r="AX261" s="105"/>
      <c r="AY261" s="105"/>
      <c r="AZ261" s="105"/>
      <c r="BA261" s="105"/>
      <c r="BB261" s="105"/>
      <c r="BC261" s="109"/>
      <c r="BK261" s="18"/>
    </row>
    <row r="262" spans="1:63" s="17" customFormat="1">
      <c r="C262" s="17" t="s">
        <v>192</v>
      </c>
      <c r="D262" s="105">
        <f>D258*0.833</f>
        <v>24.347128647335342</v>
      </c>
      <c r="E262" s="105">
        <f t="shared" ref="E262:BJ262" si="160">E258*0.833</f>
        <v>24.347128647335342</v>
      </c>
      <c r="F262" s="105">
        <f t="shared" si="160"/>
        <v>24.347128647335342</v>
      </c>
      <c r="G262" s="105">
        <f t="shared" si="160"/>
        <v>24.347128647335346</v>
      </c>
      <c r="H262" s="105">
        <f t="shared" si="160"/>
        <v>24.347128647335342</v>
      </c>
      <c r="I262" s="105">
        <f t="shared" si="160"/>
        <v>24.347128647335346</v>
      </c>
      <c r="J262" s="105">
        <f t="shared" si="160"/>
        <v>24.347128647335339</v>
      </c>
      <c r="K262" s="105">
        <f t="shared" si="160"/>
        <v>24.347128647335346</v>
      </c>
      <c r="L262" s="105">
        <f t="shared" si="160"/>
        <v>24.347128647335346</v>
      </c>
      <c r="M262" s="105">
        <f t="shared" si="160"/>
        <v>24.347128647335342</v>
      </c>
      <c r="N262" s="105">
        <f t="shared" si="160"/>
        <v>24.389723096224674</v>
      </c>
      <c r="O262" s="105">
        <f t="shared" si="160"/>
        <v>24.579942711639184</v>
      </c>
      <c r="P262" s="105">
        <f t="shared" si="160"/>
        <v>24.381538053385796</v>
      </c>
      <c r="Q262" s="105">
        <f t="shared" si="160"/>
        <v>24.065463701973837</v>
      </c>
      <c r="R262" s="105">
        <f t="shared" si="160"/>
        <v>24.298760379662383</v>
      </c>
      <c r="S262" s="105">
        <f t="shared" si="160"/>
        <v>25.124752450780576</v>
      </c>
      <c r="T262" s="105">
        <f t="shared" si="160"/>
        <v>25.229262917550663</v>
      </c>
      <c r="U262" s="105">
        <f t="shared" si="160"/>
        <v>24.976311737413486</v>
      </c>
      <c r="V262" s="105">
        <f t="shared" si="160"/>
        <v>24.536868744702616</v>
      </c>
      <c r="W262" s="105">
        <f t="shared" si="160"/>
        <v>24.001796572986244</v>
      </c>
      <c r="X262" s="105">
        <f t="shared" si="160"/>
        <v>24.994722678410817</v>
      </c>
      <c r="Y262" s="105">
        <f t="shared" si="160"/>
        <v>26.143164815462505</v>
      </c>
      <c r="Z262" s="105">
        <f t="shared" si="160"/>
        <v>26.18035560764589</v>
      </c>
      <c r="AA262" s="105">
        <f t="shared" si="160"/>
        <v>26.04466174654647</v>
      </c>
      <c r="AB262" s="105">
        <f t="shared" si="160"/>
        <v>26.460273819310615</v>
      </c>
      <c r="AC262" s="105">
        <f t="shared" si="160"/>
        <v>26.837321046440191</v>
      </c>
      <c r="AD262" s="105">
        <f t="shared" si="160"/>
        <v>26.749333198586132</v>
      </c>
      <c r="AE262" s="105">
        <f t="shared" si="160"/>
        <v>27.640147817488227</v>
      </c>
      <c r="AF262" s="105">
        <f t="shared" si="160"/>
        <v>28.068450623389431</v>
      </c>
      <c r="AG262" s="105">
        <f t="shared" si="160"/>
        <v>29.067526166181828</v>
      </c>
      <c r="AH262" s="105">
        <f t="shared" si="160"/>
        <v>28.203443922872211</v>
      </c>
      <c r="AI262" s="105">
        <f t="shared" si="160"/>
        <v>28.221380102458159</v>
      </c>
      <c r="AJ262" s="105">
        <f t="shared" si="160"/>
        <v>27.755596675844458</v>
      </c>
      <c r="AK262" s="105">
        <f t="shared" si="160"/>
        <v>27.35197797960133</v>
      </c>
      <c r="AL262" s="105">
        <f t="shared" si="160"/>
        <v>27.984624966159632</v>
      </c>
      <c r="AM262" s="105">
        <f t="shared" si="160"/>
        <v>28.760223101920349</v>
      </c>
      <c r="AN262" s="105">
        <f t="shared" si="160"/>
        <v>28.253844439487217</v>
      </c>
      <c r="AO262" s="105">
        <f t="shared" si="160"/>
        <v>28.415287416716836</v>
      </c>
      <c r="AP262" s="105">
        <f t="shared" si="160"/>
        <v>29.044222145508229</v>
      </c>
      <c r="AQ262" s="105">
        <f t="shared" si="160"/>
        <v>29.051069883871421</v>
      </c>
      <c r="AR262" s="105">
        <f t="shared" si="160"/>
        <v>29.051320874445679</v>
      </c>
      <c r="AS262" s="105">
        <f t="shared" si="160"/>
        <v>29.452889360275293</v>
      </c>
      <c r="AT262" s="105">
        <f t="shared" si="160"/>
        <v>29.491364738959959</v>
      </c>
      <c r="AU262" s="105">
        <f t="shared" si="160"/>
        <v>29.80871192160188</v>
      </c>
      <c r="AV262" s="105">
        <f t="shared" si="160"/>
        <v>29.849582828793796</v>
      </c>
      <c r="AW262" s="105">
        <f t="shared" si="160"/>
        <v>29.584495819091718</v>
      </c>
      <c r="AX262" s="105">
        <f t="shared" si="160"/>
        <v>29.927161554212031</v>
      </c>
      <c r="AY262" s="105">
        <f t="shared" si="160"/>
        <v>29.753572946088987</v>
      </c>
      <c r="AZ262" s="105">
        <f t="shared" si="160"/>
        <v>30.209038159503105</v>
      </c>
      <c r="BA262" s="105">
        <f t="shared" si="160"/>
        <v>30.964751059898713</v>
      </c>
      <c r="BB262" s="105">
        <f t="shared" si="160"/>
        <v>31.389051755395037</v>
      </c>
      <c r="BC262" s="105">
        <f t="shared" si="160"/>
        <v>31.875891178075221</v>
      </c>
      <c r="BD262" s="105">
        <f t="shared" si="160"/>
        <v>32.003349621379513</v>
      </c>
      <c r="BE262" s="105">
        <f t="shared" si="160"/>
        <v>32.565240495605856</v>
      </c>
      <c r="BF262" s="105">
        <f t="shared" si="160"/>
        <v>33.267691019797667</v>
      </c>
      <c r="BG262" s="105">
        <f t="shared" si="160"/>
        <v>33.500409536799538</v>
      </c>
      <c r="BH262" s="105">
        <f t="shared" si="160"/>
        <v>33.714971865955754</v>
      </c>
      <c r="BI262" s="105">
        <f t="shared" si="160"/>
        <v>34.361598846215159</v>
      </c>
      <c r="BJ262" s="105">
        <f t="shared" si="160"/>
        <v>35.405928733904155</v>
      </c>
      <c r="BK262" s="18"/>
    </row>
    <row r="263" spans="1:63" s="17" customFormat="1"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/>
      <c r="AS263" s="105"/>
      <c r="AT263" s="105"/>
      <c r="AU263" s="105"/>
      <c r="AV263" s="105"/>
      <c r="AW263" s="105"/>
      <c r="AX263" s="105"/>
      <c r="AY263" s="105"/>
      <c r="AZ263" s="105"/>
      <c r="BA263" s="105"/>
      <c r="BB263" s="105"/>
      <c r="BC263" s="105"/>
      <c r="BD263" s="105"/>
      <c r="BE263" s="105"/>
      <c r="BF263" s="105"/>
      <c r="BG263" s="105"/>
      <c r="BH263" s="105"/>
      <c r="BI263" s="105"/>
      <c r="BJ263" s="105"/>
      <c r="BK263" s="18"/>
    </row>
    <row r="264" spans="1:63" s="17" customFormat="1">
      <c r="C264" s="123" t="s">
        <v>193</v>
      </c>
      <c r="D264" s="124">
        <v>13.197054801575648</v>
      </c>
      <c r="E264" s="82">
        <v>13.295086955157087</v>
      </c>
      <c r="F264" s="82">
        <v>13.393119108738526</v>
      </c>
      <c r="G264" s="82">
        <v>13.491151262319965</v>
      </c>
      <c r="H264" s="82">
        <v>13.589183415901404</v>
      </c>
      <c r="I264" s="125">
        <v>13.68721556948284</v>
      </c>
      <c r="J264" s="82">
        <v>13.628390780428564</v>
      </c>
      <c r="K264" s="82">
        <v>13.569565991374288</v>
      </c>
      <c r="L264" s="82">
        <v>13.510741202320013</v>
      </c>
      <c r="M264" s="82">
        <v>13.451916413265737</v>
      </c>
      <c r="N264" s="126">
        <v>13.393091624211458</v>
      </c>
      <c r="O264" s="111">
        <v>13.405942192706743</v>
      </c>
      <c r="P264" s="111">
        <v>13.418792761202027</v>
      </c>
      <c r="Q264" s="111">
        <v>13.431643329697312</v>
      </c>
      <c r="R264" s="111">
        <v>13.444493898192597</v>
      </c>
      <c r="S264" s="111">
        <v>13.45734446668788</v>
      </c>
      <c r="T264" s="111">
        <v>13.826593251845654</v>
      </c>
      <c r="U264" s="111">
        <v>14.195842037003429</v>
      </c>
      <c r="V264" s="111">
        <v>14.565090822161203</v>
      </c>
      <c r="W264" s="111">
        <v>14.934339607318977</v>
      </c>
      <c r="X264" s="125">
        <v>15.303588392476749</v>
      </c>
      <c r="Y264" s="111">
        <v>15.696882728057679</v>
      </c>
      <c r="Z264" s="111">
        <v>16.09017706363861</v>
      </c>
      <c r="AA264" s="111">
        <v>16.483471399219539</v>
      </c>
      <c r="AB264" s="111">
        <v>16.876765734800468</v>
      </c>
      <c r="AC264" s="125">
        <v>17.270060070381398</v>
      </c>
      <c r="AD264" s="111">
        <v>17.67184947057304</v>
      </c>
      <c r="AE264" s="111">
        <v>18.073638870764682</v>
      </c>
      <c r="AF264" s="111">
        <v>18.475428270956325</v>
      </c>
      <c r="AG264" s="111">
        <v>18.877217671147967</v>
      </c>
      <c r="AH264" s="125">
        <v>19.279007071339617</v>
      </c>
      <c r="AI264" s="125">
        <v>19.913392821192801</v>
      </c>
      <c r="AJ264" s="125">
        <v>19.988444728746977</v>
      </c>
      <c r="AK264" s="125">
        <v>20.018615279872112</v>
      </c>
      <c r="AL264" s="125">
        <v>19.904044146485482</v>
      </c>
      <c r="AM264" s="125">
        <v>19.995298550986774</v>
      </c>
      <c r="AN264" s="125">
        <v>20.047069647114174</v>
      </c>
      <c r="AO264" s="125">
        <v>20.186048676831316</v>
      </c>
      <c r="AP264" s="125">
        <v>20.625026158056269</v>
      </c>
      <c r="AQ264" s="125">
        <v>20.315369048251508</v>
      </c>
      <c r="AR264" s="125">
        <v>20.624399364619347</v>
      </c>
      <c r="AS264" s="125">
        <v>20.79656680098352</v>
      </c>
      <c r="AT264" s="125">
        <v>20.736660060709248</v>
      </c>
      <c r="AU264" s="125">
        <v>20.193017194526458</v>
      </c>
      <c r="AV264" s="125">
        <v>20.552284807884224</v>
      </c>
      <c r="AW264" s="125">
        <v>21.044466333604017</v>
      </c>
      <c r="AX264" s="125">
        <v>21.274145831973524</v>
      </c>
      <c r="AY264" s="125">
        <v>21.528463794298183</v>
      </c>
      <c r="AZ264" s="125">
        <v>22.291194577534764</v>
      </c>
      <c r="BA264" s="125">
        <v>22.893671884457859</v>
      </c>
      <c r="BB264" s="125">
        <v>22.41287587147643</v>
      </c>
      <c r="BC264" s="125"/>
      <c r="BD264" s="125"/>
      <c r="BE264" s="125"/>
      <c r="BF264" s="125"/>
      <c r="BG264" s="125"/>
      <c r="BH264" s="125"/>
      <c r="BI264" s="125"/>
      <c r="BJ264" s="125"/>
      <c r="BK264" s="18"/>
    </row>
    <row r="265" spans="1:63" s="9" customFormat="1">
      <c r="A265" s="65"/>
      <c r="B265" s="65"/>
      <c r="C265" s="123" t="s">
        <v>194</v>
      </c>
      <c r="D265" s="127">
        <v>8.1010415833571173E-2</v>
      </c>
      <c r="E265" s="9">
        <v>8.1550395049725694E-2</v>
      </c>
      <c r="F265" s="65">
        <v>8.2086407284866228E-2</v>
      </c>
      <c r="G265" s="65">
        <v>8.2618510401362991E-2</v>
      </c>
      <c r="H265" s="12">
        <v>8.3146761004776124E-2</v>
      </c>
      <c r="I265" s="12">
        <v>8.367121447999247E-2</v>
      </c>
      <c r="J265" s="12">
        <v>8.335696556046672E-2</v>
      </c>
      <c r="K265" s="12">
        <v>8.3041357297363699E-2</v>
      </c>
      <c r="L265" s="12">
        <v>8.2724377879373492E-2</v>
      </c>
      <c r="M265" s="12">
        <v>8.2406015340571945E-2</v>
      </c>
      <c r="N265" s="12">
        <v>8.2086257557710082E-2</v>
      </c>
      <c r="O265" s="12">
        <v>8.2156229966719577E-2</v>
      </c>
      <c r="P265" s="12">
        <v>8.222613533421877E-2</v>
      </c>
      <c r="Q265" s="12">
        <v>8.2295973788551469E-2</v>
      </c>
      <c r="R265" s="12">
        <v>8.2365745457693235E-2</v>
      </c>
      <c r="S265" s="12">
        <v>8.2435450469252894E-2</v>
      </c>
      <c r="T265" s="65">
        <v>8.4410427873277072E-2</v>
      </c>
      <c r="U265" s="12">
        <v>8.6333351016526547E-2</v>
      </c>
      <c r="V265" s="12">
        <v>8.8206893557239263E-2</v>
      </c>
      <c r="W265" s="12">
        <v>9.0033528310542885E-2</v>
      </c>
      <c r="X265" s="12">
        <v>9.1815546874265228E-2</v>
      </c>
      <c r="Y265" s="12">
        <v>9.3666929945199526E-2</v>
      </c>
      <c r="Z265" s="12">
        <v>9.5472494765297858E-2</v>
      </c>
      <c r="AA265" s="12">
        <v>9.7234454504146209E-2</v>
      </c>
      <c r="AB265" s="12">
        <v>9.8954865750711593E-2</v>
      </c>
      <c r="AC265" s="12">
        <v>0.10063564294433185</v>
      </c>
      <c r="AD265" s="12">
        <v>0.10231365304629186</v>
      </c>
      <c r="AE265" s="12">
        <v>0.10395393731760849</v>
      </c>
      <c r="AF265" s="12">
        <v>0.10555815486631487</v>
      </c>
      <c r="AG265" s="12">
        <v>0.10712785770467832</v>
      </c>
      <c r="AH265" s="12">
        <v>0.108664499772788</v>
      </c>
      <c r="AI265" s="12">
        <v>0.11102668028735753</v>
      </c>
      <c r="AJ265" s="12">
        <v>0.11130114905959694</v>
      </c>
      <c r="AK265" s="12">
        <v>0.1114111940500023</v>
      </c>
      <c r="AL265" s="12">
        <v>0.11099241926297493</v>
      </c>
      <c r="AM265" s="12">
        <v>0.11132616247404487</v>
      </c>
      <c r="AN265" s="12">
        <v>0.11151482751584424</v>
      </c>
      <c r="AO265" s="12">
        <v>0.11201889756925659</v>
      </c>
      <c r="AP265" s="12">
        <v>0.11358855379898984</v>
      </c>
      <c r="AQ265" s="12">
        <v>0.11248482875773348</v>
      </c>
      <c r="AR265" s="12">
        <v>0.11358633647005378</v>
      </c>
      <c r="AS265" s="12">
        <v>0.11419287288180388</v>
      </c>
      <c r="AT265" s="12">
        <v>0.11398239624071162</v>
      </c>
      <c r="AU265" s="12">
        <v>0.1120440805847355</v>
      </c>
      <c r="AV265" s="12">
        <v>0.11333077486928685</v>
      </c>
      <c r="AW265" s="12">
        <v>0.11505744649932406</v>
      </c>
      <c r="AX265" s="12">
        <v>0.11584943461976704</v>
      </c>
      <c r="AY265" s="12">
        <v>0.11671646733823322</v>
      </c>
      <c r="AZ265" s="12">
        <v>0.11925667804092364</v>
      </c>
      <c r="BA265" s="12">
        <v>0.12120247274884542</v>
      </c>
      <c r="BB265" s="12">
        <v>0.11965387088148896</v>
      </c>
      <c r="BC265" s="12"/>
      <c r="BD265" s="12"/>
      <c r="BE265" s="12"/>
      <c r="BF265" s="12"/>
      <c r="BG265" s="12"/>
      <c r="BH265" s="12"/>
      <c r="BI265" s="12"/>
      <c r="BJ265" s="12"/>
      <c r="BK265" s="128"/>
    </row>
    <row r="266" spans="1:63" ht="17.25" customHeight="1">
      <c r="B266" s="5" t="s">
        <v>195</v>
      </c>
    </row>
    <row r="267" spans="1:63">
      <c r="B267" s="3" t="s">
        <v>196</v>
      </c>
    </row>
    <row r="269" spans="1:63" ht="15.6">
      <c r="A269" s="207" t="s">
        <v>197</v>
      </c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</row>
    <row r="270" spans="1:63">
      <c r="A270" s="42" t="s">
        <v>198</v>
      </c>
      <c r="C270" s="43"/>
      <c r="D270" s="44"/>
      <c r="E270" s="43"/>
      <c r="F270" s="44"/>
      <c r="G270" s="44"/>
      <c r="H270" s="45"/>
      <c r="I270" s="43"/>
      <c r="J270" s="45"/>
      <c r="K270" s="43"/>
      <c r="L270" s="46" t="s">
        <v>199</v>
      </c>
    </row>
    <row r="271" spans="1:63">
      <c r="A271" s="129"/>
      <c r="B271" s="130" t="s">
        <v>200</v>
      </c>
      <c r="C271" s="131"/>
      <c r="D271" s="132" t="s">
        <v>201</v>
      </c>
      <c r="E271" s="131"/>
      <c r="F271" s="132" t="s">
        <v>202</v>
      </c>
      <c r="G271" s="132"/>
      <c r="H271" s="133"/>
      <c r="I271" s="131"/>
      <c r="J271" s="133"/>
      <c r="K271" s="131"/>
      <c r="L271" s="133"/>
    </row>
    <row r="272" spans="1:63">
      <c r="A272" s="134" t="s">
        <v>203</v>
      </c>
      <c r="B272" s="135" t="s">
        <v>204</v>
      </c>
      <c r="C272" s="136"/>
      <c r="D272" s="135" t="s">
        <v>205</v>
      </c>
      <c r="E272" s="136"/>
      <c r="F272" s="135" t="s">
        <v>205</v>
      </c>
      <c r="G272" s="136"/>
      <c r="H272" s="137" t="s">
        <v>200</v>
      </c>
      <c r="I272" s="138"/>
      <c r="J272" s="137" t="s">
        <v>201</v>
      </c>
      <c r="K272" s="138"/>
      <c r="L272" s="137" t="s">
        <v>202</v>
      </c>
    </row>
    <row r="273" spans="1:14">
      <c r="A273" s="139" t="s">
        <v>206</v>
      </c>
      <c r="B273" s="140">
        <v>132</v>
      </c>
      <c r="C273" s="140"/>
      <c r="D273" s="141">
        <v>1704</v>
      </c>
      <c r="E273" s="141"/>
      <c r="F273" s="141">
        <v>21554</v>
      </c>
      <c r="G273" s="140"/>
      <c r="H273" s="142">
        <v>100</v>
      </c>
      <c r="I273" s="142"/>
      <c r="J273" s="142">
        <v>100</v>
      </c>
      <c r="K273" s="142"/>
      <c r="L273" s="142">
        <v>100</v>
      </c>
      <c r="N273" s="62">
        <f>1000*B273/D273</f>
        <v>77.464788732394368</v>
      </c>
    </row>
    <row r="274" spans="1:14" ht="16.2">
      <c r="A274" s="139" t="s">
        <v>207</v>
      </c>
      <c r="B274" s="140">
        <v>131</v>
      </c>
      <c r="C274" s="140"/>
      <c r="D274" s="141">
        <v>1645</v>
      </c>
      <c r="E274" s="141"/>
      <c r="F274" s="141">
        <v>21120</v>
      </c>
      <c r="G274" s="143"/>
      <c r="H274" s="142">
        <v>99</v>
      </c>
      <c r="I274" s="142"/>
      <c r="J274" s="142">
        <v>97</v>
      </c>
      <c r="K274" s="142"/>
      <c r="L274" s="142">
        <v>98</v>
      </c>
      <c r="N274" s="62">
        <f t="shared" ref="N274:N293" si="161">1000*B274/D274</f>
        <v>79.635258358662611</v>
      </c>
    </row>
    <row r="275" spans="1:14" ht="16.2">
      <c r="A275" s="139" t="s">
        <v>208</v>
      </c>
      <c r="B275" s="140">
        <v>125</v>
      </c>
      <c r="C275" s="140"/>
      <c r="D275" s="141">
        <v>1505</v>
      </c>
      <c r="E275" s="141"/>
      <c r="F275" s="141">
        <v>20465</v>
      </c>
      <c r="G275" s="143"/>
      <c r="H275" s="142">
        <v>94</v>
      </c>
      <c r="I275" s="142"/>
      <c r="J275" s="142">
        <v>88</v>
      </c>
      <c r="K275" s="142"/>
      <c r="L275" s="142">
        <v>95</v>
      </c>
      <c r="N275" s="62">
        <f t="shared" si="161"/>
        <v>83.056478405315616</v>
      </c>
    </row>
    <row r="276" spans="1:14" ht="16.2">
      <c r="A276" s="139" t="s">
        <v>209</v>
      </c>
      <c r="B276" s="140">
        <v>121</v>
      </c>
      <c r="C276" s="140"/>
      <c r="D276" s="141">
        <v>1463</v>
      </c>
      <c r="E276" s="141"/>
      <c r="F276" s="141">
        <v>19953</v>
      </c>
      <c r="G276" s="143"/>
      <c r="H276" s="142">
        <v>92</v>
      </c>
      <c r="I276" s="142"/>
      <c r="J276" s="142">
        <v>86</v>
      </c>
      <c r="K276" s="142"/>
      <c r="L276" s="142">
        <v>93</v>
      </c>
      <c r="N276" s="62">
        <f t="shared" si="161"/>
        <v>82.706766917293237</v>
      </c>
    </row>
    <row r="277" spans="1:14" ht="16.2">
      <c r="A277" s="139" t="s">
        <v>210</v>
      </c>
      <c r="B277" s="140">
        <v>129</v>
      </c>
      <c r="C277" s="140"/>
      <c r="D277" s="141">
        <v>1523</v>
      </c>
      <c r="E277" s="141"/>
      <c r="F277" s="141">
        <v>20584</v>
      </c>
      <c r="G277" s="143"/>
      <c r="H277" s="142">
        <v>97</v>
      </c>
      <c r="I277" s="142"/>
      <c r="J277" s="142">
        <v>89</v>
      </c>
      <c r="K277" s="142"/>
      <c r="L277" s="142">
        <v>95</v>
      </c>
      <c r="N277" s="62">
        <f t="shared" si="161"/>
        <v>84.701247537754426</v>
      </c>
    </row>
    <row r="278" spans="1:14" ht="16.2">
      <c r="A278" s="139" t="s">
        <v>211</v>
      </c>
      <c r="B278" s="140">
        <v>138</v>
      </c>
      <c r="C278" s="140"/>
      <c r="D278" s="141">
        <v>1597</v>
      </c>
      <c r="E278" s="141"/>
      <c r="F278" s="141">
        <v>22123</v>
      </c>
      <c r="G278" s="143"/>
      <c r="H278" s="142">
        <v>104</v>
      </c>
      <c r="I278" s="142"/>
      <c r="J278" s="142">
        <v>94</v>
      </c>
      <c r="K278" s="142"/>
      <c r="L278" s="142">
        <v>103</v>
      </c>
      <c r="N278" s="62">
        <f t="shared" si="161"/>
        <v>86.412022542266754</v>
      </c>
    </row>
    <row r="279" spans="1:14" ht="16.2">
      <c r="A279" s="139">
        <v>1995</v>
      </c>
      <c r="B279" s="140">
        <v>144</v>
      </c>
      <c r="C279" s="140"/>
      <c r="D279" s="141">
        <v>1609</v>
      </c>
      <c r="E279" s="141"/>
      <c r="F279" s="141">
        <v>22190</v>
      </c>
      <c r="G279" s="143"/>
      <c r="H279" s="142">
        <v>109</v>
      </c>
      <c r="I279" s="142"/>
      <c r="J279" s="142">
        <v>94</v>
      </c>
      <c r="K279" s="142"/>
      <c r="L279" s="142">
        <v>103</v>
      </c>
      <c r="N279" s="62">
        <f t="shared" si="161"/>
        <v>89.496581727781233</v>
      </c>
    </row>
    <row r="280" spans="1:14" ht="16.2">
      <c r="A280" s="139">
        <v>1996</v>
      </c>
      <c r="B280" s="140">
        <v>147</v>
      </c>
      <c r="C280" s="140"/>
      <c r="D280" s="141">
        <v>1628</v>
      </c>
      <c r="E280" s="141"/>
      <c r="F280" s="141">
        <v>22666</v>
      </c>
      <c r="G280" s="143"/>
      <c r="H280" s="142">
        <v>111</v>
      </c>
      <c r="I280" s="142"/>
      <c r="J280" s="142">
        <v>96</v>
      </c>
      <c r="K280" s="142"/>
      <c r="L280" s="142">
        <v>105</v>
      </c>
      <c r="N280" s="62">
        <f t="shared" si="161"/>
        <v>90.294840294840299</v>
      </c>
    </row>
    <row r="281" spans="1:14" ht="16.2">
      <c r="A281" s="139">
        <v>1997</v>
      </c>
      <c r="B281" s="140">
        <v>150</v>
      </c>
      <c r="C281" s="140"/>
      <c r="D281" s="141">
        <v>1643</v>
      </c>
      <c r="E281" s="141"/>
      <c r="F281" s="141">
        <v>23111</v>
      </c>
      <c r="G281" s="143"/>
      <c r="H281" s="142">
        <v>113</v>
      </c>
      <c r="I281" s="142"/>
      <c r="J281" s="142">
        <v>96</v>
      </c>
      <c r="K281" s="142"/>
      <c r="L281" s="142">
        <v>107</v>
      </c>
      <c r="N281" s="62">
        <f t="shared" si="161"/>
        <v>91.296409007912359</v>
      </c>
    </row>
    <row r="282" spans="1:14" ht="16.2">
      <c r="A282" s="139">
        <v>1998</v>
      </c>
      <c r="B282" s="140">
        <v>152</v>
      </c>
      <c r="C282" s="140"/>
      <c r="D282" s="141">
        <v>1630</v>
      </c>
      <c r="E282" s="141"/>
      <c r="F282" s="141">
        <v>23323</v>
      </c>
      <c r="G282" s="143"/>
      <c r="H282" s="142">
        <v>115</v>
      </c>
      <c r="I282" s="142"/>
      <c r="J282" s="142">
        <v>96</v>
      </c>
      <c r="K282" s="142"/>
      <c r="L282" s="142">
        <v>108</v>
      </c>
      <c r="N282" s="62">
        <f t="shared" si="161"/>
        <v>93.25153374233129</v>
      </c>
    </row>
    <row r="283" spans="1:14" ht="16.2">
      <c r="A283" s="139">
        <v>1999</v>
      </c>
      <c r="B283" s="140">
        <v>149</v>
      </c>
      <c r="C283" s="140"/>
      <c r="D283" s="141">
        <v>1567</v>
      </c>
      <c r="E283" s="141"/>
      <c r="F283" s="141">
        <v>23091</v>
      </c>
      <c r="G283" s="143"/>
      <c r="H283" s="142">
        <v>113</v>
      </c>
      <c r="I283" s="142"/>
      <c r="J283" s="142">
        <v>92</v>
      </c>
      <c r="K283" s="142"/>
      <c r="L283" s="142">
        <v>107</v>
      </c>
      <c r="N283" s="62">
        <f t="shared" si="161"/>
        <v>95.086151882578179</v>
      </c>
    </row>
    <row r="284" spans="1:14" ht="16.2">
      <c r="A284" s="139">
        <v>2000</v>
      </c>
      <c r="B284" s="140">
        <v>150</v>
      </c>
      <c r="C284" s="140"/>
      <c r="D284" s="141">
        <v>1593</v>
      </c>
      <c r="E284" s="141"/>
      <c r="F284" s="141">
        <v>22990</v>
      </c>
      <c r="G284" s="143"/>
      <c r="H284" s="142">
        <v>114</v>
      </c>
      <c r="I284" s="142"/>
      <c r="J284" s="142">
        <v>93</v>
      </c>
      <c r="K284" s="142"/>
      <c r="L284" s="142">
        <v>107</v>
      </c>
      <c r="N284" s="62">
        <f t="shared" si="161"/>
        <v>94.161958568738228</v>
      </c>
    </row>
    <row r="285" spans="1:14" ht="16.2">
      <c r="A285" s="139">
        <v>2001</v>
      </c>
      <c r="B285" s="140">
        <v>149</v>
      </c>
      <c r="C285" s="140"/>
      <c r="D285" s="141">
        <v>1581</v>
      </c>
      <c r="E285" s="141"/>
      <c r="F285" s="141">
        <v>22207</v>
      </c>
      <c r="G285" s="143"/>
      <c r="H285" s="142">
        <v>113</v>
      </c>
      <c r="I285" s="142"/>
      <c r="J285" s="142">
        <v>93</v>
      </c>
      <c r="K285" s="142"/>
      <c r="L285" s="142">
        <v>103</v>
      </c>
      <c r="N285" s="62">
        <f t="shared" si="161"/>
        <v>94.244149272612276</v>
      </c>
    </row>
    <row r="286" spans="1:14" ht="16.2">
      <c r="A286" s="139">
        <v>2002</v>
      </c>
      <c r="B286" s="140">
        <v>150</v>
      </c>
      <c r="C286" s="140"/>
      <c r="D286" s="141">
        <v>1627</v>
      </c>
      <c r="E286" s="141"/>
      <c r="F286" s="141">
        <v>22159</v>
      </c>
      <c r="G286" s="143"/>
      <c r="H286" s="142">
        <v>113</v>
      </c>
      <c r="I286" s="142"/>
      <c r="J286" s="142">
        <v>95</v>
      </c>
      <c r="K286" s="142"/>
      <c r="L286" s="142">
        <v>103</v>
      </c>
      <c r="N286" s="62">
        <f t="shared" si="161"/>
        <v>92.194222495390292</v>
      </c>
    </row>
    <row r="287" spans="1:14" ht="16.2">
      <c r="A287" s="139">
        <v>2003</v>
      </c>
      <c r="B287" s="140">
        <v>152</v>
      </c>
      <c r="C287" s="140"/>
      <c r="D287" s="141">
        <v>1643</v>
      </c>
      <c r="E287" s="141"/>
      <c r="F287" s="141">
        <v>22167</v>
      </c>
      <c r="G287" s="143"/>
      <c r="H287" s="142">
        <v>115</v>
      </c>
      <c r="I287" s="142"/>
      <c r="J287" s="142">
        <v>96</v>
      </c>
      <c r="K287" s="142"/>
      <c r="L287" s="142">
        <v>103</v>
      </c>
      <c r="N287" s="62">
        <f t="shared" si="161"/>
        <v>92.513694461351193</v>
      </c>
    </row>
    <row r="288" spans="1:14">
      <c r="A288" s="139">
        <v>2004</v>
      </c>
      <c r="B288" s="140">
        <v>152</v>
      </c>
      <c r="C288" s="140"/>
      <c r="D288" s="141">
        <v>1744</v>
      </c>
      <c r="E288" s="141"/>
      <c r="F288" s="141">
        <v>22281</v>
      </c>
      <c r="G288" s="144" t="s">
        <v>212</v>
      </c>
      <c r="H288" s="142">
        <v>115</v>
      </c>
      <c r="I288" s="142"/>
      <c r="J288" s="142">
        <v>102</v>
      </c>
      <c r="K288" s="142"/>
      <c r="L288" s="142">
        <v>103</v>
      </c>
      <c r="N288" s="62">
        <f t="shared" si="161"/>
        <v>87.155963302752298</v>
      </c>
    </row>
    <row r="289" spans="1:14">
      <c r="A289" s="139">
        <v>2005</v>
      </c>
      <c r="B289" s="140">
        <v>153</v>
      </c>
      <c r="C289" s="140"/>
      <c r="D289" s="141">
        <v>1746</v>
      </c>
      <c r="E289" s="141"/>
      <c r="F289" s="141">
        <v>22232</v>
      </c>
      <c r="G289" s="144" t="s">
        <v>212</v>
      </c>
      <c r="H289" s="142">
        <v>115</v>
      </c>
      <c r="I289" s="142"/>
      <c r="J289" s="142">
        <v>102</v>
      </c>
      <c r="K289" s="142"/>
      <c r="L289" s="142">
        <v>103</v>
      </c>
      <c r="N289" s="62">
        <f t="shared" si="161"/>
        <v>87.628865979381445</v>
      </c>
    </row>
    <row r="290" spans="1:14" ht="16.2">
      <c r="A290" s="145">
        <v>2006</v>
      </c>
      <c r="B290" s="140">
        <v>156</v>
      </c>
      <c r="C290" s="140"/>
      <c r="D290" s="141">
        <v>1813</v>
      </c>
      <c r="E290" s="141"/>
      <c r="F290" s="141">
        <v>22289</v>
      </c>
      <c r="G290" s="143"/>
      <c r="H290" s="142">
        <v>118</v>
      </c>
      <c r="I290" s="142"/>
      <c r="J290" s="142">
        <v>106</v>
      </c>
      <c r="K290" s="142"/>
      <c r="L290" s="142">
        <v>103</v>
      </c>
      <c r="N290" s="62">
        <f t="shared" si="161"/>
        <v>86.045228902371761</v>
      </c>
    </row>
    <row r="291" spans="1:14">
      <c r="A291" s="145">
        <v>2007</v>
      </c>
      <c r="B291" s="140">
        <v>161</v>
      </c>
      <c r="C291" s="140"/>
      <c r="D291" s="141">
        <v>1869</v>
      </c>
      <c r="E291" s="141"/>
      <c r="F291" s="141">
        <v>22445</v>
      </c>
      <c r="G291" s="140"/>
      <c r="H291" s="142">
        <v>122</v>
      </c>
      <c r="I291" s="142"/>
      <c r="J291" s="142">
        <v>110</v>
      </c>
      <c r="K291" s="142"/>
      <c r="L291" s="142">
        <v>104</v>
      </c>
      <c r="N291" s="62">
        <f t="shared" si="161"/>
        <v>86.142322097378283</v>
      </c>
    </row>
    <row r="292" spans="1:14">
      <c r="A292" s="145">
        <v>2008</v>
      </c>
      <c r="B292" s="140">
        <v>152</v>
      </c>
      <c r="C292" s="140"/>
      <c r="D292" s="141">
        <v>1734</v>
      </c>
      <c r="E292" s="141"/>
      <c r="F292" s="141">
        <v>21171</v>
      </c>
      <c r="G292" s="140"/>
      <c r="H292" s="142">
        <v>115</v>
      </c>
      <c r="I292" s="142"/>
      <c r="J292" s="142">
        <v>102</v>
      </c>
      <c r="K292" s="142"/>
      <c r="L292" s="142">
        <v>98</v>
      </c>
      <c r="N292" s="62">
        <f t="shared" si="161"/>
        <v>87.658592848904263</v>
      </c>
    </row>
    <row r="293" spans="1:14">
      <c r="A293" s="146">
        <v>2009</v>
      </c>
      <c r="B293" s="140">
        <v>132</v>
      </c>
      <c r="C293" s="140"/>
      <c r="D293" s="141">
        <v>1422</v>
      </c>
      <c r="E293" s="141"/>
      <c r="F293" s="141">
        <v>18846</v>
      </c>
      <c r="G293" s="140"/>
      <c r="H293" s="142">
        <v>100</v>
      </c>
      <c r="I293" s="142"/>
      <c r="J293" s="142">
        <v>83</v>
      </c>
      <c r="K293" s="142"/>
      <c r="L293" s="142">
        <v>87</v>
      </c>
      <c r="N293" s="62">
        <f t="shared" si="161"/>
        <v>92.827004219409289</v>
      </c>
    </row>
    <row r="307" spans="1:12" ht="15.6">
      <c r="A307" s="147" t="s">
        <v>213</v>
      </c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</row>
    <row r="308" spans="1:12">
      <c r="A308" s="206" t="s">
        <v>214</v>
      </c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</row>
    <row r="309" spans="1:12" ht="15.6">
      <c r="A309" s="149" t="s">
        <v>215</v>
      </c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</row>
    <row r="310" spans="1:12" ht="15.6">
      <c r="A310" s="149" t="s">
        <v>216</v>
      </c>
      <c r="B310" s="150"/>
      <c r="C310" s="150"/>
      <c r="D310" s="150"/>
      <c r="E310" s="151"/>
      <c r="F310" s="151"/>
      <c r="G310" s="151"/>
      <c r="H310" s="150"/>
      <c r="I310" s="150"/>
      <c r="J310" s="148"/>
      <c r="K310" s="148"/>
      <c r="L310" s="148"/>
    </row>
    <row r="311" spans="1:12" ht="15" thickBot="1">
      <c r="A311" s="152"/>
      <c r="B311" s="152"/>
      <c r="C311" s="153"/>
      <c r="D311" s="153"/>
      <c r="E311" s="153"/>
      <c r="F311" s="153"/>
      <c r="G311" s="153"/>
      <c r="H311" s="154"/>
      <c r="I311" s="155" t="s">
        <v>217</v>
      </c>
      <c r="J311" s="156"/>
      <c r="K311" s="156"/>
      <c r="L311" s="156"/>
    </row>
    <row r="312" spans="1:12">
      <c r="A312" s="157"/>
      <c r="B312" s="157"/>
      <c r="C312" s="158"/>
      <c r="D312" s="158"/>
      <c r="E312" s="158"/>
      <c r="F312" s="208" t="s">
        <v>218</v>
      </c>
      <c r="G312" s="208"/>
      <c r="H312" s="208"/>
      <c r="I312" s="158"/>
      <c r="J312" s="156"/>
      <c r="K312" s="156"/>
      <c r="L312" s="156"/>
    </row>
    <row r="313" spans="1:12" ht="69.599999999999994" thickBot="1">
      <c r="A313" s="159"/>
      <c r="B313" s="160"/>
      <c r="C313" s="161" t="s">
        <v>219</v>
      </c>
      <c r="D313" s="161" t="s">
        <v>220</v>
      </c>
      <c r="E313" s="161" t="s">
        <v>221</v>
      </c>
      <c r="F313" s="161" t="s">
        <v>114</v>
      </c>
      <c r="G313" s="161" t="s">
        <v>115</v>
      </c>
      <c r="H313" s="160" t="s">
        <v>222</v>
      </c>
      <c r="I313" s="161" t="s">
        <v>223</v>
      </c>
      <c r="J313" s="156"/>
      <c r="K313" s="156"/>
      <c r="L313" s="156"/>
    </row>
    <row r="314" spans="1:12">
      <c r="A314" s="162" t="s">
        <v>224</v>
      </c>
      <c r="B314" s="163"/>
      <c r="C314" s="164">
        <v>12.6</v>
      </c>
      <c r="D314" s="164">
        <v>4</v>
      </c>
      <c r="E314" s="164">
        <v>7.8</v>
      </c>
      <c r="F314" s="164">
        <v>1.9</v>
      </c>
      <c r="G314" s="164">
        <v>2.5</v>
      </c>
      <c r="H314" s="164">
        <v>4.5</v>
      </c>
      <c r="I314" s="165">
        <v>28.9</v>
      </c>
      <c r="J314" s="166"/>
      <c r="K314" s="166"/>
      <c r="L314" s="166"/>
    </row>
    <row r="315" spans="1:12">
      <c r="A315" s="162" t="s">
        <v>225</v>
      </c>
      <c r="B315" s="163"/>
      <c r="C315" s="164">
        <v>15.9</v>
      </c>
      <c r="D315" s="164">
        <v>4.8</v>
      </c>
      <c r="E315" s="164">
        <v>7</v>
      </c>
      <c r="F315" s="164">
        <v>2.7</v>
      </c>
      <c r="G315" s="164">
        <v>2.5</v>
      </c>
      <c r="H315" s="164">
        <v>5.3</v>
      </c>
      <c r="I315" s="165">
        <v>33</v>
      </c>
      <c r="J315" s="166"/>
      <c r="K315" s="166"/>
      <c r="L315" s="166"/>
    </row>
    <row r="316" spans="1:12">
      <c r="A316" s="162" t="s">
        <v>226</v>
      </c>
      <c r="B316" s="163"/>
      <c r="C316" s="164">
        <v>18.2</v>
      </c>
      <c r="D316" s="164">
        <v>5.0999999999999996</v>
      </c>
      <c r="E316" s="164">
        <v>7.3</v>
      </c>
      <c r="F316" s="164">
        <v>3.5</v>
      </c>
      <c r="G316" s="164">
        <v>2.6</v>
      </c>
      <c r="H316" s="164">
        <v>6.1</v>
      </c>
      <c r="I316" s="165">
        <v>36.700000000000003</v>
      </c>
      <c r="J316" s="166"/>
      <c r="K316" s="166"/>
      <c r="L316" s="166"/>
    </row>
    <row r="317" spans="1:12">
      <c r="A317" s="162" t="s">
        <v>227</v>
      </c>
      <c r="B317" s="163"/>
      <c r="C317" s="164">
        <v>19</v>
      </c>
      <c r="D317" s="164">
        <v>5.4</v>
      </c>
      <c r="E317" s="164">
        <v>7</v>
      </c>
      <c r="F317" s="164">
        <v>3.7</v>
      </c>
      <c r="G317" s="164">
        <v>2.6</v>
      </c>
      <c r="H317" s="164">
        <v>6.3</v>
      </c>
      <c r="I317" s="165">
        <v>37.799999999999997</v>
      </c>
      <c r="J317" s="166"/>
      <c r="K317" s="166"/>
      <c r="L317" s="166"/>
    </row>
    <row r="318" spans="1:12">
      <c r="A318" s="162" t="s">
        <v>228</v>
      </c>
      <c r="B318" s="163"/>
      <c r="C318" s="164">
        <v>20.8</v>
      </c>
      <c r="D318" s="164">
        <v>5.7</v>
      </c>
      <c r="E318" s="164">
        <v>7.1</v>
      </c>
      <c r="F318" s="164">
        <v>4.2</v>
      </c>
      <c r="G318" s="164">
        <v>2.6</v>
      </c>
      <c r="H318" s="164">
        <v>6.8</v>
      </c>
      <c r="I318" s="165">
        <v>40.299999999999997</v>
      </c>
      <c r="J318" s="166"/>
      <c r="K318" s="166"/>
      <c r="L318" s="166"/>
    </row>
    <row r="319" spans="1:12">
      <c r="A319" s="162" t="s">
        <v>229</v>
      </c>
      <c r="B319" s="163"/>
      <c r="C319" s="164">
        <v>23.1</v>
      </c>
      <c r="D319" s="164">
        <v>5.8</v>
      </c>
      <c r="E319" s="164">
        <v>7.6</v>
      </c>
      <c r="F319" s="164">
        <v>4.3</v>
      </c>
      <c r="G319" s="164">
        <v>2.6</v>
      </c>
      <c r="H319" s="164">
        <v>6.9</v>
      </c>
      <c r="I319" s="165">
        <v>43.4</v>
      </c>
      <c r="J319" s="166"/>
      <c r="K319" s="166"/>
      <c r="L319" s="166"/>
    </row>
    <row r="320" spans="1:12">
      <c r="A320" s="162" t="s">
        <v>230</v>
      </c>
      <c r="B320" s="163"/>
      <c r="C320" s="164">
        <v>26.3</v>
      </c>
      <c r="D320" s="164">
        <v>6.1</v>
      </c>
      <c r="E320" s="164">
        <v>8.1999999999999993</v>
      </c>
      <c r="F320" s="164">
        <v>4.7</v>
      </c>
      <c r="G320" s="164">
        <v>2.6</v>
      </c>
      <c r="H320" s="164">
        <v>7.3</v>
      </c>
      <c r="I320" s="165">
        <v>47.8</v>
      </c>
      <c r="J320" s="166"/>
      <c r="K320" s="166"/>
      <c r="L320" s="166"/>
    </row>
    <row r="321" spans="1:12">
      <c r="A321" s="162" t="s">
        <v>231</v>
      </c>
      <c r="B321" s="163"/>
      <c r="C321" s="164">
        <v>28.7</v>
      </c>
      <c r="D321" s="164">
        <v>6.2</v>
      </c>
      <c r="E321" s="164">
        <v>8.1</v>
      </c>
      <c r="F321" s="164">
        <v>4.5999999999999996</v>
      </c>
      <c r="G321" s="164">
        <v>2.6</v>
      </c>
      <c r="H321" s="164">
        <v>7.2</v>
      </c>
      <c r="I321" s="165">
        <v>50.2</v>
      </c>
      <c r="J321" s="166"/>
      <c r="K321" s="166"/>
      <c r="L321" s="166"/>
    </row>
    <row r="322" spans="1:12">
      <c r="A322" s="162" t="s">
        <v>232</v>
      </c>
      <c r="B322" s="163"/>
      <c r="C322" s="164">
        <v>28.1</v>
      </c>
      <c r="D322" s="164">
        <v>6.4</v>
      </c>
      <c r="E322" s="164">
        <v>7.8</v>
      </c>
      <c r="F322" s="164">
        <v>5.2</v>
      </c>
      <c r="G322" s="164">
        <v>2.5</v>
      </c>
      <c r="H322" s="164">
        <v>7.6</v>
      </c>
      <c r="I322" s="165">
        <v>49.9</v>
      </c>
      <c r="J322" s="166"/>
      <c r="K322" s="166"/>
      <c r="L322" s="166"/>
    </row>
    <row r="323" spans="1:12">
      <c r="A323" s="162" t="s">
        <v>233</v>
      </c>
      <c r="B323" s="163"/>
      <c r="C323" s="164">
        <v>34.4</v>
      </c>
      <c r="D323" s="164">
        <v>7.4</v>
      </c>
      <c r="E323" s="164">
        <v>8.4</v>
      </c>
      <c r="F323" s="164">
        <v>5.2</v>
      </c>
      <c r="G323" s="164">
        <v>2.4</v>
      </c>
      <c r="H323" s="164">
        <v>7.6</v>
      </c>
      <c r="I323" s="165">
        <v>57.8</v>
      </c>
      <c r="J323" s="166"/>
      <c r="K323" s="166"/>
      <c r="L323" s="166"/>
    </row>
    <row r="324" spans="1:12">
      <c r="A324" s="162" t="s">
        <v>234</v>
      </c>
      <c r="B324" s="163"/>
      <c r="C324" s="164">
        <v>38.6</v>
      </c>
      <c r="D324" s="164">
        <v>8.5</v>
      </c>
      <c r="E324" s="164">
        <v>9.1</v>
      </c>
      <c r="F324" s="164">
        <v>6.1</v>
      </c>
      <c r="G324" s="164">
        <v>2.5</v>
      </c>
      <c r="H324" s="164">
        <v>8.6</v>
      </c>
      <c r="I324" s="165">
        <v>64.8</v>
      </c>
      <c r="J324" s="166"/>
      <c r="K324" s="166"/>
      <c r="L324" s="166"/>
    </row>
    <row r="325" spans="1:12">
      <c r="A325" s="162" t="s">
        <v>235</v>
      </c>
      <c r="B325" s="163"/>
      <c r="C325" s="164">
        <v>42.3</v>
      </c>
      <c r="D325" s="164">
        <v>9.3000000000000007</v>
      </c>
      <c r="E325" s="164">
        <v>9.5</v>
      </c>
      <c r="F325" s="164">
        <v>6.2</v>
      </c>
      <c r="G325" s="164">
        <v>2.4</v>
      </c>
      <c r="H325" s="164">
        <v>8.6</v>
      </c>
      <c r="I325" s="165">
        <v>69.7</v>
      </c>
      <c r="J325" s="166"/>
      <c r="K325" s="166"/>
      <c r="L325" s="166"/>
    </row>
    <row r="326" spans="1:12">
      <c r="A326" s="162" t="s">
        <v>236</v>
      </c>
      <c r="B326" s="163"/>
      <c r="C326" s="164">
        <v>47.8</v>
      </c>
      <c r="D326" s="164">
        <v>10.199999999999999</v>
      </c>
      <c r="E326" s="164">
        <v>9.6</v>
      </c>
      <c r="F326" s="164">
        <v>6</v>
      </c>
      <c r="G326" s="164">
        <v>2.5</v>
      </c>
      <c r="H326" s="164">
        <v>8.5</v>
      </c>
      <c r="I326" s="165">
        <v>76.099999999999994</v>
      </c>
      <c r="J326" s="166"/>
      <c r="K326" s="166"/>
      <c r="L326" s="166"/>
    </row>
    <row r="327" spans="1:12">
      <c r="A327" s="162" t="s">
        <v>237</v>
      </c>
      <c r="B327" s="163"/>
      <c r="C327" s="164">
        <v>52</v>
      </c>
      <c r="D327" s="164">
        <v>10.3</v>
      </c>
      <c r="E327" s="164">
        <v>9.6</v>
      </c>
      <c r="F327" s="164">
        <v>5.4</v>
      </c>
      <c r="G327" s="164">
        <v>2.5</v>
      </c>
      <c r="H327" s="164">
        <v>7.9</v>
      </c>
      <c r="I327" s="165">
        <v>79.8</v>
      </c>
      <c r="J327" s="166"/>
      <c r="K327" s="166"/>
      <c r="L327" s="166"/>
    </row>
    <row r="328" spans="1:12">
      <c r="A328" s="162" t="s">
        <v>238</v>
      </c>
      <c r="B328" s="163"/>
      <c r="C328" s="164">
        <v>56.8</v>
      </c>
      <c r="D328" s="164">
        <v>10.9</v>
      </c>
      <c r="E328" s="164">
        <v>9.8000000000000007</v>
      </c>
      <c r="F328" s="164">
        <v>4.7</v>
      </c>
      <c r="G328" s="164">
        <v>2.5</v>
      </c>
      <c r="H328" s="164">
        <v>7.2</v>
      </c>
      <c r="I328" s="165">
        <v>84.7</v>
      </c>
      <c r="J328" s="166"/>
      <c r="K328" s="166"/>
      <c r="L328" s="166"/>
    </row>
    <row r="329" spans="1:12">
      <c r="A329" s="162" t="s">
        <v>239</v>
      </c>
      <c r="B329" s="163"/>
      <c r="C329" s="164">
        <v>65.7</v>
      </c>
      <c r="D329" s="164">
        <v>11</v>
      </c>
      <c r="E329" s="164">
        <v>10.8</v>
      </c>
      <c r="F329" s="164">
        <v>4.7</v>
      </c>
      <c r="G329" s="164">
        <v>2.5</v>
      </c>
      <c r="H329" s="164">
        <v>7.1</v>
      </c>
      <c r="I329" s="165">
        <v>94.6</v>
      </c>
      <c r="J329" s="166"/>
      <c r="K329" s="166"/>
      <c r="L329" s="166"/>
    </row>
    <row r="330" spans="1:12">
      <c r="A330" s="162" t="s">
        <v>240</v>
      </c>
      <c r="B330" s="163"/>
      <c r="C330" s="164">
        <v>72</v>
      </c>
      <c r="D330" s="164">
        <v>11.8</v>
      </c>
      <c r="E330" s="164">
        <v>10.7</v>
      </c>
      <c r="F330" s="164">
        <v>4.2</v>
      </c>
      <c r="G330" s="164">
        <v>2.4</v>
      </c>
      <c r="H330" s="164">
        <v>6.6</v>
      </c>
      <c r="I330" s="165">
        <v>101.1</v>
      </c>
      <c r="J330" s="166"/>
      <c r="K330" s="166"/>
      <c r="L330" s="166"/>
    </row>
    <row r="331" spans="1:12">
      <c r="A331" s="162" t="s">
        <v>241</v>
      </c>
      <c r="B331" s="163"/>
      <c r="C331" s="164">
        <v>78.599999999999994</v>
      </c>
      <c r="D331" s="164">
        <v>11.8</v>
      </c>
      <c r="E331" s="164">
        <v>10.9</v>
      </c>
      <c r="F331" s="164">
        <v>3.7</v>
      </c>
      <c r="G331" s="164">
        <v>2.4</v>
      </c>
      <c r="H331" s="164">
        <v>6.2</v>
      </c>
      <c r="I331" s="165">
        <v>107.4</v>
      </c>
      <c r="J331" s="166"/>
      <c r="K331" s="166"/>
      <c r="L331" s="166"/>
    </row>
    <row r="332" spans="1:12">
      <c r="A332" s="162" t="s">
        <v>242</v>
      </c>
      <c r="B332" s="163"/>
      <c r="C332" s="164">
        <v>83.9</v>
      </c>
      <c r="D332" s="164">
        <v>11.6</v>
      </c>
      <c r="E332" s="164">
        <v>10.7</v>
      </c>
      <c r="F332" s="164">
        <v>3.2</v>
      </c>
      <c r="G332" s="164">
        <v>2.4</v>
      </c>
      <c r="H332" s="164">
        <v>5.6</v>
      </c>
      <c r="I332" s="165">
        <v>111.8</v>
      </c>
      <c r="J332" s="166"/>
      <c r="K332" s="166"/>
      <c r="L332" s="166"/>
    </row>
    <row r="333" spans="1:12">
      <c r="A333" s="162" t="s">
        <v>243</v>
      </c>
      <c r="B333" s="163"/>
      <c r="C333" s="164">
        <v>88.7</v>
      </c>
      <c r="D333" s="164">
        <v>11.7</v>
      </c>
      <c r="E333" s="164">
        <v>10.9</v>
      </c>
      <c r="F333" s="164">
        <v>2.9</v>
      </c>
      <c r="G333" s="164">
        <v>2.4</v>
      </c>
      <c r="H333" s="164">
        <v>5.3</v>
      </c>
      <c r="I333" s="165">
        <v>116.6</v>
      </c>
      <c r="J333" s="166"/>
      <c r="K333" s="166"/>
      <c r="L333" s="166"/>
    </row>
    <row r="334" spans="1:12">
      <c r="A334" s="162" t="s">
        <v>244</v>
      </c>
      <c r="B334" s="163"/>
      <c r="C334" s="164">
        <v>91.9</v>
      </c>
      <c r="D334" s="164">
        <v>12</v>
      </c>
      <c r="E334" s="164">
        <v>10.8</v>
      </c>
      <c r="F334" s="164">
        <v>2.6</v>
      </c>
      <c r="G334" s="164">
        <v>2.4</v>
      </c>
      <c r="H334" s="164">
        <v>5</v>
      </c>
      <c r="I334" s="165">
        <v>119.7</v>
      </c>
      <c r="J334" s="166"/>
      <c r="K334" s="166"/>
      <c r="L334" s="166"/>
    </row>
    <row r="335" spans="1:12">
      <c r="A335" s="162" t="s">
        <v>245</v>
      </c>
      <c r="B335" s="163"/>
      <c r="C335" s="164">
        <v>96.3</v>
      </c>
      <c r="D335" s="164">
        <v>12.6</v>
      </c>
      <c r="E335" s="164">
        <v>10.9</v>
      </c>
      <c r="F335" s="164">
        <v>2.5</v>
      </c>
      <c r="G335" s="164">
        <v>2.2000000000000002</v>
      </c>
      <c r="H335" s="164">
        <v>4.7</v>
      </c>
      <c r="I335" s="165">
        <v>124.6</v>
      </c>
      <c r="J335" s="166"/>
      <c r="K335" s="166"/>
      <c r="L335" s="166"/>
    </row>
    <row r="336" spans="1:12">
      <c r="A336" s="162" t="s">
        <v>246</v>
      </c>
      <c r="B336" s="163"/>
      <c r="C336" s="164">
        <v>102.6</v>
      </c>
      <c r="D336" s="164">
        <v>13.2</v>
      </c>
      <c r="E336" s="164">
        <v>11.2</v>
      </c>
      <c r="F336" s="164">
        <v>2.4</v>
      </c>
      <c r="G336" s="164">
        <v>2.2000000000000002</v>
      </c>
      <c r="H336" s="164">
        <v>4.7</v>
      </c>
      <c r="I336" s="165">
        <v>131.69999999999999</v>
      </c>
      <c r="J336" s="166"/>
      <c r="K336" s="166"/>
      <c r="L336" s="166"/>
    </row>
    <row r="337" spans="1:12">
      <c r="A337" s="162" t="s">
        <v>247</v>
      </c>
      <c r="B337" s="163"/>
      <c r="C337" s="164">
        <v>108.6</v>
      </c>
      <c r="D337" s="164">
        <v>13.8</v>
      </c>
      <c r="E337" s="164">
        <v>11.4</v>
      </c>
      <c r="F337" s="164">
        <v>2.2999999999999998</v>
      </c>
      <c r="G337" s="164">
        <v>2.2000000000000002</v>
      </c>
      <c r="H337" s="164">
        <v>4.5</v>
      </c>
      <c r="I337" s="165">
        <v>138.30000000000001</v>
      </c>
      <c r="J337" s="166"/>
      <c r="K337" s="166"/>
      <c r="L337" s="166"/>
    </row>
    <row r="338" spans="1:12">
      <c r="A338" s="162" t="s">
        <v>248</v>
      </c>
      <c r="B338" s="163"/>
      <c r="C338" s="164">
        <v>114.3</v>
      </c>
      <c r="D338" s="164">
        <v>14.5</v>
      </c>
      <c r="E338" s="164">
        <v>12</v>
      </c>
      <c r="F338" s="164">
        <v>2.4</v>
      </c>
      <c r="G338" s="164">
        <v>2.2000000000000002</v>
      </c>
      <c r="H338" s="164">
        <v>4.5999999999999996</v>
      </c>
      <c r="I338" s="165">
        <v>145.4</v>
      </c>
      <c r="J338" s="166"/>
      <c r="K338" s="166"/>
      <c r="L338" s="166"/>
    </row>
    <row r="339" spans="1:12">
      <c r="A339" s="162" t="s">
        <v>249</v>
      </c>
      <c r="B339" s="163"/>
      <c r="C339" s="164">
        <v>111.8</v>
      </c>
      <c r="D339" s="164">
        <v>14.7</v>
      </c>
      <c r="E339" s="164">
        <v>11.6</v>
      </c>
      <c r="F339" s="164">
        <v>2.6</v>
      </c>
      <c r="G339" s="164">
        <v>2.1</v>
      </c>
      <c r="H339" s="164">
        <v>4.7</v>
      </c>
      <c r="I339" s="165">
        <v>142.69999999999999</v>
      </c>
      <c r="J339" s="166"/>
      <c r="K339" s="166"/>
      <c r="L339" s="166"/>
    </row>
    <row r="340" spans="1:12">
      <c r="A340" s="162" t="s">
        <v>250</v>
      </c>
      <c r="B340" s="163"/>
      <c r="C340" s="164">
        <v>112.8</v>
      </c>
      <c r="D340" s="164">
        <v>14.6</v>
      </c>
      <c r="E340" s="164">
        <v>11.4</v>
      </c>
      <c r="F340" s="164">
        <v>3.2</v>
      </c>
      <c r="G340" s="164">
        <v>2</v>
      </c>
      <c r="H340" s="164">
        <v>5.2</v>
      </c>
      <c r="I340" s="165">
        <v>144</v>
      </c>
      <c r="J340" s="166"/>
      <c r="K340" s="166"/>
      <c r="L340" s="166"/>
    </row>
    <row r="341" spans="1:12">
      <c r="A341" s="162" t="s">
        <v>251</v>
      </c>
      <c r="B341" s="163"/>
      <c r="C341" s="164">
        <v>118.3</v>
      </c>
      <c r="D341" s="164">
        <v>15</v>
      </c>
      <c r="E341" s="164">
        <v>11.9</v>
      </c>
      <c r="F341" s="164">
        <v>3.9</v>
      </c>
      <c r="G341" s="164">
        <v>2.1</v>
      </c>
      <c r="H341" s="164">
        <v>6</v>
      </c>
      <c r="I341" s="165">
        <v>151.19999999999999</v>
      </c>
      <c r="J341" s="166"/>
      <c r="K341" s="166"/>
      <c r="L341" s="166"/>
    </row>
    <row r="342" spans="1:12">
      <c r="A342" s="162" t="s">
        <v>252</v>
      </c>
      <c r="B342" s="163"/>
      <c r="C342" s="164">
        <v>120.6</v>
      </c>
      <c r="D342" s="164">
        <v>15.2</v>
      </c>
      <c r="E342" s="164">
        <v>11.7</v>
      </c>
      <c r="F342" s="164">
        <v>3.9</v>
      </c>
      <c r="G342" s="164">
        <v>2</v>
      </c>
      <c r="H342" s="164">
        <v>5.8</v>
      </c>
      <c r="I342" s="165">
        <v>153.4</v>
      </c>
      <c r="J342" s="166"/>
      <c r="K342" s="166"/>
      <c r="L342" s="166"/>
    </row>
    <row r="343" spans="1:12">
      <c r="A343" s="162" t="s">
        <v>253</v>
      </c>
      <c r="B343" s="163"/>
      <c r="C343" s="164">
        <v>125.8</v>
      </c>
      <c r="D343" s="164">
        <v>15.7</v>
      </c>
      <c r="E343" s="164">
        <v>12.1</v>
      </c>
      <c r="F343" s="164">
        <v>3.8</v>
      </c>
      <c r="G343" s="164">
        <v>2.1</v>
      </c>
      <c r="H343" s="164">
        <v>5.8</v>
      </c>
      <c r="I343" s="165">
        <v>159.4</v>
      </c>
      <c r="J343" s="166"/>
      <c r="K343" s="166"/>
      <c r="L343" s="166"/>
    </row>
    <row r="344" spans="1:12">
      <c r="A344" s="162" t="s">
        <v>254</v>
      </c>
      <c r="B344" s="163"/>
      <c r="C344" s="164">
        <v>125.2</v>
      </c>
      <c r="D344" s="164">
        <v>15.6</v>
      </c>
      <c r="E344" s="164">
        <v>12.2</v>
      </c>
      <c r="F344" s="164">
        <v>4</v>
      </c>
      <c r="G344" s="164">
        <v>2.1</v>
      </c>
      <c r="H344" s="164">
        <v>6</v>
      </c>
      <c r="I344" s="165">
        <v>159</v>
      </c>
      <c r="J344" s="166"/>
      <c r="K344" s="166"/>
      <c r="L344" s="166"/>
    </row>
    <row r="345" spans="1:12">
      <c r="A345" s="162" t="s">
        <v>255</v>
      </c>
      <c r="B345" s="163"/>
      <c r="C345" s="164">
        <v>133.6</v>
      </c>
      <c r="D345" s="164">
        <v>16.2</v>
      </c>
      <c r="E345" s="164">
        <v>12.2</v>
      </c>
      <c r="F345" s="164">
        <v>4.8</v>
      </c>
      <c r="G345" s="164">
        <v>2.2000000000000002</v>
      </c>
      <c r="H345" s="164">
        <v>7</v>
      </c>
      <c r="I345" s="165">
        <v>169</v>
      </c>
      <c r="J345" s="166"/>
      <c r="K345" s="166"/>
      <c r="L345" s="166"/>
    </row>
    <row r="346" spans="1:12">
      <c r="A346" s="162" t="s">
        <v>256</v>
      </c>
      <c r="B346" s="163"/>
      <c r="C346" s="164">
        <v>136.4</v>
      </c>
      <c r="D346" s="164">
        <v>16.3</v>
      </c>
      <c r="E346" s="164">
        <v>11.7</v>
      </c>
      <c r="F346" s="164">
        <v>5.5</v>
      </c>
      <c r="G346" s="164">
        <v>2.2000000000000002</v>
      </c>
      <c r="H346" s="164">
        <v>7.7</v>
      </c>
      <c r="I346" s="165">
        <v>172.1</v>
      </c>
      <c r="J346" s="166"/>
      <c r="K346" s="166"/>
      <c r="L346" s="166"/>
    </row>
    <row r="347" spans="1:12">
      <c r="A347" s="162" t="s">
        <v>257</v>
      </c>
      <c r="B347" s="163"/>
      <c r="C347" s="164">
        <v>141.19999999999999</v>
      </c>
      <c r="D347" s="164">
        <v>16.2</v>
      </c>
      <c r="E347" s="164">
        <v>11.4</v>
      </c>
      <c r="F347" s="164">
        <v>5.7</v>
      </c>
      <c r="G347" s="164">
        <v>2.2000000000000002</v>
      </c>
      <c r="H347" s="164">
        <v>7.9</v>
      </c>
      <c r="I347" s="165">
        <v>176.7</v>
      </c>
      <c r="J347" s="166"/>
      <c r="K347" s="166"/>
      <c r="L347" s="166"/>
    </row>
    <row r="348" spans="1:12">
      <c r="A348" s="162" t="s">
        <v>258</v>
      </c>
      <c r="B348" s="163"/>
      <c r="C348" s="164">
        <v>143.69999999999999</v>
      </c>
      <c r="D348" s="164">
        <v>16.2</v>
      </c>
      <c r="E348" s="164">
        <v>11.7</v>
      </c>
      <c r="F348" s="164">
        <v>5.2</v>
      </c>
      <c r="G348" s="164">
        <v>2.2999999999999998</v>
      </c>
      <c r="H348" s="164">
        <v>7.5</v>
      </c>
      <c r="I348" s="165">
        <v>179</v>
      </c>
      <c r="J348" s="166"/>
      <c r="K348" s="166"/>
      <c r="L348" s="166"/>
    </row>
    <row r="349" spans="1:12">
      <c r="A349" s="162" t="s">
        <v>259</v>
      </c>
      <c r="B349" s="163"/>
      <c r="C349" s="164">
        <v>151.6</v>
      </c>
      <c r="D349" s="164">
        <v>17.100000000000001</v>
      </c>
      <c r="E349" s="164">
        <v>12.2</v>
      </c>
      <c r="F349" s="164">
        <v>5</v>
      </c>
      <c r="G349" s="164">
        <v>2.4</v>
      </c>
      <c r="H349" s="164">
        <v>7.5</v>
      </c>
      <c r="I349" s="165">
        <v>188.3</v>
      </c>
      <c r="J349" s="166"/>
      <c r="K349" s="166"/>
      <c r="L349" s="166"/>
    </row>
    <row r="350" spans="1:12">
      <c r="A350" s="162" t="s">
        <v>260</v>
      </c>
      <c r="B350" s="163"/>
      <c r="C350" s="164">
        <v>155.69999999999999</v>
      </c>
      <c r="D350" s="164">
        <v>17.8</v>
      </c>
      <c r="E350" s="164">
        <v>12.2</v>
      </c>
      <c r="F350" s="164">
        <v>4.5999999999999996</v>
      </c>
      <c r="G350" s="164">
        <v>2.2999999999999998</v>
      </c>
      <c r="H350" s="164">
        <v>6.9</v>
      </c>
      <c r="I350" s="165">
        <v>192.5</v>
      </c>
      <c r="J350" s="166"/>
      <c r="K350" s="166"/>
      <c r="L350" s="166"/>
    </row>
    <row r="351" spans="1:12">
      <c r="A351" s="162" t="s">
        <v>261</v>
      </c>
      <c r="B351" s="163"/>
      <c r="C351" s="164">
        <v>164.3</v>
      </c>
      <c r="D351" s="164">
        <v>18.600000000000001</v>
      </c>
      <c r="E351" s="164">
        <v>12.5</v>
      </c>
      <c r="F351" s="164">
        <v>4.4000000000000004</v>
      </c>
      <c r="G351" s="164">
        <v>2.2999999999999998</v>
      </c>
      <c r="H351" s="164">
        <v>6.7</v>
      </c>
      <c r="I351" s="165">
        <v>202.1</v>
      </c>
      <c r="J351" s="166"/>
      <c r="K351" s="166"/>
      <c r="L351" s="166"/>
    </row>
    <row r="352" spans="1:12">
      <c r="A352" s="162" t="s">
        <v>262</v>
      </c>
      <c r="B352" s="163"/>
      <c r="C352" s="164">
        <v>176.8</v>
      </c>
      <c r="D352" s="164">
        <v>20.3</v>
      </c>
      <c r="E352" s="164">
        <v>13.9</v>
      </c>
      <c r="F352" s="164">
        <v>4.2</v>
      </c>
      <c r="G352" s="164">
        <v>2.5</v>
      </c>
      <c r="H352" s="164">
        <v>6.7</v>
      </c>
      <c r="I352" s="165">
        <v>217.7</v>
      </c>
      <c r="J352" s="166"/>
      <c r="K352" s="166"/>
      <c r="L352" s="166"/>
    </row>
    <row r="353" spans="1:12">
      <c r="A353" s="162" t="s">
        <v>263</v>
      </c>
      <c r="B353" s="163"/>
      <c r="C353" s="164">
        <v>189.8</v>
      </c>
      <c r="D353" s="164">
        <v>22.5</v>
      </c>
      <c r="E353" s="164">
        <v>14.8</v>
      </c>
      <c r="F353" s="164">
        <v>3.7</v>
      </c>
      <c r="G353" s="164">
        <v>2.7</v>
      </c>
      <c r="H353" s="164">
        <v>6.4</v>
      </c>
      <c r="I353" s="165">
        <v>233.4</v>
      </c>
      <c r="J353" s="166"/>
      <c r="K353" s="166"/>
      <c r="L353" s="166"/>
    </row>
    <row r="354" spans="1:12">
      <c r="A354" s="162" t="s">
        <v>206</v>
      </c>
      <c r="B354" s="163"/>
      <c r="C354" s="164">
        <v>205.9</v>
      </c>
      <c r="D354" s="164">
        <v>24.7</v>
      </c>
      <c r="E354" s="164">
        <v>15.8</v>
      </c>
      <c r="F354" s="164">
        <v>3.7</v>
      </c>
      <c r="G354" s="164">
        <v>2.8</v>
      </c>
      <c r="H354" s="164">
        <v>6.5</v>
      </c>
      <c r="I354" s="165">
        <v>252.8</v>
      </c>
      <c r="J354" s="166"/>
      <c r="K354" s="166"/>
      <c r="L354" s="166"/>
    </row>
    <row r="355" spans="1:12">
      <c r="A355" s="162" t="s">
        <v>207</v>
      </c>
      <c r="B355" s="163"/>
      <c r="C355" s="164">
        <v>208.7</v>
      </c>
      <c r="D355" s="164">
        <v>24.8</v>
      </c>
      <c r="E355" s="164">
        <v>15.5</v>
      </c>
      <c r="F355" s="164">
        <v>3.5</v>
      </c>
      <c r="G355" s="164">
        <v>2.9</v>
      </c>
      <c r="H355" s="164">
        <v>6.3</v>
      </c>
      <c r="I355" s="165">
        <v>255.3</v>
      </c>
      <c r="J355" s="166"/>
      <c r="K355" s="166"/>
      <c r="L355" s="166"/>
    </row>
    <row r="356" spans="1:12">
      <c r="A356" s="162" t="s">
        <v>208</v>
      </c>
      <c r="B356" s="163"/>
      <c r="C356" s="164">
        <v>208.3</v>
      </c>
      <c r="D356" s="164">
        <v>25.9</v>
      </c>
      <c r="E356" s="164">
        <v>15.2</v>
      </c>
      <c r="F356" s="164">
        <v>3.4</v>
      </c>
      <c r="G356" s="164">
        <v>3</v>
      </c>
      <c r="H356" s="164">
        <v>6.3</v>
      </c>
      <c r="I356" s="165">
        <v>255.8</v>
      </c>
      <c r="J356" s="166"/>
      <c r="K356" s="166"/>
      <c r="L356" s="166"/>
    </row>
    <row r="357" spans="1:12">
      <c r="A357" s="167" t="s">
        <v>209</v>
      </c>
      <c r="B357" s="168"/>
      <c r="C357" s="164">
        <v>210</v>
      </c>
      <c r="D357" s="164">
        <v>25.6</v>
      </c>
      <c r="E357" s="164">
        <v>14.8</v>
      </c>
      <c r="F357" s="164">
        <v>2.8</v>
      </c>
      <c r="G357" s="164">
        <v>2.9</v>
      </c>
      <c r="H357" s="164">
        <v>5.7</v>
      </c>
      <c r="I357" s="165">
        <v>256.10000000000002</v>
      </c>
      <c r="J357" s="166"/>
      <c r="K357" s="166"/>
      <c r="L357" s="166"/>
    </row>
    <row r="358" spans="1:12" ht="18">
      <c r="A358" s="162">
        <v>1993</v>
      </c>
      <c r="B358" s="169">
        <v>4</v>
      </c>
      <c r="C358" s="164">
        <v>210.1</v>
      </c>
      <c r="D358" s="164">
        <v>25.8</v>
      </c>
      <c r="E358" s="164">
        <v>15.1</v>
      </c>
      <c r="F358" s="164">
        <v>2.2999999999999998</v>
      </c>
      <c r="G358" s="164">
        <v>2.9</v>
      </c>
      <c r="H358" s="164">
        <v>5.2</v>
      </c>
      <c r="I358" s="165">
        <v>256.2</v>
      </c>
      <c r="J358" s="166"/>
      <c r="K358" s="166"/>
      <c r="L358" s="166"/>
    </row>
    <row r="359" spans="1:12">
      <c r="A359" s="162" t="s">
        <v>211</v>
      </c>
      <c r="B359" s="163"/>
      <c r="C359" s="164">
        <v>214.4</v>
      </c>
      <c r="D359" s="164">
        <v>26.9</v>
      </c>
      <c r="E359" s="164">
        <v>15.4</v>
      </c>
      <c r="F359" s="164">
        <v>2.2999999999999998</v>
      </c>
      <c r="G359" s="164">
        <v>2.9</v>
      </c>
      <c r="H359" s="164">
        <v>5.2</v>
      </c>
      <c r="I359" s="165">
        <v>261.89999999999998</v>
      </c>
      <c r="J359" s="166"/>
      <c r="K359" s="166"/>
      <c r="L359" s="166"/>
    </row>
    <row r="360" spans="1:12">
      <c r="A360" s="162" t="s">
        <v>264</v>
      </c>
      <c r="B360" s="163"/>
      <c r="C360" s="164">
        <v>218.2</v>
      </c>
      <c r="D360" s="164">
        <v>27.7</v>
      </c>
      <c r="E360" s="164">
        <v>15.8</v>
      </c>
      <c r="F360" s="164">
        <v>2.2999999999999998</v>
      </c>
      <c r="G360" s="164">
        <v>3</v>
      </c>
      <c r="H360" s="164">
        <v>5.4</v>
      </c>
      <c r="I360" s="165">
        <v>267</v>
      </c>
      <c r="J360" s="166"/>
      <c r="K360" s="166"/>
      <c r="L360" s="166"/>
    </row>
    <row r="361" spans="1:12">
      <c r="A361" s="162" t="s">
        <v>265</v>
      </c>
      <c r="B361" s="163"/>
      <c r="C361" s="164">
        <v>223.6</v>
      </c>
      <c r="D361" s="164">
        <v>28.7</v>
      </c>
      <c r="E361" s="164">
        <v>16.3</v>
      </c>
      <c r="F361" s="164">
        <v>2.2999999999999998</v>
      </c>
      <c r="G361" s="164">
        <v>3.1</v>
      </c>
      <c r="H361" s="164">
        <v>5.5</v>
      </c>
      <c r="I361" s="165">
        <v>274.10000000000002</v>
      </c>
      <c r="J361" s="166"/>
      <c r="K361" s="166"/>
      <c r="L361" s="166"/>
    </row>
    <row r="362" spans="1:12">
      <c r="A362" s="162" t="s">
        <v>266</v>
      </c>
      <c r="B362" s="163"/>
      <c r="C362" s="164">
        <v>227.3</v>
      </c>
      <c r="D362" s="164">
        <v>30.2</v>
      </c>
      <c r="E362" s="164">
        <v>16.7</v>
      </c>
      <c r="F362" s="164">
        <v>2.5</v>
      </c>
      <c r="G362" s="164">
        <v>3.2</v>
      </c>
      <c r="H362" s="164">
        <v>5.7</v>
      </c>
      <c r="I362" s="165">
        <v>279.8</v>
      </c>
      <c r="J362" s="166"/>
      <c r="K362" s="166"/>
      <c r="L362" s="166"/>
    </row>
    <row r="363" spans="1:12">
      <c r="A363" s="162" t="s">
        <v>267</v>
      </c>
      <c r="B363" s="163"/>
      <c r="C363" s="164">
        <v>230.3</v>
      </c>
      <c r="D363" s="164">
        <v>31.6</v>
      </c>
      <c r="E363" s="164">
        <v>17.2</v>
      </c>
      <c r="F363" s="164">
        <v>2.6</v>
      </c>
      <c r="G363" s="164">
        <v>3.3</v>
      </c>
      <c r="H363" s="164">
        <v>5.8</v>
      </c>
      <c r="I363" s="165">
        <v>284.89999999999998</v>
      </c>
      <c r="J363" s="166"/>
      <c r="K363" s="166"/>
      <c r="L363" s="166"/>
    </row>
    <row r="364" spans="1:12">
      <c r="A364" s="162" t="s">
        <v>268</v>
      </c>
      <c r="B364" s="163"/>
      <c r="C364" s="164">
        <v>234.5</v>
      </c>
      <c r="D364" s="164">
        <v>32.1</v>
      </c>
      <c r="E364" s="164">
        <v>17.5</v>
      </c>
      <c r="F364" s="164">
        <v>2.8</v>
      </c>
      <c r="G364" s="164">
        <v>3.3</v>
      </c>
      <c r="H364" s="164">
        <v>6.1</v>
      </c>
      <c r="I364" s="165">
        <v>290.2</v>
      </c>
      <c r="J364" s="166"/>
      <c r="K364" s="166"/>
      <c r="L364" s="166"/>
    </row>
    <row r="365" spans="1:12">
      <c r="A365" s="162" t="s">
        <v>269</v>
      </c>
      <c r="B365" s="163"/>
      <c r="C365" s="164">
        <v>233.7</v>
      </c>
      <c r="D365" s="164">
        <v>32.4</v>
      </c>
      <c r="E365" s="164">
        <v>17.5</v>
      </c>
      <c r="F365" s="164">
        <v>2.8</v>
      </c>
      <c r="G365" s="164">
        <v>3.2</v>
      </c>
      <c r="H365" s="164">
        <v>6</v>
      </c>
      <c r="I365" s="165">
        <v>289.7</v>
      </c>
      <c r="J365" s="166"/>
      <c r="K365" s="166"/>
      <c r="L365" s="166"/>
    </row>
    <row r="366" spans="1:12">
      <c r="A366" s="162" t="s">
        <v>270</v>
      </c>
      <c r="B366" s="163"/>
      <c r="C366" s="164">
        <v>236.9</v>
      </c>
      <c r="D366" s="164">
        <v>33.200000000000003</v>
      </c>
      <c r="E366" s="164">
        <v>17.399999999999999</v>
      </c>
      <c r="F366" s="164">
        <v>3</v>
      </c>
      <c r="G366" s="164">
        <v>3.2</v>
      </c>
      <c r="H366" s="164">
        <v>6.2</v>
      </c>
      <c r="I366" s="165">
        <v>293.7</v>
      </c>
      <c r="J366" s="166"/>
      <c r="K366" s="166"/>
      <c r="L366" s="166"/>
    </row>
    <row r="367" spans="1:12">
      <c r="A367" s="162" t="s">
        <v>271</v>
      </c>
      <c r="B367" s="163"/>
      <c r="C367" s="164">
        <v>242.7</v>
      </c>
      <c r="D367" s="164">
        <v>34</v>
      </c>
      <c r="E367" s="164">
        <v>17.600000000000001</v>
      </c>
      <c r="F367" s="164">
        <v>3.1</v>
      </c>
      <c r="G367" s="164">
        <v>3.2</v>
      </c>
      <c r="H367" s="164">
        <v>6.3</v>
      </c>
      <c r="I367" s="165">
        <v>300.60000000000002</v>
      </c>
      <c r="J367" s="166"/>
      <c r="K367" s="166"/>
      <c r="L367" s="166"/>
    </row>
    <row r="368" spans="1:12">
      <c r="A368" s="162" t="s">
        <v>272</v>
      </c>
      <c r="B368" s="163"/>
      <c r="C368" s="164">
        <v>242.3</v>
      </c>
      <c r="D368" s="164">
        <v>35.700000000000003</v>
      </c>
      <c r="E368" s="164">
        <v>17.7</v>
      </c>
      <c r="F368" s="164">
        <v>3.4</v>
      </c>
      <c r="G368" s="164">
        <v>3.3</v>
      </c>
      <c r="H368" s="164">
        <v>6.8</v>
      </c>
      <c r="I368" s="165">
        <v>302.39999999999998</v>
      </c>
      <c r="J368" s="166"/>
      <c r="K368" s="166"/>
      <c r="L368" s="166"/>
    </row>
    <row r="369" spans="1:12">
      <c r="A369" s="162" t="s">
        <v>273</v>
      </c>
      <c r="B369" s="163"/>
      <c r="C369" s="164">
        <v>245</v>
      </c>
      <c r="D369" s="164">
        <v>37.4</v>
      </c>
      <c r="E369" s="164">
        <v>18.2</v>
      </c>
      <c r="F369" s="164">
        <v>3.2</v>
      </c>
      <c r="G369" s="164">
        <v>3.2</v>
      </c>
      <c r="H369" s="164">
        <v>6.4</v>
      </c>
      <c r="I369" s="165">
        <v>306.89999999999998</v>
      </c>
      <c r="J369" s="166"/>
      <c r="K369" s="166"/>
      <c r="L369" s="166"/>
    </row>
    <row r="370" spans="1:12">
      <c r="A370" s="162" t="s">
        <v>274</v>
      </c>
      <c r="B370" s="163"/>
      <c r="C370" s="164">
        <v>244</v>
      </c>
      <c r="D370" s="164">
        <v>38.4</v>
      </c>
      <c r="E370" s="164">
        <v>18</v>
      </c>
      <c r="F370" s="164">
        <v>3.3</v>
      </c>
      <c r="G370" s="164">
        <v>3.2</v>
      </c>
      <c r="H370" s="164">
        <v>6.5</v>
      </c>
      <c r="I370" s="165">
        <v>306.89999999999998</v>
      </c>
      <c r="J370" s="166"/>
      <c r="K370" s="166"/>
      <c r="L370" s="166"/>
    </row>
    <row r="371" spans="1:12">
      <c r="A371" s="162" t="s">
        <v>275</v>
      </c>
      <c r="B371" s="163"/>
      <c r="C371" s="164">
        <v>246.9</v>
      </c>
      <c r="D371" s="164">
        <v>39.9</v>
      </c>
      <c r="E371" s="164">
        <v>18</v>
      </c>
      <c r="F371" s="164">
        <v>3.2</v>
      </c>
      <c r="G371" s="164">
        <v>3.3</v>
      </c>
      <c r="H371" s="164">
        <v>6.5</v>
      </c>
      <c r="I371" s="165">
        <v>311.39999999999998</v>
      </c>
      <c r="J371" s="166"/>
      <c r="K371" s="166"/>
      <c r="L371" s="166"/>
    </row>
    <row r="372" spans="1:12">
      <c r="A372" s="162" t="s">
        <v>276</v>
      </c>
      <c r="B372" s="163"/>
      <c r="C372" s="164">
        <v>247.3</v>
      </c>
      <c r="D372" s="164">
        <v>41.9</v>
      </c>
      <c r="E372" s="164">
        <v>18.2</v>
      </c>
      <c r="F372" s="164">
        <v>3.4</v>
      </c>
      <c r="G372" s="164">
        <v>3.4</v>
      </c>
      <c r="H372" s="164">
        <v>6.8</v>
      </c>
      <c r="I372" s="165">
        <v>314.10000000000002</v>
      </c>
      <c r="J372" s="166"/>
      <c r="K372" s="166"/>
      <c r="L372" s="166"/>
    </row>
    <row r="373" spans="1:12">
      <c r="A373" s="162" t="s">
        <v>277</v>
      </c>
      <c r="B373" s="163"/>
      <c r="C373" s="164">
        <v>245.4</v>
      </c>
      <c r="D373" s="164">
        <v>41.6</v>
      </c>
      <c r="E373" s="164">
        <v>17.8</v>
      </c>
      <c r="F373" s="164">
        <v>3.1</v>
      </c>
      <c r="G373" s="164">
        <v>3.1</v>
      </c>
      <c r="H373" s="164">
        <v>6.3</v>
      </c>
      <c r="I373" s="165">
        <v>311</v>
      </c>
      <c r="J373" s="166"/>
      <c r="K373" s="166"/>
      <c r="L373" s="166"/>
    </row>
    <row r="374" spans="1:12">
      <c r="A374" s="162" t="s">
        <v>278</v>
      </c>
      <c r="B374" s="163"/>
      <c r="C374" s="164">
        <v>244.8</v>
      </c>
      <c r="D374" s="164">
        <v>40.700000000000003</v>
      </c>
      <c r="E374" s="164">
        <v>16.3</v>
      </c>
      <c r="F374" s="164">
        <v>3.2</v>
      </c>
      <c r="G374" s="164">
        <v>3.1</v>
      </c>
      <c r="H374" s="164">
        <v>6.3</v>
      </c>
      <c r="I374" s="165">
        <v>308.10000000000002</v>
      </c>
      <c r="J374" s="166"/>
      <c r="K374" s="166"/>
      <c r="L374" s="166"/>
    </row>
    <row r="375" spans="1:12" ht="16.8">
      <c r="A375" s="162">
        <v>2010</v>
      </c>
      <c r="B375" s="170" t="s">
        <v>212</v>
      </c>
      <c r="C375" s="164">
        <v>241.9</v>
      </c>
      <c r="D375" s="164">
        <v>41.4</v>
      </c>
      <c r="E375" s="164">
        <v>16.399999999999999</v>
      </c>
      <c r="F375" s="164">
        <v>2.9</v>
      </c>
      <c r="G375" s="164">
        <v>3.2</v>
      </c>
      <c r="H375" s="164">
        <v>6.1</v>
      </c>
      <c r="I375" s="165">
        <v>305.8</v>
      </c>
      <c r="J375" s="166"/>
      <c r="K375" s="166"/>
      <c r="L375" s="166"/>
    </row>
    <row r="376" spans="1:12" ht="16.8">
      <c r="A376" s="162">
        <v>2011</v>
      </c>
      <c r="B376" s="170" t="s">
        <v>212</v>
      </c>
      <c r="C376" s="164">
        <v>244.3</v>
      </c>
      <c r="D376" s="164">
        <v>42</v>
      </c>
      <c r="E376" s="164">
        <v>16</v>
      </c>
      <c r="F376" s="164">
        <v>2.9</v>
      </c>
      <c r="G376" s="164">
        <v>3</v>
      </c>
      <c r="H376" s="164">
        <v>5.9</v>
      </c>
      <c r="I376" s="165">
        <v>308.2</v>
      </c>
      <c r="J376" s="166"/>
      <c r="K376" s="166"/>
      <c r="L376" s="166"/>
    </row>
    <row r="377" spans="1:12" ht="16.8">
      <c r="A377" s="171">
        <v>2012</v>
      </c>
      <c r="B377" s="170" t="s">
        <v>212</v>
      </c>
      <c r="C377" s="164">
        <v>245.5</v>
      </c>
      <c r="D377" s="164">
        <v>42.2</v>
      </c>
      <c r="E377" s="164">
        <v>15.6</v>
      </c>
      <c r="F377" s="164">
        <v>2.9</v>
      </c>
      <c r="G377" s="164">
        <v>2.8</v>
      </c>
      <c r="H377" s="164">
        <v>5.7</v>
      </c>
      <c r="I377" s="165">
        <v>309</v>
      </c>
      <c r="J377" s="166"/>
      <c r="K377" s="166"/>
      <c r="L377" s="166"/>
    </row>
    <row r="378" spans="1:12" ht="16.8">
      <c r="A378" s="171">
        <v>2013</v>
      </c>
      <c r="B378" s="170" t="s">
        <v>212</v>
      </c>
      <c r="C378" s="164">
        <v>246.6</v>
      </c>
      <c r="D378" s="164">
        <v>43.8</v>
      </c>
      <c r="E378" s="164">
        <v>15.8</v>
      </c>
      <c r="F378" s="164">
        <v>2.8</v>
      </c>
      <c r="G378" s="164">
        <v>2.9</v>
      </c>
      <c r="H378" s="164">
        <v>5.7</v>
      </c>
      <c r="I378" s="165">
        <v>311.89999999999998</v>
      </c>
      <c r="J378" s="166"/>
      <c r="K378" s="166"/>
      <c r="L378" s="166"/>
    </row>
    <row r="379" spans="1:12" ht="16.8">
      <c r="A379" s="171">
        <v>2014</v>
      </c>
      <c r="B379" s="170" t="s">
        <v>212</v>
      </c>
      <c r="C379" s="164">
        <v>253.5</v>
      </c>
      <c r="D379" s="164">
        <v>46.6</v>
      </c>
      <c r="E379" s="164">
        <v>16.2</v>
      </c>
      <c r="F379" s="164">
        <v>2.9</v>
      </c>
      <c r="G379" s="164">
        <v>2.9</v>
      </c>
      <c r="H379" s="164">
        <v>5.8</v>
      </c>
      <c r="I379" s="165">
        <v>322.2</v>
      </c>
      <c r="J379" s="166"/>
      <c r="K379" s="166"/>
      <c r="L379" s="166"/>
    </row>
    <row r="380" spans="1:12" ht="16.8">
      <c r="A380" s="162">
        <v>2015</v>
      </c>
      <c r="B380" s="170" t="s">
        <v>212</v>
      </c>
      <c r="C380" s="164">
        <v>258.10000000000002</v>
      </c>
      <c r="D380" s="164">
        <v>48.9</v>
      </c>
      <c r="E380" s="164">
        <v>16.8</v>
      </c>
      <c r="F380" s="164">
        <v>2.9</v>
      </c>
      <c r="G380" s="164">
        <v>2.8</v>
      </c>
      <c r="H380" s="164">
        <v>5.7</v>
      </c>
      <c r="I380" s="165">
        <v>329.6</v>
      </c>
      <c r="J380" s="166"/>
      <c r="K380" s="166"/>
      <c r="L380" s="166"/>
    </row>
    <row r="381" spans="1:12" ht="16.8">
      <c r="A381" s="162">
        <v>2016</v>
      </c>
      <c r="B381" s="170" t="s">
        <v>212</v>
      </c>
      <c r="C381" s="164">
        <v>263.89999999999998</v>
      </c>
      <c r="D381" s="164">
        <v>51.7</v>
      </c>
      <c r="E381" s="164">
        <v>17</v>
      </c>
      <c r="F381" s="164">
        <v>3</v>
      </c>
      <c r="G381" s="164">
        <v>2.6</v>
      </c>
      <c r="H381" s="164">
        <v>5.6</v>
      </c>
      <c r="I381" s="165">
        <v>338.2</v>
      </c>
      <c r="J381" s="166"/>
      <c r="K381" s="166"/>
      <c r="L381" s="166"/>
    </row>
    <row r="382" spans="1:12" ht="16.8">
      <c r="A382" s="162">
        <v>2017</v>
      </c>
      <c r="B382" s="170" t="s">
        <v>212</v>
      </c>
      <c r="C382" s="164">
        <v>269</v>
      </c>
      <c r="D382" s="164">
        <v>53.4</v>
      </c>
      <c r="E382" s="164">
        <v>17.2</v>
      </c>
      <c r="F382" s="164">
        <v>3</v>
      </c>
      <c r="G382" s="164">
        <v>2.6</v>
      </c>
      <c r="H382" s="164">
        <v>5.5</v>
      </c>
      <c r="I382" s="165">
        <v>345.2</v>
      </c>
      <c r="J382" s="166"/>
      <c r="K382" s="166"/>
      <c r="L382" s="166"/>
    </row>
    <row r="383" spans="1:12" ht="16.8">
      <c r="A383" s="162">
        <v>2018</v>
      </c>
      <c r="B383" s="170" t="s">
        <v>212</v>
      </c>
      <c r="C383" s="164">
        <v>272.3</v>
      </c>
      <c r="D383" s="164">
        <v>54.4</v>
      </c>
      <c r="E383" s="164">
        <v>17.3</v>
      </c>
      <c r="F383" s="164">
        <v>3</v>
      </c>
      <c r="G383" s="164">
        <v>2.5</v>
      </c>
      <c r="H383" s="164">
        <v>5.5</v>
      </c>
      <c r="I383" s="165">
        <v>349.5</v>
      </c>
      <c r="J383" s="166"/>
      <c r="K383" s="166"/>
      <c r="L383" s="166"/>
    </row>
    <row r="384" spans="1:12">
      <c r="A384" s="162">
        <v>2019</v>
      </c>
      <c r="B384" s="163"/>
      <c r="C384" s="164">
        <v>278.2</v>
      </c>
      <c r="D384" s="164">
        <v>55.5</v>
      </c>
      <c r="E384" s="164">
        <v>17.399999999999999</v>
      </c>
      <c r="F384" s="164">
        <v>3</v>
      </c>
      <c r="G384" s="164">
        <v>2.4</v>
      </c>
      <c r="H384" s="164">
        <v>5.4</v>
      </c>
      <c r="I384" s="165">
        <v>356.5</v>
      </c>
      <c r="J384" s="166"/>
      <c r="K384" s="166"/>
      <c r="L384" s="166"/>
    </row>
    <row r="385" spans="1:12" ht="15" thickBot="1">
      <c r="A385" s="172"/>
      <c r="B385" s="173"/>
      <c r="C385" s="174"/>
      <c r="D385" s="174"/>
      <c r="E385" s="174"/>
      <c r="F385" s="174"/>
      <c r="G385" s="174"/>
      <c r="H385" s="174"/>
      <c r="I385" s="174"/>
      <c r="J385" s="166"/>
      <c r="K385" s="166"/>
      <c r="L385" s="166"/>
    </row>
    <row r="386" spans="1:12">
      <c r="A386" s="175" t="s">
        <v>279</v>
      </c>
      <c r="B386" s="176"/>
      <c r="C386" s="177"/>
      <c r="D386" s="178"/>
      <c r="E386" s="179"/>
      <c r="F386" s="179"/>
      <c r="G386" s="179"/>
      <c r="H386" s="179"/>
      <c r="I386" s="180" t="s">
        <v>280</v>
      </c>
      <c r="J386" s="180"/>
      <c r="K386" s="166"/>
      <c r="L386" s="166"/>
    </row>
    <row r="387" spans="1:12">
      <c r="A387" s="175" t="s">
        <v>281</v>
      </c>
      <c r="B387" s="176"/>
      <c r="C387" s="181"/>
      <c r="D387" s="179"/>
      <c r="E387" s="179"/>
      <c r="F387" s="179"/>
      <c r="G387" s="179"/>
      <c r="H387" s="179"/>
      <c r="I387" s="180" t="s">
        <v>282</v>
      </c>
      <c r="J387" s="180"/>
      <c r="K387" s="166"/>
      <c r="L387" s="166"/>
    </row>
    <row r="388" spans="1:12">
      <c r="A388" s="175" t="s">
        <v>283</v>
      </c>
      <c r="B388" s="176"/>
      <c r="C388" s="181"/>
      <c r="D388" s="179"/>
      <c r="E388" s="179"/>
      <c r="F388" s="179"/>
      <c r="G388" s="179"/>
      <c r="H388" s="179"/>
      <c r="I388" s="182" t="s">
        <v>284</v>
      </c>
      <c r="J388" s="182"/>
      <c r="K388" s="166"/>
      <c r="L388" s="166"/>
    </row>
    <row r="389" spans="1:12">
      <c r="A389" s="175" t="s">
        <v>285</v>
      </c>
      <c r="B389" s="176"/>
      <c r="C389" s="181"/>
      <c r="D389" s="179"/>
      <c r="E389" s="178"/>
      <c r="F389" s="178"/>
      <c r="G389" s="178"/>
      <c r="H389" s="178"/>
      <c r="I389" s="178"/>
      <c r="J389" s="166"/>
      <c r="K389" s="166"/>
      <c r="L389" s="166"/>
    </row>
    <row r="390" spans="1:12">
      <c r="A390" s="183" t="s">
        <v>286</v>
      </c>
      <c r="B390" s="176"/>
      <c r="C390" s="181"/>
      <c r="D390" s="179"/>
      <c r="E390" s="178"/>
      <c r="F390" s="178"/>
      <c r="G390" s="178"/>
      <c r="H390" s="178"/>
      <c r="I390" s="178"/>
      <c r="J390" s="166"/>
      <c r="K390" s="166"/>
      <c r="L390" s="166"/>
    </row>
    <row r="391" spans="1:12">
      <c r="A391" s="183" t="s">
        <v>287</v>
      </c>
      <c r="B391" s="176"/>
      <c r="C391" s="181"/>
      <c r="D391" s="179"/>
      <c r="E391" s="178"/>
      <c r="F391" s="178"/>
      <c r="G391" s="178"/>
      <c r="H391" s="178"/>
      <c r="I391" s="178"/>
      <c r="J391" s="166"/>
      <c r="K391" s="166"/>
      <c r="L391" s="166"/>
    </row>
    <row r="392" spans="1:12">
      <c r="A392" s="206" t="s">
        <v>288</v>
      </c>
      <c r="B392" s="206"/>
      <c r="C392" s="206"/>
      <c r="D392" s="206"/>
      <c r="E392" s="206"/>
      <c r="F392" s="206"/>
      <c r="G392" s="206"/>
      <c r="H392" s="206"/>
      <c r="I392" s="206"/>
      <c r="J392" s="206"/>
      <c r="K392" s="206"/>
      <c r="L392" s="206"/>
    </row>
    <row r="393" spans="1:12">
      <c r="A393" s="184"/>
      <c r="B393" s="176"/>
      <c r="C393" s="181"/>
      <c r="D393" s="179"/>
      <c r="E393" s="178"/>
      <c r="F393" s="178"/>
      <c r="G393" s="178"/>
      <c r="H393" s="178"/>
      <c r="I393" s="178"/>
      <c r="J393" s="166"/>
      <c r="K393" s="166"/>
      <c r="L393" s="166"/>
    </row>
    <row r="394" spans="1:12">
      <c r="A394" s="156" t="s">
        <v>289</v>
      </c>
      <c r="B394" s="176"/>
      <c r="C394" s="177"/>
      <c r="D394" s="178"/>
      <c r="E394" s="178"/>
      <c r="F394" s="178"/>
      <c r="G394" s="178"/>
      <c r="H394" s="178"/>
      <c r="I394" s="178"/>
      <c r="J394" s="166"/>
      <c r="K394" s="166"/>
      <c r="L394" s="166"/>
    </row>
    <row r="395" spans="1:12">
      <c r="A395" s="156" t="s">
        <v>290</v>
      </c>
      <c r="B395" s="185"/>
      <c r="C395" s="186"/>
      <c r="D395" s="166"/>
      <c r="E395" s="166"/>
      <c r="F395" s="166"/>
      <c r="G395" s="166"/>
      <c r="H395" s="166"/>
      <c r="I395" s="166"/>
      <c r="J395" s="166"/>
      <c r="K395" s="166"/>
      <c r="L395" s="166"/>
    </row>
    <row r="396" spans="1:12">
      <c r="A396" s="187" t="s">
        <v>291</v>
      </c>
      <c r="B396" s="188"/>
      <c r="C396" s="186"/>
      <c r="D396" s="166"/>
      <c r="E396" s="166"/>
      <c r="F396" s="166"/>
      <c r="G396" s="166"/>
      <c r="H396" s="166"/>
      <c r="I396" s="166"/>
      <c r="J396" s="166"/>
      <c r="K396" s="166"/>
      <c r="L396" s="166"/>
    </row>
    <row r="397" spans="1:12">
      <c r="A397" s="206" t="s">
        <v>292</v>
      </c>
      <c r="B397" s="206"/>
      <c r="C397" s="206"/>
      <c r="D397" s="206"/>
      <c r="E397" s="206"/>
      <c r="F397" s="206"/>
      <c r="G397" s="206"/>
      <c r="H397" s="206"/>
      <c r="I397" s="206"/>
      <c r="J397" s="206"/>
      <c r="K397" s="206"/>
      <c r="L397" s="206"/>
    </row>
    <row r="398" spans="1:12">
      <c r="A398" s="156" t="s">
        <v>293</v>
      </c>
      <c r="B398" s="185"/>
      <c r="C398" s="186"/>
      <c r="D398" s="166"/>
      <c r="E398" s="166"/>
      <c r="F398" s="166"/>
      <c r="G398" s="166"/>
      <c r="H398" s="166"/>
      <c r="I398" s="166"/>
      <c r="J398" s="166"/>
      <c r="K398" s="166"/>
      <c r="L398" s="166"/>
    </row>
    <row r="399" spans="1:12">
      <c r="A399" s="166"/>
      <c r="B399" s="185"/>
      <c r="C399" s="186"/>
      <c r="D399" s="166"/>
      <c r="E399" s="166"/>
      <c r="F399" s="166"/>
      <c r="G399" s="166"/>
      <c r="H399" s="166"/>
      <c r="I399" s="166"/>
      <c r="J399" s="166"/>
      <c r="K399" s="166"/>
      <c r="L399" s="166"/>
    </row>
    <row r="400" spans="1:12">
      <c r="A400" s="166"/>
      <c r="B400" s="185"/>
      <c r="C400" s="186"/>
      <c r="D400" s="166"/>
      <c r="E400" s="166"/>
      <c r="F400" s="166"/>
      <c r="G400" s="166"/>
      <c r="H400" s="166"/>
      <c r="I400" s="166"/>
      <c r="J400" s="166"/>
      <c r="K400" s="166"/>
      <c r="L400" s="166"/>
    </row>
  </sheetData>
  <mergeCells count="6">
    <mergeCell ref="A397:L397"/>
    <mergeCell ref="F20:S20"/>
    <mergeCell ref="A269:N269"/>
    <mergeCell ref="A308:L308"/>
    <mergeCell ref="F312:H312"/>
    <mergeCell ref="A392:L392"/>
  </mergeCells>
  <hyperlinks>
    <hyperlink ref="J18" r:id="rId1" xr:uid="{00000000-0004-0000-0400-000000000000}"/>
    <hyperlink ref="A270" r:id="rId2" location="'1.1'!A1" display="http://tna.europarchive.org/20110503185748/http:/www.dft.gov.uk/excel/173025/221412/221522/222944/rfs2009section1.xls - '1.1'!A1" xr:uid="{00000000-0004-0000-0400-000001000000}"/>
    <hyperlink ref="A308" r:id="rId3" xr:uid="{00000000-0004-0000-0400-000002000000}"/>
    <hyperlink ref="A392" r:id="rId4" xr:uid="{00000000-0004-0000-0400-000003000000}"/>
    <hyperlink ref="A397" r:id="rId5" xr:uid="{00000000-0004-0000-0400-000004000000}"/>
    <hyperlink ref="C184" r:id="rId6" xr:uid="{00000000-0004-0000-0400-000005000000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C45:H45"/>
  <sheetViews>
    <sheetView workbookViewId="0">
      <selection activeCell="B1" sqref="B1"/>
    </sheetView>
  </sheetViews>
  <sheetFormatPr defaultRowHeight="14.4"/>
  <sheetData>
    <row r="45" spans="3:8">
      <c r="C45" t="s">
        <v>322</v>
      </c>
      <c r="H45" s="191">
        <v>0.3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46:I155"/>
  <sheetViews>
    <sheetView topLeftCell="A45" workbookViewId="0">
      <selection activeCell="D64" sqref="D64"/>
    </sheetView>
  </sheetViews>
  <sheetFormatPr defaultRowHeight="14.4"/>
  <sheetData>
    <row r="46" spans="2:3">
      <c r="B46" t="s">
        <v>297</v>
      </c>
    </row>
    <row r="47" spans="2:3">
      <c r="B47">
        <v>27.5</v>
      </c>
      <c r="C47" t="s">
        <v>298</v>
      </c>
    </row>
    <row r="48" spans="2:3">
      <c r="B48" s="190">
        <f>100/B47</f>
        <v>3.6363636363636362</v>
      </c>
      <c r="C48" s="189" t="s">
        <v>17</v>
      </c>
    </row>
    <row r="50" s="189" customFormat="1"/>
    <row r="79" spans="2:3">
      <c r="B79" t="s">
        <v>299</v>
      </c>
    </row>
    <row r="80" spans="2:3">
      <c r="B80" s="190">
        <v>8.6999999999999993</v>
      </c>
      <c r="C80" s="189" t="s">
        <v>17</v>
      </c>
    </row>
    <row r="82" s="189" customFormat="1"/>
    <row r="112" spans="2:2">
      <c r="B112" t="s">
        <v>310</v>
      </c>
    </row>
    <row r="113" spans="1:3">
      <c r="B113">
        <v>2.5</v>
      </c>
      <c r="C113" t="s">
        <v>17</v>
      </c>
    </row>
    <row r="116" spans="1:3" s="189" customFormat="1"/>
    <row r="118" spans="1:3">
      <c r="A118" t="s">
        <v>311</v>
      </c>
    </row>
    <row r="150" spans="2:9">
      <c r="B150" t="s">
        <v>320</v>
      </c>
    </row>
    <row r="151" spans="2:9">
      <c r="B151">
        <v>3.8</v>
      </c>
      <c r="C151" t="s">
        <v>321</v>
      </c>
    </row>
    <row r="152" spans="2:9">
      <c r="B152" s="190">
        <f>B151/H155</f>
        <v>5.156037991858887</v>
      </c>
      <c r="C152" s="189" t="s">
        <v>17</v>
      </c>
    </row>
    <row r="154" spans="2:9">
      <c r="H154">
        <v>1</v>
      </c>
      <c r="I154" t="s">
        <v>25</v>
      </c>
    </row>
    <row r="155" spans="2:9">
      <c r="H155">
        <v>0.73699999999999999</v>
      </c>
      <c r="I155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</vt:lpstr>
      <vt:lpstr>FIN_ETA</vt:lpstr>
      <vt:lpstr>1_Motorcycles calcs</vt:lpstr>
      <vt:lpstr>1_UK stats motorcycles</vt:lpstr>
      <vt:lpstr>125cc engine efficiency</vt:lpstr>
      <vt:lpstr>3 wheel tuk tuks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Brockway</dc:creator>
  <cp:lastModifiedBy>User</cp:lastModifiedBy>
  <dcterms:created xsi:type="dcterms:W3CDTF">2021-08-17T11:59:28Z</dcterms:created>
  <dcterms:modified xsi:type="dcterms:W3CDTF">2022-07-07T08:08:25Z</dcterms:modified>
</cp:coreProperties>
</file>