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Steam_trains\"/>
    </mc:Choice>
  </mc:AlternateContent>
  <xr:revisionPtr revIDLastSave="0" documentId="13_ncr:1_{C25CA3D9-5C91-407A-A348-80FD271146DB}" xr6:coauthVersionLast="47" xr6:coauthVersionMax="47" xr10:uidLastSave="{00000000-0000-0000-0000-000000000000}"/>
  <bookViews>
    <workbookView xWindow="-108" yWindow="-108" windowWidth="23256" windowHeight="13176" tabRatio="628" xr2:uid="{00000000-000D-0000-FFFF-FFFF00000000}"/>
  </bookViews>
  <sheets>
    <sheet name="REFS" sheetId="46" r:id="rId1"/>
    <sheet name="FIN_ETA" sheetId="36" r:id="rId2"/>
    <sheet name="Calcs" sheetId="39" r:id="rId3"/>
    <sheet name="Blacklock_1921" sheetId="47" r:id="rId4"/>
    <sheet name="Iden_2019" sheetId="45" r:id="rId5"/>
    <sheet name="Bond_1963" sheetId="43" r:id="rId6"/>
    <sheet name="Newman_2008" sheetId="44" r:id="rId7"/>
    <sheet name="Rhodes_2020" sheetId="40" r:id="rId8"/>
    <sheet name="Trainweb_2000" sheetId="42" r:id="rId9"/>
    <sheet name="Wardale_2013" sheetId="38" r:id="rId10"/>
    <sheet name="Escudié_1989" sheetId="41" r:id="rId11"/>
    <sheet name="ss_Brockway_2015" sheetId="35" r:id="rId12"/>
    <sheet name="ss_Brockway_2014" sheetId="32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\0">[1]TABLE1a!$U$1:$U$7</definedName>
    <definedName name="\p">[1]TABLE1a!$P$1</definedName>
    <definedName name="\t">[1]TABLE1a!$U$3:$U$3</definedName>
    <definedName name="_1.2__Average_distance_travelled_by_mode_of_travel__1975_76__1985_86_and_1993_95" localSheetId="11">#REF!</definedName>
    <definedName name="_1.2__Average_distance_travelled_by_mode_of_travel__1975_76__1985_86_and_1993_95">#REF!</definedName>
    <definedName name="_1981" localSheetId="11">#REF!</definedName>
    <definedName name="_1981">#REF!</definedName>
    <definedName name="_tab13" localSheetId="11">#REF!</definedName>
    <definedName name="_tab13">#REF!</definedName>
    <definedName name="_tab14" localSheetId="11">#REF!</definedName>
    <definedName name="_tab14">#REF!</definedName>
    <definedName name="activeCell" localSheetId="11">#REF!</definedName>
    <definedName name="activeCell">#REF!</definedName>
    <definedName name="ALL">#N/A</definedName>
    <definedName name="ANNBELGIUM">[1]TABLE5!$D$5:$D$12</definedName>
    <definedName name="ANNDVR">[1]TABLE4AL!$D$6:$D$12</definedName>
    <definedName name="ANNENG">[1]TABLE4AL!$F$6:$F$12</definedName>
    <definedName name="ANNFORIEGN">[1]TABLE1a!$P$37:$P$37</definedName>
    <definedName name="ANNFRANCE">[1]TABLE5!$B$5:$B$12</definedName>
    <definedName name="ANNL">[1]TABLE5!$F$5:$F$12</definedName>
    <definedName name="ANNOTHER">[1]TABLE5!$J$5:$J$12</definedName>
    <definedName name="ANNSE">[1]TABLE4AL!$B$6:$B$12</definedName>
    <definedName name="ANNUAL" localSheetId="11">#REF!</definedName>
    <definedName name="ANNUAL">#REF!</definedName>
    <definedName name="ANNUK">[1]TABLE1a!$E$8:$E$14</definedName>
    <definedName name="ANNUT">[1]TABLE1a!$M$8:$M$14</definedName>
    <definedName name="BARQTR" localSheetId="11">#REF!</definedName>
    <definedName name="BARQTR">#REF!</definedName>
    <definedName name="BELGIUM" localSheetId="11">#REF!</definedName>
    <definedName name="BELGIUM">#REF!</definedName>
    <definedName name="BULL">#N/A</definedName>
    <definedName name="CAMARA">[1]TABLE1a!$P$4</definedName>
    <definedName name="CategoryTitle" localSheetId="11">#REF!</definedName>
    <definedName name="CategoryTitle">#REF!</definedName>
    <definedName name="CLONE">[1]TABLE1a!$P$6</definedName>
    <definedName name="COP_max">'[2]Domestic refrigeration'!$B$12</definedName>
    <definedName name="DEFLATOR" localSheetId="11">#REF!</definedName>
    <definedName name="DEFLATOR">#REF!</definedName>
    <definedName name="deltaE_food" localSheetId="2">#REF!</definedName>
    <definedName name="deltaE_food">#REF!</definedName>
    <definedName name="dgdsfyh" localSheetId="11">#REF!</definedName>
    <definedName name="dgdsfyh">#REF!</definedName>
    <definedName name="DK" localSheetId="11">#REF!</definedName>
    <definedName name="DK">#REF!</definedName>
    <definedName name="DNK_D" localSheetId="11">#REF!</definedName>
    <definedName name="DNK_D">#REF!</definedName>
    <definedName name="DOVER">#N/A</definedName>
    <definedName name="EIRE" localSheetId="11">#REF!</definedName>
    <definedName name="EIRE">#REF!</definedName>
    <definedName name="ENGLISH">#N/A</definedName>
    <definedName name="Ep_tot_cap_2000" localSheetId="2">#REF!</definedName>
    <definedName name="Ep_tot_cap_2000">#REF!</definedName>
    <definedName name="eta_charcoal">[3]Afrane_2012!$B$6</definedName>
    <definedName name="fbegyear" localSheetId="11">#REF!</definedName>
    <definedName name="fbegyear">#REF!</definedName>
    <definedName name="fendyear">[4]Year!$B$3</definedName>
    <definedName name="FL" localSheetId="11">#REF!</definedName>
    <definedName name="FL">#REF!</definedName>
    <definedName name="Footnotes" localSheetId="11">#REF!</definedName>
    <definedName name="Footnotes">#REF!</definedName>
    <definedName name="FOREIGN">[1]TABLE1a!$P$38:$P$52</definedName>
    <definedName name="FRANCE" localSheetId="11">#REF!</definedName>
    <definedName name="FRANCE">#REF!</definedName>
    <definedName name="fyear">[4]c11!$D$42</definedName>
    <definedName name="GERMANY" localSheetId="11">#REF!</definedName>
    <definedName name="GERMANY">#REF!</definedName>
    <definedName name="GraphData">'[5]TIS-INDEX'!$B$13:$Q$44,'[5]TIS-INDEX'!$E$9:$R$9</definedName>
    <definedName name="GraphTitle" localSheetId="11">#REF!</definedName>
    <definedName name="GraphTitle">#REF!</definedName>
    <definedName name="ITALY" localSheetId="11">#REF!</definedName>
    <definedName name="ITALY">#REF!</definedName>
    <definedName name="N_ml" localSheetId="2">#REF!</definedName>
    <definedName name="N_ml">#REF!</definedName>
    <definedName name="NLS" localSheetId="11">#REF!</definedName>
    <definedName name="NLS">#REF!</definedName>
    <definedName name="NONEC" localSheetId="11">#REF!</definedName>
    <definedName name="NONEC">#REF!</definedName>
    <definedName name="NORTHSEA">#N/A</definedName>
    <definedName name="OldData" localSheetId="11">#REF!</definedName>
    <definedName name="OldData">#REF!</definedName>
    <definedName name="OTHER">#N/A</definedName>
    <definedName name="OTHEREC" localSheetId="11">#REF!</definedName>
    <definedName name="OTHEREC">#REF!</definedName>
    <definedName name="phi_Combustible_renewables">[2]phi_heat!$C$17</definedName>
    <definedName name="phi_Electricity">[2]phi_heat!$C$28</definedName>
    <definedName name="phi_Feed">[2]phi_heat!$C$27</definedName>
    <definedName name="phi_Food">[2]phi_heat!$C$26</definedName>
    <definedName name="phi_HTH.600.C">[2]phi_heat!$C$10</definedName>
    <definedName name="phi_Hydro">[2]phi_heat!$C$19</definedName>
    <definedName name="phi_LTH.neg20.C">[2]phi_heat!$C$6</definedName>
    <definedName name="phi_MTH.100.C">[2]phi_heat!$C$8</definedName>
    <definedName name="phi_MTH.200.C">[2]phi_heat!$C$9</definedName>
    <definedName name="phi_Natural_gas">[2]phi_heat!$C$15</definedName>
    <definedName name="phi_Oil_and_oil_products">[2]phi_heat!$C$16</definedName>
    <definedName name="phi_Phytomass">[2]phi_heat!$C$29</definedName>
    <definedName name="PIE" localSheetId="11">#REF!</definedName>
    <definedName name="PIE">#REF!</definedName>
    <definedName name="_xlnm.Print_Area" localSheetId="11">#REF!</definedName>
    <definedName name="_xlnm.Print_Area">#REF!</definedName>
    <definedName name="Print_Area_MI">[1]TABLE1a!$A$1:$O$37</definedName>
    <definedName name="PUBLISH_Print_Area" localSheetId="11">#REF!</definedName>
    <definedName name="PUBLISH_Print_Area">#REF!</definedName>
    <definedName name="PUBLISH1998_Print_Area" localSheetId="11">#REF!</definedName>
    <definedName name="PUBLISH1998_Print_Area">#REF!</definedName>
    <definedName name="qryNonEUBreakdown" localSheetId="11">#REF!</definedName>
    <definedName name="qryNonEUBreakdown">#REF!</definedName>
    <definedName name="QUARTER" localSheetId="11">#REF!</definedName>
    <definedName name="QUARTER">#REF!</definedName>
    <definedName name="S_food" localSheetId="2">#REF!</definedName>
    <definedName name="S_food">#REF!</definedName>
    <definedName name="S_food_2000" localSheetId="2">#REF!</definedName>
    <definedName name="S_food_2000">#REF!</definedName>
    <definedName name="S_food_S_food_2000" localSheetId="2">#REF!</definedName>
    <definedName name="S_food_S_food_2000">#REF!</definedName>
    <definedName name="SPAIN" localSheetId="11">#REF!</definedName>
    <definedName name="SPAIN">#REF!</definedName>
    <definedName name="T_0_ref">'[2]Domestic refrigeration'!$B$10</definedName>
    <definedName name="T_ref">'[2]Domestic refrigeration'!$B$11</definedName>
    <definedName name="tab">[6]TABLE1a!$U$3:$U$3</definedName>
    <definedName name="TAB4ALL">#N/A</definedName>
    <definedName name="TAB4PV">#N/A</definedName>
    <definedName name="TAB4UT">#N/A</definedName>
    <definedName name="TableTitle" localSheetId="11">#REF!</definedName>
    <definedName name="TableTitle">#REF!</definedName>
    <definedName name="testing" localSheetId="11">#REF!</definedName>
    <definedName name="testing">#REF!</definedName>
    <definedName name="UK">#N/A</definedName>
    <definedName name="UT">#N/A</definedName>
    <definedName name="ValueTitle" localSheetId="11">#REF!</definedName>
    <definedName name="ValueTitle">#REF!</definedName>
    <definedName name="w" localSheetId="2">#REF!</definedName>
    <definedName name="w">#REF!</definedName>
    <definedName name="Year_Food" localSheetId="2">#REF!</definedName>
    <definedName name="Year_Foo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39" l="1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3" i="39"/>
  <c r="H2" i="36" s="1" a="1"/>
  <c r="I2" i="36" s="1"/>
  <c r="BJ2" i="36" l="1"/>
  <c r="BB2" i="36"/>
  <c r="AT2" i="36"/>
  <c r="AL2" i="36"/>
  <c r="AD2" i="36"/>
  <c r="V2" i="36"/>
  <c r="N2" i="36"/>
  <c r="BL2" i="36"/>
  <c r="BD2" i="36"/>
  <c r="AV2" i="36"/>
  <c r="AN2" i="36"/>
  <c r="AF2" i="36"/>
  <c r="X2" i="36"/>
  <c r="P2" i="36"/>
  <c r="H2" i="36"/>
  <c r="BK2" i="36"/>
  <c r="BC2" i="36"/>
  <c r="AU2" i="36"/>
  <c r="AM2" i="36"/>
  <c r="AE2" i="36"/>
  <c r="W2" i="36"/>
  <c r="O2" i="36"/>
  <c r="BI2" i="36"/>
  <c r="BA2" i="36"/>
  <c r="AS2" i="36"/>
  <c r="AK2" i="36"/>
  <c r="AC2" i="36"/>
  <c r="U2" i="36"/>
  <c r="M2" i="36"/>
  <c r="BP2" i="36"/>
  <c r="BH2" i="36"/>
  <c r="AZ2" i="36"/>
  <c r="AR2" i="36"/>
  <c r="AJ2" i="36"/>
  <c r="AB2" i="36"/>
  <c r="T2" i="36"/>
  <c r="L2" i="36"/>
  <c r="BO2" i="36"/>
  <c r="BG2" i="36"/>
  <c r="AY2" i="36"/>
  <c r="AQ2" i="36"/>
  <c r="AI2" i="36"/>
  <c r="AA2" i="36"/>
  <c r="S2" i="36"/>
  <c r="K2" i="36"/>
  <c r="BN2" i="36"/>
  <c r="BF2" i="36"/>
  <c r="AX2" i="36"/>
  <c r="AP2" i="36"/>
  <c r="AH2" i="36"/>
  <c r="Z2" i="36"/>
  <c r="R2" i="36"/>
  <c r="J2" i="36"/>
  <c r="BM2" i="36"/>
  <c r="BE2" i="36"/>
  <c r="AW2" i="36"/>
  <c r="AO2" i="36"/>
  <c r="AG2" i="36"/>
  <c r="Y2" i="36"/>
  <c r="Q2" i="36"/>
  <c r="C157" i="41"/>
  <c r="C158" i="41" s="1"/>
  <c r="C159" i="41" s="1"/>
  <c r="C160" i="41" s="1"/>
  <c r="C161" i="41" s="1"/>
  <c r="C162" i="41" s="1"/>
  <c r="C163" i="41" s="1"/>
  <c r="C164" i="41" s="1"/>
  <c r="C165" i="41" s="1"/>
  <c r="C147" i="41"/>
  <c r="C148" i="41" s="1"/>
  <c r="C149" i="41" s="1"/>
  <c r="C150" i="41" s="1"/>
  <c r="C151" i="41" s="1"/>
  <c r="C152" i="41" s="1"/>
  <c r="C153" i="41" s="1"/>
  <c r="C154" i="41" s="1"/>
  <c r="C155" i="41" s="1"/>
  <c r="C137" i="41"/>
  <c r="C138" i="41" s="1"/>
  <c r="C139" i="41" s="1"/>
  <c r="C140" i="41" s="1"/>
  <c r="C141" i="41" s="1"/>
  <c r="C142" i="41" s="1"/>
  <c r="C143" i="41" s="1"/>
  <c r="C144" i="41" s="1"/>
  <c r="C145" i="41" s="1"/>
  <c r="C127" i="41"/>
  <c r="C128" i="41" s="1"/>
  <c r="C129" i="41" s="1"/>
  <c r="C130" i="41" s="1"/>
  <c r="C131" i="41" s="1"/>
  <c r="C132" i="41" s="1"/>
  <c r="C133" i="41" s="1"/>
  <c r="C134" i="41" s="1"/>
  <c r="C135" i="41" s="1"/>
  <c r="C117" i="41"/>
  <c r="C118" i="41" s="1"/>
  <c r="C119" i="41" s="1"/>
  <c r="C120" i="41" s="1"/>
  <c r="C121" i="41" s="1"/>
  <c r="C122" i="41" s="1"/>
  <c r="C123" i="41" s="1"/>
  <c r="C124" i="41" s="1"/>
  <c r="C125" i="41" s="1"/>
  <c r="C107" i="41"/>
  <c r="C108" i="41" s="1"/>
  <c r="C109" i="41" s="1"/>
  <c r="C110" i="41" s="1"/>
  <c r="C111" i="41" s="1"/>
  <c r="C112" i="41" s="1"/>
  <c r="C113" i="41" s="1"/>
  <c r="C114" i="41" s="1"/>
  <c r="C115" i="41" s="1"/>
  <c r="C97" i="41"/>
  <c r="C98" i="41" s="1"/>
  <c r="C99" i="41" s="1"/>
  <c r="C100" i="41" s="1"/>
  <c r="C101" i="41" s="1"/>
  <c r="C102" i="41" s="1"/>
  <c r="C103" i="41" s="1"/>
  <c r="C104" i="41" s="1"/>
  <c r="C105" i="41" s="1"/>
  <c r="C87" i="41"/>
  <c r="C88" i="41" s="1"/>
  <c r="C89" i="41" s="1"/>
  <c r="C90" i="41" s="1"/>
  <c r="C91" i="41" s="1"/>
  <c r="C92" i="41" s="1"/>
  <c r="C93" i="41" s="1"/>
  <c r="C94" i="41" s="1"/>
  <c r="C95" i="41" s="1"/>
  <c r="C77" i="41"/>
  <c r="C78" i="41" s="1"/>
  <c r="C79" i="41" s="1"/>
  <c r="C80" i="41" s="1"/>
  <c r="C81" i="41" s="1"/>
  <c r="C82" i="41" s="1"/>
  <c r="C83" i="41" s="1"/>
  <c r="C84" i="41" s="1"/>
  <c r="C85" i="41" s="1"/>
  <c r="C67" i="41"/>
  <c r="C68" i="41" s="1"/>
  <c r="C69" i="41" s="1"/>
  <c r="C70" i="41" s="1"/>
  <c r="C71" i="41" s="1"/>
  <c r="C72" i="41" s="1"/>
  <c r="C73" i="41" s="1"/>
  <c r="C74" i="41" s="1"/>
  <c r="C75" i="41" s="1"/>
  <c r="C57" i="41"/>
  <c r="C58" i="41" s="1"/>
  <c r="C59" i="41" s="1"/>
  <c r="C60" i="41" s="1"/>
  <c r="C61" i="41" s="1"/>
  <c r="C62" i="41" s="1"/>
  <c r="C63" i="41" s="1"/>
  <c r="C64" i="41" s="1"/>
  <c r="C65" i="41" s="1"/>
  <c r="C47" i="41"/>
  <c r="C48" i="41" s="1"/>
  <c r="C49" i="41" s="1"/>
  <c r="C50" i="41" s="1"/>
  <c r="C51" i="41" s="1"/>
  <c r="C52" i="41" s="1"/>
  <c r="C53" i="41" s="1"/>
  <c r="C54" i="41" s="1"/>
  <c r="C55" i="41" s="1"/>
  <c r="C37" i="41"/>
  <c r="C38" i="41" s="1"/>
  <c r="C39" i="41" s="1"/>
  <c r="C40" i="41" s="1"/>
  <c r="C41" i="41" s="1"/>
  <c r="C42" i="41" s="1"/>
  <c r="C43" i="41" s="1"/>
  <c r="C44" i="41" s="1"/>
  <c r="C45" i="41" s="1"/>
  <c r="C27" i="41"/>
  <c r="C28" i="41" s="1"/>
  <c r="C29" i="41" s="1"/>
  <c r="C30" i="41" s="1"/>
  <c r="C31" i="41" s="1"/>
  <c r="C32" i="41" s="1"/>
  <c r="C33" i="41" s="1"/>
  <c r="C34" i="41" s="1"/>
  <c r="C35" i="41" s="1"/>
  <c r="C17" i="41"/>
  <c r="C18" i="41" s="1"/>
  <c r="C19" i="41" s="1"/>
  <c r="C20" i="41" s="1"/>
  <c r="C21" i="41" s="1"/>
  <c r="C22" i="41" s="1"/>
  <c r="C23" i="41" s="1"/>
  <c r="C24" i="41" s="1"/>
  <c r="C25" i="41" s="1"/>
  <c r="C7" i="41"/>
  <c r="C8" i="41" s="1"/>
  <c r="C9" i="41" s="1"/>
  <c r="C10" i="41" s="1"/>
  <c r="C11" i="41" s="1"/>
  <c r="C12" i="41" s="1"/>
  <c r="C13" i="41" s="1"/>
  <c r="C14" i="41" s="1"/>
  <c r="C15" i="41" s="1"/>
  <c r="C168" i="41"/>
  <c r="C169" i="41"/>
  <c r="C170" i="41"/>
  <c r="C171" i="41"/>
  <c r="C172" i="41"/>
  <c r="C173" i="41"/>
  <c r="C174" i="41"/>
  <c r="C175" i="41"/>
  <c r="C176" i="41"/>
  <c r="C177" i="41"/>
  <c r="C178" i="41"/>
  <c r="C179" i="41"/>
  <c r="C180" i="41"/>
  <c r="C181" i="41"/>
  <c r="C182" i="41"/>
  <c r="C183" i="41"/>
  <c r="C184" i="41"/>
  <c r="C185" i="41"/>
  <c r="C186" i="41"/>
  <c r="C187" i="41"/>
  <c r="C188" i="41"/>
  <c r="C189" i="41"/>
  <c r="C190" i="41"/>
  <c r="C191" i="41"/>
  <c r="C192" i="41"/>
  <c r="C193" i="41"/>
  <c r="C194" i="41"/>
  <c r="C195" i="41"/>
  <c r="C196" i="41"/>
  <c r="C167" i="41"/>
  <c r="G61" i="35" l="1"/>
  <c r="H61" i="35"/>
  <c r="I61" i="35"/>
  <c r="J61" i="35"/>
  <c r="K61" i="35"/>
  <c r="L61" i="35"/>
  <c r="M61" i="35"/>
  <c r="N61" i="35"/>
  <c r="O61" i="35"/>
  <c r="P61" i="35"/>
  <c r="Q61" i="35"/>
  <c r="R61" i="35"/>
  <c r="S61" i="35"/>
  <c r="T61" i="35"/>
  <c r="U61" i="35"/>
  <c r="V61" i="35"/>
  <c r="W61" i="35"/>
  <c r="X61" i="35"/>
  <c r="Y61" i="35"/>
  <c r="Z61" i="35"/>
  <c r="AA61" i="35"/>
  <c r="AB61" i="35"/>
  <c r="F61" i="35"/>
  <c r="AF61" i="35"/>
  <c r="AG61" i="35"/>
  <c r="AH61" i="35"/>
  <c r="AI61" i="35"/>
  <c r="AJ61" i="35"/>
  <c r="AK61" i="35"/>
  <c r="AL61" i="35"/>
  <c r="AM61" i="35"/>
  <c r="AN61" i="35"/>
  <c r="AO61" i="35"/>
  <c r="AP61" i="35"/>
  <c r="AQ61" i="35"/>
  <c r="AR61" i="35"/>
  <c r="AS61" i="35"/>
  <c r="AT61" i="35"/>
  <c r="AU61" i="35"/>
  <c r="AV61" i="35"/>
  <c r="AW61" i="35"/>
  <c r="AX61" i="35"/>
  <c r="AY61" i="35"/>
  <c r="AZ61" i="35"/>
  <c r="BA61" i="35"/>
  <c r="BB61" i="35"/>
  <c r="BC61" i="35"/>
  <c r="AD61" i="35"/>
  <c r="AE61" i="35"/>
  <c r="AC61" i="35"/>
  <c r="BC91" i="35" l="1"/>
  <c r="BE91" i="35"/>
  <c r="BH91" i="35"/>
  <c r="BI91" i="35"/>
  <c r="BD86" i="35"/>
  <c r="BE86" i="35"/>
  <c r="BF86" i="35"/>
  <c r="BG86" i="35"/>
  <c r="BH86" i="35"/>
  <c r="BI86" i="35"/>
  <c r="BD87" i="35"/>
  <c r="BE87" i="35"/>
  <c r="BF87" i="35"/>
  <c r="BG87" i="35"/>
  <c r="BH87" i="35"/>
  <c r="BI87" i="35"/>
  <c r="BD88" i="35"/>
  <c r="BD91" i="35" s="1"/>
  <c r="BE88" i="35"/>
  <c r="BF88" i="35"/>
  <c r="BF91" i="35" s="1"/>
  <c r="BG88" i="35"/>
  <c r="BG91" i="35" s="1"/>
  <c r="BH88" i="35"/>
  <c r="BI88" i="35"/>
  <c r="BC88" i="35"/>
  <c r="BC87" i="35"/>
  <c r="BC86" i="35"/>
  <c r="AO62" i="35"/>
  <c r="AP62" i="35"/>
  <c r="AQ62" i="35"/>
  <c r="AR62" i="35"/>
  <c r="AS62" i="35"/>
  <c r="AT62" i="35"/>
  <c r="AU62" i="35"/>
  <c r="AV62" i="35"/>
  <c r="AW62" i="35"/>
  <c r="AX62" i="35"/>
  <c r="AY62" i="35"/>
  <c r="AZ62" i="35"/>
  <c r="BA62" i="35"/>
  <c r="BB62" i="35"/>
  <c r="BC62" i="35"/>
  <c r="AO63" i="35"/>
  <c r="AP63" i="35"/>
  <c r="AQ63" i="35"/>
  <c r="AR63" i="35"/>
  <c r="AS63" i="35"/>
  <c r="AT63" i="35"/>
  <c r="AU63" i="35"/>
  <c r="AV63" i="35"/>
  <c r="AW63" i="35"/>
  <c r="AX63" i="35"/>
  <c r="AY63" i="35"/>
  <c r="AZ63" i="35"/>
  <c r="BA63" i="35"/>
  <c r="BB63" i="35"/>
  <c r="BC63" i="35"/>
  <c r="AO64" i="35"/>
  <c r="AP64" i="35"/>
  <c r="AQ64" i="35"/>
  <c r="AR64" i="35"/>
  <c r="AS64" i="35"/>
  <c r="AT64" i="35"/>
  <c r="AU64" i="35"/>
  <c r="AV64" i="35"/>
  <c r="AW64" i="35"/>
  <c r="AX64" i="35"/>
  <c r="AY64" i="35"/>
  <c r="AZ64" i="35"/>
  <c r="BA64" i="35"/>
  <c r="BB64" i="35"/>
  <c r="BC64" i="35"/>
  <c r="AO65" i="35"/>
  <c r="AP65" i="35"/>
  <c r="AQ65" i="35"/>
  <c r="AR65" i="35"/>
  <c r="AS65" i="35"/>
  <c r="AT65" i="35"/>
  <c r="AU65" i="35"/>
  <c r="AV65" i="35"/>
  <c r="AW65" i="35"/>
  <c r="AX65" i="35"/>
  <c r="AY65" i="35"/>
  <c r="AZ65" i="35"/>
  <c r="BA65" i="35"/>
  <c r="BB65" i="35"/>
  <c r="BC65" i="35"/>
  <c r="AO66" i="35"/>
  <c r="AP66" i="35"/>
  <c r="AQ66" i="35"/>
  <c r="AR66" i="35"/>
  <c r="AS66" i="35"/>
  <c r="AT66" i="35"/>
  <c r="AU66" i="35"/>
  <c r="AV66" i="35"/>
  <c r="AW66" i="35"/>
  <c r="AX66" i="35"/>
  <c r="AY66" i="35"/>
  <c r="AZ66" i="35"/>
  <c r="BA66" i="35"/>
  <c r="BB66" i="35"/>
  <c r="BC66" i="35"/>
  <c r="AD62" i="35"/>
  <c r="AE62" i="35"/>
  <c r="AF62" i="35"/>
  <c r="AG62" i="35"/>
  <c r="AH62" i="35"/>
  <c r="AI62" i="35"/>
  <c r="AJ62" i="35"/>
  <c r="AK62" i="35"/>
  <c r="AL62" i="35"/>
  <c r="AM62" i="35"/>
  <c r="AN62" i="35"/>
  <c r="AD63" i="35"/>
  <c r="AE63" i="35"/>
  <c r="AF63" i="35"/>
  <c r="AG63" i="35"/>
  <c r="AH63" i="35"/>
  <c r="AI63" i="35"/>
  <c r="AJ63" i="35"/>
  <c r="AK63" i="35"/>
  <c r="AL63" i="35"/>
  <c r="AM63" i="35"/>
  <c r="AN63" i="35"/>
  <c r="AD64" i="35"/>
  <c r="AE64" i="35"/>
  <c r="AF64" i="35"/>
  <c r="AG64" i="35"/>
  <c r="AH64" i="35"/>
  <c r="AI64" i="35"/>
  <c r="AJ64" i="35"/>
  <c r="AK64" i="35"/>
  <c r="AL64" i="35"/>
  <c r="AM64" i="35"/>
  <c r="AN64" i="35"/>
  <c r="AD65" i="35"/>
  <c r="AE65" i="35"/>
  <c r="AF65" i="35"/>
  <c r="AG65" i="35"/>
  <c r="AH65" i="35"/>
  <c r="AI65" i="35"/>
  <c r="AJ65" i="35"/>
  <c r="AK65" i="35"/>
  <c r="AL65" i="35"/>
  <c r="AM65" i="35"/>
  <c r="AN65" i="35"/>
  <c r="AD66" i="35"/>
  <c r="AE66" i="35"/>
  <c r="AF66" i="35"/>
  <c r="AG66" i="35"/>
  <c r="AH66" i="35"/>
  <c r="AI66" i="35"/>
  <c r="AJ66" i="35"/>
  <c r="AK66" i="35"/>
  <c r="AL66" i="35"/>
  <c r="AM66" i="35"/>
  <c r="AN66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Z62" i="35"/>
  <c r="AA62" i="35"/>
  <c r="AB62" i="35"/>
  <c r="AC62" i="35"/>
  <c r="G63" i="35"/>
  <c r="H63" i="35"/>
  <c r="I63" i="35"/>
  <c r="J63" i="35"/>
  <c r="K63" i="35"/>
  <c r="L63" i="35"/>
  <c r="M63" i="35"/>
  <c r="N63" i="35"/>
  <c r="O63" i="35"/>
  <c r="P63" i="35"/>
  <c r="Q63" i="35"/>
  <c r="R63" i="35"/>
  <c r="S63" i="35"/>
  <c r="T63" i="35"/>
  <c r="U63" i="35"/>
  <c r="V63" i="35"/>
  <c r="W63" i="35"/>
  <c r="X63" i="35"/>
  <c r="Y63" i="35"/>
  <c r="Z63" i="35"/>
  <c r="AA63" i="35"/>
  <c r="AB63" i="35"/>
  <c r="AC63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Z64" i="35"/>
  <c r="AA64" i="35"/>
  <c r="AB64" i="35"/>
  <c r="AC64" i="35"/>
  <c r="G65" i="35"/>
  <c r="H65" i="35"/>
  <c r="I65" i="35"/>
  <c r="J65" i="35"/>
  <c r="K65" i="35"/>
  <c r="L65" i="35"/>
  <c r="M65" i="35"/>
  <c r="N65" i="35"/>
  <c r="O65" i="35"/>
  <c r="P65" i="35"/>
  <c r="Q65" i="35"/>
  <c r="R65" i="35"/>
  <c r="S65" i="35"/>
  <c r="T65" i="35"/>
  <c r="U65" i="35"/>
  <c r="V65" i="35"/>
  <c r="W65" i="35"/>
  <c r="X65" i="35"/>
  <c r="Y65" i="35"/>
  <c r="Z65" i="35"/>
  <c r="AA65" i="35"/>
  <c r="AB65" i="35"/>
  <c r="AC65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Z66" i="35"/>
  <c r="AA66" i="35"/>
  <c r="AB66" i="35"/>
  <c r="AC66" i="35"/>
  <c r="F66" i="35"/>
  <c r="F65" i="35"/>
  <c r="F64" i="35"/>
  <c r="F63" i="35"/>
  <c r="F62" i="35"/>
  <c r="C17" i="35"/>
  <c r="V6" i="35"/>
  <c r="U6" i="35"/>
  <c r="F6" i="35"/>
  <c r="E6" i="35"/>
  <c r="C125" i="35" l="1"/>
  <c r="C127" i="35" s="1"/>
  <c r="C126" i="35"/>
  <c r="BD134" i="35"/>
  <c r="BE134" i="35"/>
  <c r="BF134" i="35"/>
  <c r="BG134" i="35"/>
  <c r="BH134" i="35"/>
  <c r="BI134" i="35"/>
  <c r="BC134" i="35"/>
  <c r="AH125" i="35"/>
  <c r="AI125" i="35"/>
  <c r="AJ125" i="35"/>
  <c r="AK125" i="35"/>
  <c r="AL125" i="35"/>
  <c r="AM125" i="35"/>
  <c r="AN125" i="35"/>
  <c r="AO125" i="35"/>
  <c r="AP125" i="35"/>
  <c r="AP127" i="35" s="1"/>
  <c r="AP135" i="35" s="1"/>
  <c r="AQ125" i="35"/>
  <c r="AR125" i="35"/>
  <c r="AS125" i="35"/>
  <c r="AT125" i="35"/>
  <c r="AU125" i="35"/>
  <c r="AV125" i="35"/>
  <c r="AW125" i="35"/>
  <c r="AX125" i="35"/>
  <c r="AX127" i="35" s="1"/>
  <c r="AX135" i="35" s="1"/>
  <c r="AY125" i="35"/>
  <c r="AY127" i="35" s="1"/>
  <c r="AY135" i="35" s="1"/>
  <c r="AZ125" i="35"/>
  <c r="BA125" i="35"/>
  <c r="BB125" i="35"/>
  <c r="BC125" i="35"/>
  <c r="BC127" i="35" s="1"/>
  <c r="BC135" i="35" s="1"/>
  <c r="BD125" i="35"/>
  <c r="BD127" i="35" s="1"/>
  <c r="BD135" i="35" s="1"/>
  <c r="BE125" i="35"/>
  <c r="BF125" i="35"/>
  <c r="BG125" i="35"/>
  <c r="BG127" i="35" s="1"/>
  <c r="BG135" i="35" s="1"/>
  <c r="BH125" i="35"/>
  <c r="BI125" i="35"/>
  <c r="AH126" i="35"/>
  <c r="AI126" i="35"/>
  <c r="AJ126" i="35"/>
  <c r="AK126" i="35"/>
  <c r="AL126" i="35"/>
  <c r="AM126" i="35"/>
  <c r="AM127" i="35" s="1"/>
  <c r="AM135" i="35" s="1"/>
  <c r="AN126" i="35"/>
  <c r="AN127" i="35" s="1"/>
  <c r="AN135" i="35" s="1"/>
  <c r="AO126" i="35"/>
  <c r="AP126" i="35"/>
  <c r="AQ126" i="35"/>
  <c r="AR126" i="35"/>
  <c r="AS126" i="35"/>
  <c r="AT126" i="35"/>
  <c r="AT127" i="35" s="1"/>
  <c r="AT135" i="35" s="1"/>
  <c r="AU126" i="35"/>
  <c r="AU127" i="35" s="1"/>
  <c r="AU135" i="35" s="1"/>
  <c r="AV126" i="35"/>
  <c r="AV127" i="35" s="1"/>
  <c r="AV135" i="35" s="1"/>
  <c r="AW126" i="35"/>
  <c r="AX126" i="35"/>
  <c r="AY126" i="35"/>
  <c r="AZ126" i="35"/>
  <c r="BA126" i="35"/>
  <c r="BB126" i="35"/>
  <c r="BB127" i="35" s="1"/>
  <c r="BB135" i="35" s="1"/>
  <c r="BC126" i="35"/>
  <c r="BD126" i="35"/>
  <c r="BE126" i="35"/>
  <c r="BF126" i="35"/>
  <c r="BG126" i="35"/>
  <c r="BH126" i="35"/>
  <c r="BI126" i="35"/>
  <c r="AH127" i="35"/>
  <c r="AH135" i="35" s="1"/>
  <c r="AI127" i="35"/>
  <c r="AI135" i="35" s="1"/>
  <c r="AL127" i="35"/>
  <c r="AL135" i="35" s="1"/>
  <c r="AQ127" i="35"/>
  <c r="AQ135" i="35" s="1"/>
  <c r="BF127" i="35"/>
  <c r="BF135" i="35" s="1"/>
  <c r="AG126" i="35"/>
  <c r="AG125" i="35"/>
  <c r="AG127" i="35" s="1"/>
  <c r="AG135" i="35" s="1"/>
  <c r="AB126" i="35"/>
  <c r="AB125" i="35"/>
  <c r="AB127" i="35" s="1"/>
  <c r="AB135" i="35" s="1"/>
  <c r="W126" i="35"/>
  <c r="W125" i="35"/>
  <c r="M126" i="35"/>
  <c r="M125" i="35"/>
  <c r="M127" i="35" s="1"/>
  <c r="R126" i="35"/>
  <c r="R125" i="35"/>
  <c r="R127" i="35" s="1"/>
  <c r="R135" i="35" s="1"/>
  <c r="BI127" i="35" l="1"/>
  <c r="BI135" i="35" s="1"/>
  <c r="BA127" i="35"/>
  <c r="BA135" i="35" s="1"/>
  <c r="AS127" i="35"/>
  <c r="AS135" i="35" s="1"/>
  <c r="AK127" i="35"/>
  <c r="AK135" i="35" s="1"/>
  <c r="BE127" i="35"/>
  <c r="BE135" i="35" s="1"/>
  <c r="AW127" i="35"/>
  <c r="AW135" i="35" s="1"/>
  <c r="AO127" i="35"/>
  <c r="AO135" i="35" s="1"/>
  <c r="W127" i="35"/>
  <c r="W135" i="35" s="1"/>
  <c r="W137" i="35" s="1"/>
  <c r="BH127" i="35"/>
  <c r="BH135" i="35" s="1"/>
  <c r="AZ127" i="35"/>
  <c r="AZ135" i="35" s="1"/>
  <c r="AR127" i="35"/>
  <c r="AR135" i="35" s="1"/>
  <c r="AJ127" i="35"/>
  <c r="AJ135" i="35" s="1"/>
  <c r="BG81" i="35"/>
  <c r="BH81" i="35"/>
  <c r="BI81" i="35"/>
  <c r="BI136" i="35" l="1"/>
  <c r="BI132" i="35"/>
  <c r="BG132" i="35"/>
  <c r="BG136" i="35"/>
  <c r="BH132" i="35"/>
  <c r="BH136" i="35"/>
  <c r="BC81" i="35"/>
  <c r="BD81" i="35"/>
  <c r="BE81" i="35"/>
  <c r="BF81" i="35"/>
  <c r="BD132" i="35" l="1"/>
  <c r="BD136" i="35"/>
  <c r="BC132" i="35"/>
  <c r="BC136" i="35"/>
  <c r="BF132" i="35"/>
  <c r="BF136" i="35"/>
  <c r="BE136" i="35"/>
  <c r="BE132" i="35"/>
  <c r="C216" i="35"/>
  <c r="C219" i="35" s="1"/>
  <c r="AO180" i="35" s="1"/>
  <c r="AO182" i="35" s="1"/>
  <c r="C210" i="35"/>
  <c r="C211" i="35" s="1"/>
  <c r="BB183" i="35"/>
  <c r="BA183" i="35"/>
  <c r="AZ183" i="35"/>
  <c r="AY183" i="35"/>
  <c r="AX183" i="35"/>
  <c r="AW183" i="35"/>
  <c r="AV183" i="35"/>
  <c r="AU183" i="35"/>
  <c r="AT183" i="35"/>
  <c r="AS183" i="35"/>
  <c r="AR183" i="35"/>
  <c r="AQ183" i="35"/>
  <c r="AP183" i="35"/>
  <c r="AO183" i="35"/>
  <c r="AN183" i="35"/>
  <c r="AM183" i="35"/>
  <c r="AL183" i="35"/>
  <c r="AK183" i="35"/>
  <c r="AJ183" i="35"/>
  <c r="AI183" i="35"/>
  <c r="AH183" i="35"/>
  <c r="AG183" i="35"/>
  <c r="AB183" i="35"/>
  <c r="W183" i="35"/>
  <c r="R183" i="35"/>
  <c r="BA180" i="35"/>
  <c r="BA182" i="35" s="1"/>
  <c r="AW180" i="35"/>
  <c r="AW182" i="35" s="1"/>
  <c r="AQ180" i="35"/>
  <c r="AQ182" i="35" s="1"/>
  <c r="AG180" i="35"/>
  <c r="AG182" i="35" s="1"/>
  <c r="BB176" i="35"/>
  <c r="BA176" i="35"/>
  <c r="AZ176" i="35"/>
  <c r="AY176" i="35"/>
  <c r="AX176" i="35"/>
  <c r="AW176" i="35"/>
  <c r="AV176" i="35"/>
  <c r="AU176" i="35"/>
  <c r="AT176" i="35"/>
  <c r="AS176" i="35"/>
  <c r="AR176" i="35"/>
  <c r="AQ176" i="35"/>
  <c r="AP176" i="35"/>
  <c r="AO176" i="35"/>
  <c r="AN176" i="35"/>
  <c r="AM176" i="35"/>
  <c r="AL176" i="35"/>
  <c r="AK176" i="35"/>
  <c r="AJ176" i="35"/>
  <c r="AI176" i="35"/>
  <c r="AH176" i="35"/>
  <c r="AG176" i="35"/>
  <c r="AB176" i="35"/>
  <c r="W176" i="35"/>
  <c r="R176" i="35"/>
  <c r="BB159" i="35"/>
  <c r="BA159" i="35"/>
  <c r="AZ159" i="35"/>
  <c r="AY159" i="35"/>
  <c r="AX159" i="35"/>
  <c r="AW159" i="35"/>
  <c r="AV159" i="35"/>
  <c r="AU159" i="35"/>
  <c r="AT159" i="35"/>
  <c r="AS159" i="35"/>
  <c r="AR159" i="35"/>
  <c r="AQ159" i="35"/>
  <c r="AP159" i="35"/>
  <c r="AO159" i="35"/>
  <c r="AN159" i="35"/>
  <c r="AM159" i="35"/>
  <c r="AL159" i="35"/>
  <c r="AK159" i="35"/>
  <c r="AJ159" i="35"/>
  <c r="AI159" i="35"/>
  <c r="AH159" i="35"/>
  <c r="AG159" i="35"/>
  <c r="AB159" i="35"/>
  <c r="W159" i="35"/>
  <c r="R159" i="35"/>
  <c r="M159" i="35"/>
  <c r="H159" i="35"/>
  <c r="C159" i="35"/>
  <c r="BB154" i="35"/>
  <c r="BA154" i="35"/>
  <c r="AZ154" i="35"/>
  <c r="AY154" i="35"/>
  <c r="AX154" i="35"/>
  <c r="AW154" i="35"/>
  <c r="AV154" i="35"/>
  <c r="AU154" i="35"/>
  <c r="AT154" i="35"/>
  <c r="AS154" i="35"/>
  <c r="AR154" i="35"/>
  <c r="AQ154" i="35"/>
  <c r="AP154" i="35"/>
  <c r="AO154" i="35"/>
  <c r="AN154" i="35"/>
  <c r="AM154" i="35"/>
  <c r="AL154" i="35"/>
  <c r="AK154" i="35"/>
  <c r="AJ154" i="35"/>
  <c r="AI154" i="35"/>
  <c r="AH154" i="35"/>
  <c r="AG154" i="35"/>
  <c r="AB154" i="35"/>
  <c r="W154" i="35"/>
  <c r="R154" i="35"/>
  <c r="M154" i="35"/>
  <c r="H154" i="35"/>
  <c r="C154" i="35"/>
  <c r="BB111" i="35"/>
  <c r="BA111" i="35"/>
  <c r="AZ111" i="35"/>
  <c r="AY111" i="35"/>
  <c r="AX111" i="35"/>
  <c r="AW111" i="35"/>
  <c r="AV111" i="35"/>
  <c r="AU111" i="35"/>
  <c r="AT111" i="35"/>
  <c r="AS111" i="35"/>
  <c r="AR111" i="35"/>
  <c r="AQ111" i="35"/>
  <c r="AP111" i="35"/>
  <c r="AO111" i="35"/>
  <c r="AN111" i="35"/>
  <c r="AM111" i="35"/>
  <c r="AL111" i="35"/>
  <c r="AK111" i="35"/>
  <c r="AJ111" i="35"/>
  <c r="AI111" i="35"/>
  <c r="AH111" i="35"/>
  <c r="AG111" i="35"/>
  <c r="AB111" i="35"/>
  <c r="W111" i="35"/>
  <c r="R111" i="35"/>
  <c r="M111" i="35"/>
  <c r="H111" i="35"/>
  <c r="C111" i="35"/>
  <c r="I99" i="35"/>
  <c r="J99" i="35" s="1"/>
  <c r="K99" i="35" s="1"/>
  <c r="L99" i="35" s="1"/>
  <c r="D99" i="35"/>
  <c r="E99" i="35" s="1"/>
  <c r="F99" i="35" s="1"/>
  <c r="G99" i="35" s="1"/>
  <c r="I95" i="35"/>
  <c r="J95" i="35" s="1"/>
  <c r="K95" i="35" s="1"/>
  <c r="L95" i="35" s="1"/>
  <c r="D95" i="35"/>
  <c r="E95" i="35" s="1"/>
  <c r="F95" i="35" s="1"/>
  <c r="G95" i="35" s="1"/>
  <c r="BB88" i="35"/>
  <c r="BB91" i="35" s="1"/>
  <c r="BA88" i="35"/>
  <c r="BA91" i="35" s="1"/>
  <c r="AZ88" i="35"/>
  <c r="AZ91" i="35" s="1"/>
  <c r="AY88" i="35"/>
  <c r="AY91" i="35" s="1"/>
  <c r="AX88" i="35"/>
  <c r="AX91" i="35" s="1"/>
  <c r="AW88" i="35"/>
  <c r="AW91" i="35" s="1"/>
  <c r="AV88" i="35"/>
  <c r="AV91" i="35" s="1"/>
  <c r="AU88" i="35"/>
  <c r="AU91" i="35" s="1"/>
  <c r="AT88" i="35"/>
  <c r="AT91" i="35" s="1"/>
  <c r="AS88" i="35"/>
  <c r="AS91" i="35" s="1"/>
  <c r="AR88" i="35"/>
  <c r="AR91" i="35" s="1"/>
  <c r="AQ88" i="35"/>
  <c r="AQ91" i="35" s="1"/>
  <c r="AP88" i="35"/>
  <c r="AP91" i="35" s="1"/>
  <c r="AO88" i="35"/>
  <c r="AO91" i="35" s="1"/>
  <c r="AN88" i="35"/>
  <c r="AN91" i="35" s="1"/>
  <c r="AM88" i="35"/>
  <c r="AM91" i="35" s="1"/>
  <c r="AL88" i="35"/>
  <c r="AL91" i="35" s="1"/>
  <c r="AK88" i="35"/>
  <c r="AK91" i="35" s="1"/>
  <c r="AJ88" i="35"/>
  <c r="AJ91" i="35" s="1"/>
  <c r="AI88" i="35"/>
  <c r="AI91" i="35" s="1"/>
  <c r="AH88" i="35"/>
  <c r="AH91" i="35" s="1"/>
  <c r="AG88" i="35"/>
  <c r="AB88" i="35"/>
  <c r="AB91" i="35" s="1"/>
  <c r="W88" i="35"/>
  <c r="X88" i="35" s="1"/>
  <c r="Y88" i="35" s="1"/>
  <c r="Z88" i="35" s="1"/>
  <c r="AA88" i="35" s="1"/>
  <c r="R88" i="35"/>
  <c r="R91" i="35" s="1"/>
  <c r="M88" i="35"/>
  <c r="H88" i="35"/>
  <c r="C88" i="35"/>
  <c r="D88" i="35" s="1"/>
  <c r="E88" i="35" s="1"/>
  <c r="F88" i="35" s="1"/>
  <c r="G88" i="35" s="1"/>
  <c r="B88" i="35"/>
  <c r="BB87" i="35"/>
  <c r="BA87" i="35"/>
  <c r="AZ87" i="35"/>
  <c r="AY87" i="35"/>
  <c r="AX87" i="35"/>
  <c r="AW87" i="35"/>
  <c r="AV87" i="35"/>
  <c r="AU87" i="35"/>
  <c r="AT87" i="35"/>
  <c r="AS87" i="35"/>
  <c r="AR87" i="35"/>
  <c r="AQ87" i="35"/>
  <c r="AP87" i="35"/>
  <c r="AO87" i="35"/>
  <c r="AN87" i="35"/>
  <c r="AM87" i="35"/>
  <c r="AL87" i="35"/>
  <c r="AK87" i="35"/>
  <c r="AJ87" i="35"/>
  <c r="AI87" i="35"/>
  <c r="AH87" i="35"/>
  <c r="AG87" i="35"/>
  <c r="AB87" i="35"/>
  <c r="W87" i="35"/>
  <c r="R87" i="35"/>
  <c r="S87" i="35" s="1"/>
  <c r="T87" i="35" s="1"/>
  <c r="U87" i="35" s="1"/>
  <c r="V87" i="35" s="1"/>
  <c r="M87" i="35"/>
  <c r="H87" i="35"/>
  <c r="C87" i="35"/>
  <c r="D87" i="35" s="1"/>
  <c r="E87" i="35" s="1"/>
  <c r="F87" i="35" s="1"/>
  <c r="G87" i="35" s="1"/>
  <c r="B87" i="35"/>
  <c r="A87" i="35"/>
  <c r="A88" i="35" s="1"/>
  <c r="BB86" i="35"/>
  <c r="BB89" i="35" s="1"/>
  <c r="BA86" i="35"/>
  <c r="BA89" i="35" s="1"/>
  <c r="AZ86" i="35"/>
  <c r="AZ89" i="35" s="1"/>
  <c r="AY86" i="35"/>
  <c r="AY89" i="35" s="1"/>
  <c r="AX86" i="35"/>
  <c r="AX89" i="35" s="1"/>
  <c r="AW86" i="35"/>
  <c r="AW89" i="35" s="1"/>
  <c r="AV86" i="35"/>
  <c r="AV89" i="35" s="1"/>
  <c r="AU86" i="35"/>
  <c r="AU89" i="35" s="1"/>
  <c r="AT86" i="35"/>
  <c r="AT89" i="35" s="1"/>
  <c r="AS86" i="35"/>
  <c r="AS89" i="35" s="1"/>
  <c r="AR86" i="35"/>
  <c r="AR89" i="35" s="1"/>
  <c r="AQ86" i="35"/>
  <c r="AQ89" i="35" s="1"/>
  <c r="AP86" i="35"/>
  <c r="AP89" i="35" s="1"/>
  <c r="AO86" i="35"/>
  <c r="AO89" i="35" s="1"/>
  <c r="AN86" i="35"/>
  <c r="AN89" i="35" s="1"/>
  <c r="AM86" i="35"/>
  <c r="AM89" i="35" s="1"/>
  <c r="AL86" i="35"/>
  <c r="AL89" i="35" s="1"/>
  <c r="AK86" i="35"/>
  <c r="AK89" i="35" s="1"/>
  <c r="AJ86" i="35"/>
  <c r="AJ89" i="35" s="1"/>
  <c r="AI86" i="35"/>
  <c r="AI89" i="35" s="1"/>
  <c r="AH86" i="35"/>
  <c r="AH89" i="35" s="1"/>
  <c r="AG86" i="35"/>
  <c r="AG89" i="35" s="1"/>
  <c r="AB86" i="35"/>
  <c r="AB89" i="35" s="1"/>
  <c r="W86" i="35"/>
  <c r="X86" i="35" s="1"/>
  <c r="Y86" i="35" s="1"/>
  <c r="Z86" i="35" s="1"/>
  <c r="AA86" i="35" s="1"/>
  <c r="R86" i="35"/>
  <c r="R89" i="35" s="1"/>
  <c r="M86" i="35"/>
  <c r="H86" i="35"/>
  <c r="H89" i="35" s="1"/>
  <c r="C86" i="35"/>
  <c r="B86" i="35"/>
  <c r="A86" i="35"/>
  <c r="BA80" i="35"/>
  <c r="AZ80" i="35"/>
  <c r="AY80" i="35"/>
  <c r="AX80" i="35"/>
  <c r="AW80" i="35"/>
  <c r="AV80" i="35"/>
  <c r="AU80" i="35"/>
  <c r="AT80" i="35"/>
  <c r="AS80" i="35"/>
  <c r="AR80" i="35"/>
  <c r="AQ80" i="35"/>
  <c r="AP80" i="35"/>
  <c r="AO80" i="35"/>
  <c r="AN80" i="35"/>
  <c r="AM80" i="35"/>
  <c r="AL80" i="35"/>
  <c r="AK80" i="35"/>
  <c r="AJ80" i="35"/>
  <c r="AI80" i="35"/>
  <c r="AH80" i="35"/>
  <c r="AG80" i="35"/>
  <c r="AB80" i="35"/>
  <c r="W80" i="35"/>
  <c r="X80" i="35" s="1"/>
  <c r="Y80" i="35" s="1"/>
  <c r="Z80" i="35" s="1"/>
  <c r="AA80" i="35" s="1"/>
  <c r="R80" i="35"/>
  <c r="M80" i="35"/>
  <c r="H80" i="35"/>
  <c r="I80" i="35" s="1"/>
  <c r="J80" i="35" s="1"/>
  <c r="K80" i="35" s="1"/>
  <c r="L80" i="35" s="1"/>
  <c r="C80" i="35"/>
  <c r="A80" i="35"/>
  <c r="BA79" i="35"/>
  <c r="AZ79" i="35"/>
  <c r="AY79" i="35"/>
  <c r="AX79" i="35"/>
  <c r="AW79" i="35"/>
  <c r="AV79" i="35"/>
  <c r="AU79" i="35"/>
  <c r="AT79" i="35"/>
  <c r="AS79" i="35"/>
  <c r="AR79" i="35"/>
  <c r="AQ79" i="35"/>
  <c r="AP79" i="35"/>
  <c r="AO79" i="35"/>
  <c r="AN79" i="35"/>
  <c r="AM79" i="35"/>
  <c r="AL79" i="35"/>
  <c r="AK79" i="35"/>
  <c r="AJ79" i="35"/>
  <c r="AI79" i="35"/>
  <c r="AH79" i="35"/>
  <c r="AG79" i="35"/>
  <c r="AB79" i="35"/>
  <c r="W79" i="35"/>
  <c r="R79" i="35"/>
  <c r="M79" i="35"/>
  <c r="H79" i="35"/>
  <c r="C79" i="35"/>
  <c r="A79" i="35"/>
  <c r="BB76" i="35"/>
  <c r="BB84" i="35" s="1"/>
  <c r="BA76" i="35"/>
  <c r="AZ76" i="35"/>
  <c r="AY76" i="35"/>
  <c r="AX76" i="35"/>
  <c r="AW76" i="35"/>
  <c r="AV76" i="35"/>
  <c r="AU76" i="35"/>
  <c r="AT76" i="35"/>
  <c r="AS76" i="35"/>
  <c r="AR76" i="35"/>
  <c r="AQ76" i="35"/>
  <c r="AQ84" i="35" s="1"/>
  <c r="AP76" i="35"/>
  <c r="AO76" i="35"/>
  <c r="AN76" i="35"/>
  <c r="AM76" i="35"/>
  <c r="AL76" i="35"/>
  <c r="AK76" i="35"/>
  <c r="AJ76" i="35"/>
  <c r="AI76" i="35"/>
  <c r="AH76" i="35"/>
  <c r="AG76" i="35"/>
  <c r="AG77" i="35" s="1"/>
  <c r="AB76" i="35"/>
  <c r="AC76" i="35" s="1"/>
  <c r="AD76" i="35" s="1"/>
  <c r="W76" i="35"/>
  <c r="W84" i="35" s="1"/>
  <c r="R76" i="35"/>
  <c r="C91" i="35" s="1"/>
  <c r="M76" i="35"/>
  <c r="H76" i="35"/>
  <c r="C76" i="35"/>
  <c r="A76" i="35"/>
  <c r="BB75" i="35"/>
  <c r="BA75" i="35"/>
  <c r="AZ75" i="35"/>
  <c r="AY75" i="35"/>
  <c r="AX75" i="35"/>
  <c r="AX77" i="35" s="1"/>
  <c r="AW75" i="35"/>
  <c r="AV75" i="35"/>
  <c r="AU75" i="35"/>
  <c r="AU77" i="35" s="1"/>
  <c r="AT75" i="35"/>
  <c r="AS75" i="35"/>
  <c r="AR75" i="35"/>
  <c r="AQ75" i="35"/>
  <c r="AQ77" i="35" s="1"/>
  <c r="AP75" i="35"/>
  <c r="AP77" i="35" s="1"/>
  <c r="AO75" i="35"/>
  <c r="AN75" i="35"/>
  <c r="AM75" i="35"/>
  <c r="AM77" i="35" s="1"/>
  <c r="AL75" i="35"/>
  <c r="AK75" i="35"/>
  <c r="AJ75" i="35"/>
  <c r="AJ77" i="35" s="1"/>
  <c r="AI75" i="35"/>
  <c r="AH75" i="35"/>
  <c r="AH77" i="35" s="1"/>
  <c r="AG75" i="35"/>
  <c r="AB75" i="35"/>
  <c r="W75" i="35"/>
  <c r="R75" i="35"/>
  <c r="M75" i="35"/>
  <c r="M83" i="35" s="1"/>
  <c r="H75" i="35"/>
  <c r="H94" i="35" s="1"/>
  <c r="C75" i="35"/>
  <c r="A75" i="35"/>
  <c r="O69" i="35"/>
  <c r="N69" i="35"/>
  <c r="M69" i="35"/>
  <c r="L69" i="35"/>
  <c r="K69" i="35"/>
  <c r="J69" i="35"/>
  <c r="I69" i="35"/>
  <c r="H69" i="35"/>
  <c r="G69" i="35"/>
  <c r="F69" i="35"/>
  <c r="E69" i="35"/>
  <c r="AD68" i="35"/>
  <c r="AC68" i="35"/>
  <c r="AB68" i="35"/>
  <c r="AA68" i="35"/>
  <c r="Z68" i="35"/>
  <c r="Y68" i="35"/>
  <c r="X68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A68" i="35"/>
  <c r="AD67" i="35"/>
  <c r="AC67" i="35"/>
  <c r="AB67" i="35"/>
  <c r="AA67" i="35"/>
  <c r="Z67" i="35"/>
  <c r="Y67" i="35"/>
  <c r="X67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A67" i="35"/>
  <c r="A66" i="35"/>
  <c r="A65" i="35"/>
  <c r="BA39" i="35"/>
  <c r="AZ39" i="35"/>
  <c r="AY39" i="35"/>
  <c r="AX39" i="35"/>
  <c r="AW39" i="35"/>
  <c r="AV39" i="35"/>
  <c r="AU39" i="35"/>
  <c r="AT39" i="35"/>
  <c r="AS39" i="35"/>
  <c r="AR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I39" i="35"/>
  <c r="H39" i="35"/>
  <c r="G39" i="35"/>
  <c r="F39" i="35"/>
  <c r="E39" i="35"/>
  <c r="D39" i="35"/>
  <c r="C39" i="35"/>
  <c r="D22" i="35"/>
  <c r="D20" i="35"/>
  <c r="AR77" i="35" l="1"/>
  <c r="R100" i="35"/>
  <c r="C83" i="35"/>
  <c r="AI83" i="35"/>
  <c r="AY83" i="35"/>
  <c r="W100" i="35"/>
  <c r="BB90" i="35"/>
  <c r="D23" i="35"/>
  <c r="BH90" i="35"/>
  <c r="BH100" i="35" s="1"/>
  <c r="BH33" i="35" s="1"/>
  <c r="BH34" i="35" s="1"/>
  <c r="BC90" i="35"/>
  <c r="BC100" i="35" s="1"/>
  <c r="BC33" i="35" s="1"/>
  <c r="BC34" i="35" s="1"/>
  <c r="BI90" i="35"/>
  <c r="BI100" i="35" s="1"/>
  <c r="BI33" i="35" s="1"/>
  <c r="BI34" i="35" s="1"/>
  <c r="BF90" i="35"/>
  <c r="BF100" i="35" s="1"/>
  <c r="BF33" i="35" s="1"/>
  <c r="BF34" i="35" s="1"/>
  <c r="BE90" i="35"/>
  <c r="BE100" i="35" s="1"/>
  <c r="BE33" i="35" s="1"/>
  <c r="BE34" i="35" s="1"/>
  <c r="BG90" i="35"/>
  <c r="BG100" i="35" s="1"/>
  <c r="BG33" i="35" s="1"/>
  <c r="BG34" i="35" s="1"/>
  <c r="BD90" i="35"/>
  <c r="BD100" i="35" s="1"/>
  <c r="BD33" i="35" s="1"/>
  <c r="BD34" i="35" s="1"/>
  <c r="AV100" i="35"/>
  <c r="AL81" i="35"/>
  <c r="AL136" i="35" s="1"/>
  <c r="AT81" i="35"/>
  <c r="AT136" i="35" s="1"/>
  <c r="I88" i="35"/>
  <c r="J88" i="35" s="1"/>
  <c r="K88" i="35" s="1"/>
  <c r="L88" i="35" s="1"/>
  <c r="AH90" i="35"/>
  <c r="AH100" i="35" s="1"/>
  <c r="AC75" i="35"/>
  <c r="AD75" i="35" s="1"/>
  <c r="AP84" i="35"/>
  <c r="AR100" i="35"/>
  <c r="I87" i="35"/>
  <c r="J87" i="35" s="1"/>
  <c r="K87" i="35" s="1"/>
  <c r="L87" i="35" s="1"/>
  <c r="AB81" i="35"/>
  <c r="AB136" i="35" s="1"/>
  <c r="AO77" i="35"/>
  <c r="AW77" i="35"/>
  <c r="AK100" i="35"/>
  <c r="AO84" i="35"/>
  <c r="S88" i="35"/>
  <c r="T88" i="35" s="1"/>
  <c r="U88" i="35" s="1"/>
  <c r="V88" i="35" s="1"/>
  <c r="BB100" i="35"/>
  <c r="BB33" i="35" s="1"/>
  <c r="BB34" i="35" s="1"/>
  <c r="AH98" i="35"/>
  <c r="AH134" i="35"/>
  <c r="AP98" i="35"/>
  <c r="AP134" i="35"/>
  <c r="AX81" i="35"/>
  <c r="AX136" i="35" s="1"/>
  <c r="AX134" i="35"/>
  <c r="S86" i="35"/>
  <c r="T86" i="35" s="1"/>
  <c r="U86" i="35" s="1"/>
  <c r="V86" i="35" s="1"/>
  <c r="AI98" i="35"/>
  <c r="AI134" i="35"/>
  <c r="R77" i="35"/>
  <c r="X76" i="35"/>
  <c r="X84" i="35" s="1"/>
  <c r="AL84" i="35"/>
  <c r="AT84" i="35"/>
  <c r="H98" i="35"/>
  <c r="AJ98" i="35"/>
  <c r="AJ132" i="35"/>
  <c r="AJ134" i="35"/>
  <c r="AR98" i="35"/>
  <c r="AR134" i="35"/>
  <c r="AZ98" i="35"/>
  <c r="AZ134" i="35"/>
  <c r="AM84" i="35"/>
  <c r="X87" i="35"/>
  <c r="Y87" i="35" s="1"/>
  <c r="Z87" i="35" s="1"/>
  <c r="AA87" i="35" s="1"/>
  <c r="AM90" i="35"/>
  <c r="AM92" i="35" s="1"/>
  <c r="AM96" i="35" s="1"/>
  <c r="AU90" i="35"/>
  <c r="AU99" i="35" s="1"/>
  <c r="W89" i="35"/>
  <c r="C132" i="35"/>
  <c r="AQ81" i="35"/>
  <c r="AQ136" i="35" s="1"/>
  <c r="AQ132" i="35"/>
  <c r="AQ134" i="35"/>
  <c r="C81" i="35"/>
  <c r="W94" i="35"/>
  <c r="AB77" i="35"/>
  <c r="AC77" i="35" s="1"/>
  <c r="AK134" i="35"/>
  <c r="AS134" i="35"/>
  <c r="BA134" i="35"/>
  <c r="AC86" i="35"/>
  <c r="AD86" i="35" s="1"/>
  <c r="AE86" i="35" s="1"/>
  <c r="AF86" i="35" s="1"/>
  <c r="W90" i="35"/>
  <c r="R134" i="35"/>
  <c r="H83" i="35"/>
  <c r="AW90" i="35"/>
  <c r="AW99" i="35" s="1"/>
  <c r="W134" i="35"/>
  <c r="AM134" i="35"/>
  <c r="AU134" i="35"/>
  <c r="I86" i="35"/>
  <c r="J86" i="35" s="1"/>
  <c r="K86" i="35" s="1"/>
  <c r="L86" i="35" s="1"/>
  <c r="AY98" i="35"/>
  <c r="AY134" i="35"/>
  <c r="AG90" i="35"/>
  <c r="AB98" i="35"/>
  <c r="AC98" i="35" s="1"/>
  <c r="AD98" i="35" s="1"/>
  <c r="AE98" i="35" s="1"/>
  <c r="AF98" i="35" s="1"/>
  <c r="AB132" i="35"/>
  <c r="AB134" i="35"/>
  <c r="AN98" i="35"/>
  <c r="AN134" i="35"/>
  <c r="AV98" i="35"/>
  <c r="AV134" i="35"/>
  <c r="AI84" i="35"/>
  <c r="AY84" i="35"/>
  <c r="C84" i="35"/>
  <c r="AI90" i="35"/>
  <c r="AI100" i="35" s="1"/>
  <c r="AI33" i="35" s="1"/>
  <c r="AI34" i="35" s="1"/>
  <c r="AQ90" i="35"/>
  <c r="AQ99" i="35" s="1"/>
  <c r="AY90" i="35"/>
  <c r="AY92" i="35" s="1"/>
  <c r="R98" i="35"/>
  <c r="BB98" i="35"/>
  <c r="BB134" i="35"/>
  <c r="AL98" i="35"/>
  <c r="AL132" i="35"/>
  <c r="AL134" i="35"/>
  <c r="AT98" i="35"/>
  <c r="AT134" i="35"/>
  <c r="AO90" i="35"/>
  <c r="AO100" i="35" s="1"/>
  <c r="AC79" i="35"/>
  <c r="AD79" i="35" s="1"/>
  <c r="AG134" i="35"/>
  <c r="AO134" i="35"/>
  <c r="AW134" i="35"/>
  <c r="N87" i="35"/>
  <c r="O87" i="35" s="1"/>
  <c r="P87" i="35" s="1"/>
  <c r="Q87" i="35" s="1"/>
  <c r="N88" i="35"/>
  <c r="O88" i="35" s="1"/>
  <c r="P88" i="35" s="1"/>
  <c r="Q88" i="35" s="1"/>
  <c r="AV81" i="35"/>
  <c r="AV136" i="35" s="1"/>
  <c r="AZ81" i="35"/>
  <c r="AZ136" i="35" s="1"/>
  <c r="AX98" i="35"/>
  <c r="AN81" i="35"/>
  <c r="AN136" i="35" s="1"/>
  <c r="AP81" i="35"/>
  <c r="AP136" i="35" s="1"/>
  <c r="AC87" i="35"/>
  <c r="AD87" i="35" s="1"/>
  <c r="AE87" i="35" s="1"/>
  <c r="AF87" i="35" s="1"/>
  <c r="AQ92" i="35"/>
  <c r="AQ96" i="35" s="1"/>
  <c r="AE76" i="35"/>
  <c r="W98" i="35"/>
  <c r="W81" i="35"/>
  <c r="W132" i="35" s="1"/>
  <c r="X79" i="35"/>
  <c r="S80" i="35"/>
  <c r="T80" i="35" s="1"/>
  <c r="U80" i="35" s="1"/>
  <c r="V80" i="35" s="1"/>
  <c r="H84" i="35"/>
  <c r="H91" i="35"/>
  <c r="I76" i="35"/>
  <c r="AV84" i="35"/>
  <c r="R81" i="35"/>
  <c r="R132" i="35" s="1"/>
  <c r="W83" i="35"/>
  <c r="W91" i="35"/>
  <c r="AK94" i="35"/>
  <c r="AK83" i="35"/>
  <c r="AK77" i="35"/>
  <c r="BA94" i="35"/>
  <c r="BA83" i="35"/>
  <c r="BA77" i="35"/>
  <c r="D79" i="35"/>
  <c r="AS98" i="35"/>
  <c r="AS81" i="35"/>
  <c r="AS136" i="35" s="1"/>
  <c r="D86" i="35"/>
  <c r="E86" i="35" s="1"/>
  <c r="F86" i="35" s="1"/>
  <c r="G86" i="35" s="1"/>
  <c r="C89" i="35"/>
  <c r="C98" i="35" s="1"/>
  <c r="D98" i="35" s="1"/>
  <c r="E98" i="35" s="1"/>
  <c r="F98" i="35" s="1"/>
  <c r="G98" i="35" s="1"/>
  <c r="AY94" i="35"/>
  <c r="AY77" i="35"/>
  <c r="M77" i="35"/>
  <c r="N75" i="35"/>
  <c r="M94" i="35"/>
  <c r="AN84" i="35"/>
  <c r="M81" i="35"/>
  <c r="M132" i="35" s="1"/>
  <c r="N79" i="35"/>
  <c r="AU94" i="35"/>
  <c r="C94" i="35"/>
  <c r="D94" i="35" s="1"/>
  <c r="E94" i="35" s="1"/>
  <c r="F94" i="35" s="1"/>
  <c r="G94" i="35" s="1"/>
  <c r="C77" i="35"/>
  <c r="D75" i="35"/>
  <c r="AS77" i="35"/>
  <c r="AS94" i="35"/>
  <c r="AS83" i="35"/>
  <c r="H77" i="35"/>
  <c r="AT77" i="35"/>
  <c r="AK98" i="35"/>
  <c r="AK81" i="35"/>
  <c r="AK136" i="35" s="1"/>
  <c r="BA98" i="35"/>
  <c r="BA81" i="35"/>
  <c r="BA136" i="35" s="1"/>
  <c r="AR81" i="35"/>
  <c r="AR136" i="35" s="1"/>
  <c r="AO99" i="35"/>
  <c r="AH84" i="35"/>
  <c r="AX84" i="35"/>
  <c r="AV77" i="35"/>
  <c r="H81" i="35"/>
  <c r="AH81" i="35"/>
  <c r="AH136" i="35" s="1"/>
  <c r="M91" i="35"/>
  <c r="N91" i="35" s="1"/>
  <c r="O91" i="35" s="1"/>
  <c r="P91" i="35" s="1"/>
  <c r="Q91" i="35" s="1"/>
  <c r="M84" i="35"/>
  <c r="AM98" i="35"/>
  <c r="AM81" i="35"/>
  <c r="AM136" i="35" s="1"/>
  <c r="AU98" i="35"/>
  <c r="AU81" i="35"/>
  <c r="AU136" i="35" s="1"/>
  <c r="AI99" i="35"/>
  <c r="AI81" i="35"/>
  <c r="AI136" i="35" s="1"/>
  <c r="AC88" i="35"/>
  <c r="AD88" i="35" s="1"/>
  <c r="AE88" i="35" s="1"/>
  <c r="AF88" i="35" s="1"/>
  <c r="AG91" i="35"/>
  <c r="AG100" i="35" s="1"/>
  <c r="R94" i="35"/>
  <c r="R83" i="35"/>
  <c r="AE75" i="35"/>
  <c r="N76" i="35"/>
  <c r="AJ84" i="35"/>
  <c r="AZ84" i="35"/>
  <c r="AL77" i="35"/>
  <c r="S79" i="35"/>
  <c r="S75" i="35"/>
  <c r="AR84" i="35"/>
  <c r="N80" i="35"/>
  <c r="O80" i="35" s="1"/>
  <c r="P80" i="35" s="1"/>
  <c r="Q80" i="35" s="1"/>
  <c r="AJ81" i="35"/>
  <c r="AJ136" i="35" s="1"/>
  <c r="X89" i="35"/>
  <c r="Y89" i="35" s="1"/>
  <c r="Z89" i="35" s="1"/>
  <c r="AA89" i="35" s="1"/>
  <c r="I75" i="35"/>
  <c r="AG94" i="35"/>
  <c r="AG83" i="35"/>
  <c r="AO83" i="35"/>
  <c r="AO94" i="35"/>
  <c r="AW94" i="35"/>
  <c r="AW83" i="35"/>
  <c r="D76" i="35"/>
  <c r="AB84" i="35"/>
  <c r="AK84" i="35"/>
  <c r="AS84" i="35"/>
  <c r="BA84" i="35"/>
  <c r="AN77" i="35"/>
  <c r="AZ77" i="35"/>
  <c r="I79" i="35"/>
  <c r="AG98" i="35"/>
  <c r="AG81" i="35"/>
  <c r="AG132" i="35" s="1"/>
  <c r="AO98" i="35"/>
  <c r="AO81" i="35"/>
  <c r="AO136" i="35" s="1"/>
  <c r="AW98" i="35"/>
  <c r="AW81" i="35"/>
  <c r="AW136" i="35" s="1"/>
  <c r="D80" i="35"/>
  <c r="E80" i="35" s="1"/>
  <c r="F80" i="35" s="1"/>
  <c r="G80" i="35" s="1"/>
  <c r="AC80" i="35"/>
  <c r="AD80" i="35" s="1"/>
  <c r="AE80" i="35" s="1"/>
  <c r="AF80" i="35" s="1"/>
  <c r="AY81" i="35"/>
  <c r="AY136" i="35" s="1"/>
  <c r="AM83" i="35"/>
  <c r="AU84" i="35"/>
  <c r="N86" i="35"/>
  <c r="O86" i="35" s="1"/>
  <c r="P86" i="35" s="1"/>
  <c r="Q86" i="35" s="1"/>
  <c r="M89" i="35"/>
  <c r="M98" i="35" s="1"/>
  <c r="N98" i="35" s="1"/>
  <c r="O98" i="35" s="1"/>
  <c r="P98" i="35" s="1"/>
  <c r="Q98" i="35" s="1"/>
  <c r="AO92" i="35"/>
  <c r="AO96" i="35" s="1"/>
  <c r="AK90" i="35"/>
  <c r="AK95" i="35" s="1"/>
  <c r="AS90" i="35"/>
  <c r="AS99" i="35" s="1"/>
  <c r="BA90" i="35"/>
  <c r="W77" i="35"/>
  <c r="S77" i="35" s="1"/>
  <c r="X75" i="35"/>
  <c r="AH94" i="35"/>
  <c r="AH83" i="35"/>
  <c r="AP94" i="35"/>
  <c r="AP83" i="35"/>
  <c r="AX94" i="35"/>
  <c r="AX83" i="35"/>
  <c r="R84" i="35"/>
  <c r="S76" i="35"/>
  <c r="BB77" i="35"/>
  <c r="AQ83" i="35"/>
  <c r="AM94" i="35"/>
  <c r="AI94" i="35"/>
  <c r="AI77" i="35"/>
  <c r="AQ98" i="35"/>
  <c r="AU83" i="35"/>
  <c r="AQ94" i="35"/>
  <c r="AJ90" i="35"/>
  <c r="AJ95" i="35" s="1"/>
  <c r="AR90" i="35"/>
  <c r="AR92" i="35" s="1"/>
  <c r="AR96" i="35" s="1"/>
  <c r="AZ90" i="35"/>
  <c r="AZ95" i="35" s="1"/>
  <c r="AS180" i="35"/>
  <c r="AS182" i="35" s="1"/>
  <c r="AB94" i="35"/>
  <c r="AC94" i="35" s="1"/>
  <c r="AD94" i="35" s="1"/>
  <c r="AE94" i="35" s="1"/>
  <c r="AF94" i="35" s="1"/>
  <c r="AB83" i="35"/>
  <c r="AJ94" i="35"/>
  <c r="AJ83" i="35"/>
  <c r="AR94" i="35"/>
  <c r="AR83" i="35"/>
  <c r="AZ94" i="35"/>
  <c r="AZ83" i="35"/>
  <c r="AU95" i="35"/>
  <c r="BB81" i="35"/>
  <c r="AB90" i="35"/>
  <c r="AC90" i="35" s="1"/>
  <c r="AD90" i="35" s="1"/>
  <c r="AE90" i="35" s="1"/>
  <c r="AF90" i="35" s="1"/>
  <c r="AL90" i="35"/>
  <c r="AL92" i="35" s="1"/>
  <c r="AT90" i="35"/>
  <c r="AT99" i="35" s="1"/>
  <c r="BB99" i="35"/>
  <c r="AC89" i="35"/>
  <c r="AD89" i="35" s="1"/>
  <c r="AE89" i="35" s="1"/>
  <c r="AF89" i="35" s="1"/>
  <c r="AY180" i="35"/>
  <c r="AY182" i="35" s="1"/>
  <c r="AL83" i="35"/>
  <c r="AL94" i="35"/>
  <c r="AT83" i="35"/>
  <c r="AT94" i="35"/>
  <c r="BB83" i="35"/>
  <c r="BB94" i="35"/>
  <c r="AG84" i="35"/>
  <c r="AW84" i="35"/>
  <c r="R90" i="35"/>
  <c r="S90" i="35" s="1"/>
  <c r="T90" i="35" s="1"/>
  <c r="U90" i="35" s="1"/>
  <c r="V90" i="35" s="1"/>
  <c r="AN90" i="35"/>
  <c r="AN99" i="35" s="1"/>
  <c r="AV90" i="35"/>
  <c r="AV92" i="35" s="1"/>
  <c r="AI180" i="35"/>
  <c r="AI182" i="35" s="1"/>
  <c r="S89" i="35"/>
  <c r="T89" i="35" s="1"/>
  <c r="U89" i="35" s="1"/>
  <c r="V89" i="35" s="1"/>
  <c r="AK180" i="35"/>
  <c r="AK182" i="35" s="1"/>
  <c r="AN94" i="35"/>
  <c r="AN83" i="35"/>
  <c r="AV94" i="35"/>
  <c r="AV83" i="35"/>
  <c r="AQ95" i="35"/>
  <c r="AH95" i="35"/>
  <c r="AP90" i="35"/>
  <c r="AP95" i="35" s="1"/>
  <c r="AX90" i="35"/>
  <c r="AX99" i="35" s="1"/>
  <c r="AZ180" i="35"/>
  <c r="AZ182" i="35" s="1"/>
  <c r="AR180" i="35"/>
  <c r="AR182" i="35" s="1"/>
  <c r="AJ180" i="35"/>
  <c r="AJ182" i="35" s="1"/>
  <c r="AX180" i="35"/>
  <c r="AX182" i="35" s="1"/>
  <c r="AP180" i="35"/>
  <c r="AP182" i="35" s="1"/>
  <c r="AH180" i="35"/>
  <c r="AH182" i="35" s="1"/>
  <c r="AV180" i="35"/>
  <c r="AV182" i="35" s="1"/>
  <c r="AN180" i="35"/>
  <c r="AN182" i="35" s="1"/>
  <c r="AB180" i="35"/>
  <c r="AB182" i="35" s="1"/>
  <c r="AU180" i="35"/>
  <c r="AU182" i="35" s="1"/>
  <c r="AM180" i="35"/>
  <c r="AM182" i="35" s="1"/>
  <c r="W180" i="35"/>
  <c r="W182" i="35" s="1"/>
  <c r="BB180" i="35"/>
  <c r="BB182" i="35" s="1"/>
  <c r="AT180" i="35"/>
  <c r="AT182" i="35" s="1"/>
  <c r="AL180" i="35"/>
  <c r="AL182" i="35" s="1"/>
  <c r="R180" i="35"/>
  <c r="R182" i="35" s="1"/>
  <c r="AW100" i="35" l="1"/>
  <c r="AW33" i="35" s="1"/>
  <c r="AW34" i="35" s="1"/>
  <c r="AS95" i="35"/>
  <c r="S100" i="35"/>
  <c r="S94" i="35"/>
  <c r="T94" i="35" s="1"/>
  <c r="U94" i="35" s="1"/>
  <c r="V94" i="35" s="1"/>
  <c r="I81" i="35"/>
  <c r="J81" i="35" s="1"/>
  <c r="K81" i="35" s="1"/>
  <c r="L81" i="35" s="1"/>
  <c r="W33" i="35"/>
  <c r="W34" i="35" s="1"/>
  <c r="AZ100" i="35"/>
  <c r="Y76" i="35"/>
  <c r="AC100" i="35"/>
  <c r="AG99" i="35"/>
  <c r="AO33" i="35"/>
  <c r="AO34" i="35" s="1"/>
  <c r="AY100" i="35"/>
  <c r="AY33" i="35" s="1"/>
  <c r="AY34" i="35" s="1"/>
  <c r="AN100" i="35"/>
  <c r="AT100" i="35"/>
  <c r="AJ100" i="35"/>
  <c r="AW95" i="35"/>
  <c r="AY95" i="35"/>
  <c r="AW92" i="35"/>
  <c r="AW96" i="35" s="1"/>
  <c r="AY99" i="35"/>
  <c r="AT132" i="35"/>
  <c r="AQ100" i="35"/>
  <c r="AQ33" i="35" s="1"/>
  <c r="AQ34" i="35" s="1"/>
  <c r="AX100" i="35"/>
  <c r="AL100" i="35"/>
  <c r="AL33" i="35" s="1"/>
  <c r="AL34" i="35" s="1"/>
  <c r="BA33" i="35"/>
  <c r="BA34" i="35" s="1"/>
  <c r="I91" i="35"/>
  <c r="J91" i="35" s="1"/>
  <c r="K91" i="35" s="1"/>
  <c r="L91" i="35" s="1"/>
  <c r="AU92" i="35"/>
  <c r="AU96" i="35" s="1"/>
  <c r="AU100" i="35"/>
  <c r="AU33" i="35" s="1"/>
  <c r="AU34" i="35" s="1"/>
  <c r="AI96" i="35"/>
  <c r="BA100" i="35"/>
  <c r="AB100" i="35"/>
  <c r="AP100" i="35"/>
  <c r="AP33" i="35" s="1"/>
  <c r="AP34" i="35" s="1"/>
  <c r="AI95" i="35"/>
  <c r="AC83" i="35"/>
  <c r="AI92" i="35"/>
  <c r="AS100" i="35"/>
  <c r="AM100" i="35"/>
  <c r="AM99" i="35"/>
  <c r="AM95" i="35"/>
  <c r="AM33" i="35"/>
  <c r="AM34" i="35" s="1"/>
  <c r="AO95" i="35"/>
  <c r="AB92" i="35"/>
  <c r="AB96" i="35" s="1"/>
  <c r="X90" i="35"/>
  <c r="Y90" i="35" s="1"/>
  <c r="Z90" i="35" s="1"/>
  <c r="AA90" i="35" s="1"/>
  <c r="AB95" i="35"/>
  <c r="AW132" i="35"/>
  <c r="AV132" i="35"/>
  <c r="AM132" i="35"/>
  <c r="AI132" i="35"/>
  <c r="AP132" i="35"/>
  <c r="BB132" i="35"/>
  <c r="BB136" i="35"/>
  <c r="I132" i="35"/>
  <c r="R99" i="35"/>
  <c r="AK132" i="35"/>
  <c r="AZ132" i="35"/>
  <c r="H132" i="35"/>
  <c r="S81" i="35"/>
  <c r="T81" i="35" s="1"/>
  <c r="U81" i="35" s="1"/>
  <c r="V81" i="35" s="1"/>
  <c r="R136" i="35"/>
  <c r="D91" i="35"/>
  <c r="E91" i="35" s="1"/>
  <c r="F91" i="35" s="1"/>
  <c r="G91" i="35" s="1"/>
  <c r="AO132" i="35"/>
  <c r="AY132" i="35"/>
  <c r="C134" i="35"/>
  <c r="X81" i="35"/>
  <c r="Y81" i="35" s="1"/>
  <c r="Z81" i="35" s="1"/>
  <c r="AA81" i="35" s="1"/>
  <c r="W136" i="35"/>
  <c r="AN132" i="35"/>
  <c r="AH132" i="35"/>
  <c r="AC81" i="35"/>
  <c r="AD81" i="35" s="1"/>
  <c r="AE81" i="35" s="1"/>
  <c r="AF81" i="35" s="1"/>
  <c r="AG136" i="35"/>
  <c r="X98" i="35"/>
  <c r="Y98" i="35" s="1"/>
  <c r="Z98" i="35" s="1"/>
  <c r="AA98" i="35" s="1"/>
  <c r="AD83" i="35"/>
  <c r="AB33" i="35"/>
  <c r="AB34" i="35" s="1"/>
  <c r="C90" i="35"/>
  <c r="AR132" i="35"/>
  <c r="AS132" i="35"/>
  <c r="AC132" i="35"/>
  <c r="BA132" i="35"/>
  <c r="AX132" i="35"/>
  <c r="AU132" i="35"/>
  <c r="R33" i="35"/>
  <c r="R34" i="35" s="1"/>
  <c r="AL95" i="35"/>
  <c r="AH99" i="35"/>
  <c r="AJ92" i="35"/>
  <c r="AJ96" i="35" s="1"/>
  <c r="AN33" i="35"/>
  <c r="AN34" i="35" s="1"/>
  <c r="AC84" i="35"/>
  <c r="AR95" i="35"/>
  <c r="AH92" i="35"/>
  <c r="AH96" i="35" s="1"/>
  <c r="AC91" i="35"/>
  <c r="AD91" i="35" s="1"/>
  <c r="AE91" i="35" s="1"/>
  <c r="AF91" i="35" s="1"/>
  <c r="AL99" i="35"/>
  <c r="BB95" i="35"/>
  <c r="AD84" i="35"/>
  <c r="AJ33" i="35"/>
  <c r="AJ34" i="35" s="1"/>
  <c r="AV33" i="35"/>
  <c r="AV34" i="35" s="1"/>
  <c r="BA99" i="35"/>
  <c r="T79" i="35"/>
  <c r="E79" i="35"/>
  <c r="AR33" i="35"/>
  <c r="AR34" i="35" s="1"/>
  <c r="AT33" i="35"/>
  <c r="AT34" i="35" s="1"/>
  <c r="AH33" i="35"/>
  <c r="AH34" i="35" s="1"/>
  <c r="J79" i="35"/>
  <c r="Y79" i="35"/>
  <c r="AZ33" i="35"/>
  <c r="AZ34" i="35" s="1"/>
  <c r="AG33" i="35"/>
  <c r="AG34" i="35" s="1"/>
  <c r="BB92" i="35"/>
  <c r="BB96" i="35" s="1"/>
  <c r="O79" i="35"/>
  <c r="AE79" i="35"/>
  <c r="AS92" i="35"/>
  <c r="AS96" i="35" s="1"/>
  <c r="AS33" i="35"/>
  <c r="AS34" i="35" s="1"/>
  <c r="AP99" i="35"/>
  <c r="AX33" i="35"/>
  <c r="AX34" i="35" s="1"/>
  <c r="AK33" i="35"/>
  <c r="AK34" i="35" s="1"/>
  <c r="BA92" i="35"/>
  <c r="BA96" i="35" s="1"/>
  <c r="BA95" i="35"/>
  <c r="T77" i="35"/>
  <c r="AD77" i="35"/>
  <c r="AT95" i="35"/>
  <c r="X91" i="35"/>
  <c r="Y91" i="35" s="1"/>
  <c r="Z91" i="35" s="1"/>
  <c r="AA91" i="35" s="1"/>
  <c r="S91" i="35"/>
  <c r="T91" i="35" s="1"/>
  <c r="U91" i="35" s="1"/>
  <c r="V91" i="35" s="1"/>
  <c r="I84" i="35"/>
  <c r="J76" i="35"/>
  <c r="AN92" i="35"/>
  <c r="AN96" i="35" s="1"/>
  <c r="AZ99" i="35"/>
  <c r="AV96" i="35"/>
  <c r="AN95" i="35"/>
  <c r="R92" i="35"/>
  <c r="AR99" i="35"/>
  <c r="AF75" i="35"/>
  <c r="AZ92" i="35"/>
  <c r="AZ96" i="35" s="1"/>
  <c r="AX92" i="35"/>
  <c r="AX96" i="35" s="1"/>
  <c r="AG95" i="35"/>
  <c r="R95" i="35"/>
  <c r="AG92" i="35"/>
  <c r="AG96" i="35" s="1"/>
  <c r="M90" i="35"/>
  <c r="N90" i="35" s="1"/>
  <c r="O90" i="35" s="1"/>
  <c r="P90" i="35" s="1"/>
  <c r="Q90" i="35" s="1"/>
  <c r="D77" i="35"/>
  <c r="N94" i="35"/>
  <c r="O94" i="35" s="1"/>
  <c r="P94" i="35" s="1"/>
  <c r="Q94" i="35" s="1"/>
  <c r="I94" i="35"/>
  <c r="J94" i="35" s="1"/>
  <c r="K94" i="35" s="1"/>
  <c r="L94" i="35" s="1"/>
  <c r="AK92" i="35"/>
  <c r="AK96" i="35" s="1"/>
  <c r="AV99" i="35"/>
  <c r="H90" i="35"/>
  <c r="D81" i="35"/>
  <c r="E81" i="35" s="1"/>
  <c r="F81" i="35" s="1"/>
  <c r="G81" i="35" s="1"/>
  <c r="N84" i="35"/>
  <c r="O76" i="35"/>
  <c r="AK99" i="35"/>
  <c r="AJ99" i="35"/>
  <c r="AX95" i="35"/>
  <c r="D83" i="35"/>
  <c r="E75" i="35"/>
  <c r="AP92" i="35"/>
  <c r="AP96" i="35" s="1"/>
  <c r="AT92" i="35"/>
  <c r="AT96" i="35" s="1"/>
  <c r="T76" i="35"/>
  <c r="S84" i="35"/>
  <c r="X83" i="35"/>
  <c r="Y75" i="35"/>
  <c r="N89" i="35"/>
  <c r="O89" i="35" s="1"/>
  <c r="P89" i="35" s="1"/>
  <c r="Q89" i="35" s="1"/>
  <c r="M92" i="35"/>
  <c r="I89" i="35"/>
  <c r="J89" i="35" s="1"/>
  <c r="K89" i="35" s="1"/>
  <c r="L89" i="35" s="1"/>
  <c r="AB99" i="35"/>
  <c r="I98" i="35"/>
  <c r="J98" i="35" s="1"/>
  <c r="K98" i="35" s="1"/>
  <c r="L98" i="35" s="1"/>
  <c r="AL96" i="35"/>
  <c r="N83" i="35"/>
  <c r="O75" i="35"/>
  <c r="D89" i="35"/>
  <c r="E89" i="35" s="1"/>
  <c r="F89" i="35" s="1"/>
  <c r="G89" i="35" s="1"/>
  <c r="AE84" i="35"/>
  <c r="AF76" i="35"/>
  <c r="AF84" i="35" s="1"/>
  <c r="AC95" i="35"/>
  <c r="AD95" i="35" s="1"/>
  <c r="AE95" i="35" s="1"/>
  <c r="AF95" i="35" s="1"/>
  <c r="N77" i="35"/>
  <c r="N99" i="35"/>
  <c r="O99" i="35" s="1"/>
  <c r="P99" i="35" s="1"/>
  <c r="Q99" i="35" s="1"/>
  <c r="X77" i="35"/>
  <c r="W95" i="35"/>
  <c r="J75" i="35"/>
  <c r="I83" i="35"/>
  <c r="I77" i="35"/>
  <c r="AY96" i="35"/>
  <c r="AV95" i="35"/>
  <c r="X94" i="35"/>
  <c r="Y94" i="35" s="1"/>
  <c r="Z94" i="35" s="1"/>
  <c r="AA94" i="35" s="1"/>
  <c r="S98" i="35"/>
  <c r="T98" i="35" s="1"/>
  <c r="U98" i="35" s="1"/>
  <c r="V98" i="35" s="1"/>
  <c r="D84" i="35"/>
  <c r="E76" i="35"/>
  <c r="W92" i="35"/>
  <c r="T75" i="35"/>
  <c r="S83" i="35"/>
  <c r="D90" i="35"/>
  <c r="E90" i="35" s="1"/>
  <c r="F90" i="35" s="1"/>
  <c r="G90" i="35" s="1"/>
  <c r="W99" i="35"/>
  <c r="N81" i="35"/>
  <c r="O81" i="35" s="1"/>
  <c r="P81" i="35" s="1"/>
  <c r="Q81" i="35" s="1"/>
  <c r="Y84" i="35"/>
  <c r="Z76" i="35"/>
  <c r="E100" i="35" l="1"/>
  <c r="T132" i="35"/>
  <c r="T100" i="35"/>
  <c r="C100" i="35"/>
  <c r="C33" i="35" s="1"/>
  <c r="C34" i="35" s="1"/>
  <c r="I100" i="35"/>
  <c r="J132" i="35"/>
  <c r="N92" i="35"/>
  <c r="O92" i="35" s="1"/>
  <c r="P92" i="35" s="1"/>
  <c r="Q92" i="35" s="1"/>
  <c r="Y132" i="35"/>
  <c r="Y100" i="35"/>
  <c r="X95" i="35"/>
  <c r="Y95" i="35" s="1"/>
  <c r="Z95" i="35" s="1"/>
  <c r="AA95" i="35" s="1"/>
  <c r="N132" i="35"/>
  <c r="D100" i="35"/>
  <c r="D33" i="35" s="1"/>
  <c r="D34" i="35" s="1"/>
  <c r="X92" i="35"/>
  <c r="Y92" i="35" s="1"/>
  <c r="Z92" i="35" s="1"/>
  <c r="AA92" i="35" s="1"/>
  <c r="M100" i="35"/>
  <c r="H100" i="35"/>
  <c r="H33" i="35" s="1"/>
  <c r="H34" i="35" s="1"/>
  <c r="AE132" i="35"/>
  <c r="AE100" i="35"/>
  <c r="AE33" i="35" s="1"/>
  <c r="AE34" i="35" s="1"/>
  <c r="X99" i="35"/>
  <c r="Y99" i="35" s="1"/>
  <c r="Z99" i="35" s="1"/>
  <c r="AA99" i="35" s="1"/>
  <c r="AE83" i="35"/>
  <c r="O132" i="35"/>
  <c r="O100" i="35"/>
  <c r="O33" i="35" s="1"/>
  <c r="O34" i="35" s="1"/>
  <c r="N100" i="35"/>
  <c r="X100" i="35"/>
  <c r="AD100" i="35"/>
  <c r="AD33" i="35" s="1"/>
  <c r="AD34" i="35" s="1"/>
  <c r="E132" i="35"/>
  <c r="X132" i="35"/>
  <c r="D132" i="35"/>
  <c r="AC92" i="35"/>
  <c r="AD92" i="35" s="1"/>
  <c r="AE92" i="35" s="1"/>
  <c r="AF92" i="35" s="1"/>
  <c r="M33" i="35"/>
  <c r="M34" i="35" s="1"/>
  <c r="AD132" i="35"/>
  <c r="S132" i="35"/>
  <c r="AC33" i="35"/>
  <c r="AC34" i="35" s="1"/>
  <c r="X33" i="35"/>
  <c r="X34" i="35" s="1"/>
  <c r="F79" i="35"/>
  <c r="E33" i="35"/>
  <c r="E34" i="35" s="1"/>
  <c r="AF79" i="35"/>
  <c r="AF100" i="35" s="1"/>
  <c r="Z79" i="35"/>
  <c r="Y33" i="35"/>
  <c r="Y34" i="35" s="1"/>
  <c r="S33" i="35"/>
  <c r="S34" i="35" s="1"/>
  <c r="N33" i="35"/>
  <c r="N34" i="35" s="1"/>
  <c r="U79" i="35"/>
  <c r="T33" i="35"/>
  <c r="T34" i="35" s="1"/>
  <c r="P79" i="35"/>
  <c r="K79" i="35"/>
  <c r="T83" i="35"/>
  <c r="U75" i="35"/>
  <c r="J77" i="35"/>
  <c r="U77" i="35"/>
  <c r="E77" i="35"/>
  <c r="J84" i="35"/>
  <c r="K76" i="35"/>
  <c r="E84" i="35"/>
  <c r="F76" i="35"/>
  <c r="Y77" i="35"/>
  <c r="J83" i="35"/>
  <c r="K75" i="35"/>
  <c r="W96" i="35"/>
  <c r="C92" i="35"/>
  <c r="T84" i="35"/>
  <c r="U76" i="35"/>
  <c r="AC99" i="35"/>
  <c r="AD99" i="35" s="1"/>
  <c r="AE99" i="35" s="1"/>
  <c r="AF99" i="35" s="1"/>
  <c r="P76" i="35"/>
  <c r="O84" i="35"/>
  <c r="Z84" i="35"/>
  <c r="AA76" i="35"/>
  <c r="AA84" i="35" s="1"/>
  <c r="S99" i="35"/>
  <c r="T99" i="35" s="1"/>
  <c r="U99" i="35" s="1"/>
  <c r="V99" i="35" s="1"/>
  <c r="F75" i="35"/>
  <c r="E83" i="35"/>
  <c r="I90" i="35"/>
  <c r="H92" i="35"/>
  <c r="S92" i="35"/>
  <c r="R96" i="35"/>
  <c r="P75" i="35"/>
  <c r="O83" i="35"/>
  <c r="Y83" i="35"/>
  <c r="Z75" i="35"/>
  <c r="S95" i="35"/>
  <c r="T95" i="35" s="1"/>
  <c r="U95" i="35" s="1"/>
  <c r="V95" i="35" s="1"/>
  <c r="N95" i="35"/>
  <c r="O95" i="35" s="1"/>
  <c r="P95" i="35" s="1"/>
  <c r="Q95" i="35" s="1"/>
  <c r="O77" i="35"/>
  <c r="N96" i="35"/>
  <c r="AE77" i="35"/>
  <c r="AD96" i="35"/>
  <c r="M96" i="35"/>
  <c r="AC96" i="35"/>
  <c r="F132" i="35" l="1"/>
  <c r="F100" i="35"/>
  <c r="X96" i="35"/>
  <c r="U132" i="35"/>
  <c r="U100" i="35"/>
  <c r="U33" i="35" s="1"/>
  <c r="U34" i="35" s="1"/>
  <c r="P132" i="35"/>
  <c r="P100" i="35"/>
  <c r="K132" i="35"/>
  <c r="Z132" i="35"/>
  <c r="Z100" i="35"/>
  <c r="AF33" i="35"/>
  <c r="AF34" i="35" s="1"/>
  <c r="AF132" i="35"/>
  <c r="L79" i="35"/>
  <c r="Q79" i="35"/>
  <c r="Q100" i="35" s="1"/>
  <c r="P33" i="35"/>
  <c r="P34" i="35" s="1"/>
  <c r="V79" i="35"/>
  <c r="V100" i="35" s="1"/>
  <c r="J90" i="35"/>
  <c r="J100" i="35" s="1"/>
  <c r="I33" i="35"/>
  <c r="I34" i="35" s="1"/>
  <c r="G79" i="35"/>
  <c r="G100" i="35" s="1"/>
  <c r="F33" i="35"/>
  <c r="F34" i="35" s="1"/>
  <c r="AA79" i="35"/>
  <c r="AA100" i="35" s="1"/>
  <c r="Z33" i="35"/>
  <c r="Z34" i="35" s="1"/>
  <c r="AF83" i="35"/>
  <c r="V75" i="35"/>
  <c r="U83" i="35"/>
  <c r="AE96" i="35"/>
  <c r="AF77" i="35"/>
  <c r="AF96" i="35" s="1"/>
  <c r="O96" i="35"/>
  <c r="P77" i="35"/>
  <c r="T92" i="35"/>
  <c r="S96" i="35"/>
  <c r="F77" i="35"/>
  <c r="D92" i="35"/>
  <c r="C96" i="35"/>
  <c r="K84" i="35"/>
  <c r="L76" i="35"/>
  <c r="L84" i="35" s="1"/>
  <c r="P83" i="35"/>
  <c r="Q75" i="35"/>
  <c r="Q83" i="35" s="1"/>
  <c r="K83" i="35"/>
  <c r="L75" i="35"/>
  <c r="I92" i="35"/>
  <c r="H96" i="35"/>
  <c r="P84" i="35"/>
  <c r="Q76" i="35"/>
  <c r="Q84" i="35" s="1"/>
  <c r="Y96" i="35"/>
  <c r="Z77" i="35"/>
  <c r="V77" i="35"/>
  <c r="Z83" i="35"/>
  <c r="AA75" i="35"/>
  <c r="U84" i="35"/>
  <c r="V76" i="35"/>
  <c r="V84" i="35" s="1"/>
  <c r="F84" i="35"/>
  <c r="G76" i="35"/>
  <c r="G84" i="35" s="1"/>
  <c r="K77" i="35"/>
  <c r="F83" i="35"/>
  <c r="G75" i="35"/>
  <c r="L132" i="35" l="1"/>
  <c r="AA83" i="35"/>
  <c r="L83" i="35"/>
  <c r="V33" i="35"/>
  <c r="V34" i="35" s="1"/>
  <c r="V132" i="35"/>
  <c r="AA33" i="35"/>
  <c r="AA34" i="35" s="1"/>
  <c r="AA132" i="35"/>
  <c r="Q33" i="35"/>
  <c r="Q34" i="35" s="1"/>
  <c r="Q132" i="35"/>
  <c r="G33" i="35"/>
  <c r="G34" i="35" s="1"/>
  <c r="G132" i="35"/>
  <c r="G83" i="35"/>
  <c r="K90" i="35"/>
  <c r="K100" i="35" s="1"/>
  <c r="J33" i="35"/>
  <c r="J34" i="35" s="1"/>
  <c r="V83" i="35"/>
  <c r="G77" i="35"/>
  <c r="L77" i="35"/>
  <c r="AA77" i="35"/>
  <c r="AA96" i="35" s="1"/>
  <c r="Z96" i="35"/>
  <c r="J92" i="35"/>
  <c r="I96" i="35"/>
  <c r="E92" i="35"/>
  <c r="D96" i="35"/>
  <c r="U92" i="35"/>
  <c r="T96" i="35"/>
  <c r="P96" i="35"/>
  <c r="Q77" i="35"/>
  <c r="Q96" i="35" s="1"/>
  <c r="L90" i="35" l="1"/>
  <c r="K33" i="35"/>
  <c r="K34" i="35" s="1"/>
  <c r="V92" i="35"/>
  <c r="V96" i="35" s="1"/>
  <c r="U96" i="35"/>
  <c r="F92" i="35"/>
  <c r="E96" i="35"/>
  <c r="K92" i="35"/>
  <c r="J96" i="35"/>
  <c r="L100" i="35" l="1"/>
  <c r="L33" i="35" s="1"/>
  <c r="L34" i="35" s="1"/>
  <c r="L92" i="35"/>
  <c r="L96" i="35" s="1"/>
  <c r="K96" i="35"/>
  <c r="G92" i="35"/>
  <c r="G96" i="35" s="1"/>
  <c r="F96" i="35"/>
  <c r="J63" i="32" l="1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AD63" i="32"/>
  <c r="F63" i="32"/>
  <c r="G63" i="32"/>
  <c r="H63" i="32"/>
  <c r="I63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C41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AD68" i="32"/>
  <c r="A68" i="32"/>
  <c r="AH112" i="32"/>
  <c r="AI112" i="32"/>
  <c r="AJ112" i="32"/>
  <c r="AK112" i="32"/>
  <c r="AL112" i="32"/>
  <c r="AM112" i="32"/>
  <c r="AN112" i="32"/>
  <c r="AO112" i="32"/>
  <c r="AP112" i="32"/>
  <c r="AQ112" i="32"/>
  <c r="AR112" i="32"/>
  <c r="AS112" i="32"/>
  <c r="AT112" i="32"/>
  <c r="AU112" i="32"/>
  <c r="AV112" i="32"/>
  <c r="AW112" i="32"/>
  <c r="AX112" i="32"/>
  <c r="AY112" i="32"/>
  <c r="AZ112" i="32"/>
  <c r="BA112" i="32"/>
  <c r="BB112" i="32"/>
  <c r="H112" i="32"/>
  <c r="M112" i="32"/>
  <c r="R112" i="32"/>
  <c r="W112" i="32"/>
  <c r="AB112" i="32"/>
  <c r="AG112" i="32"/>
  <c r="C112" i="32"/>
  <c r="C202" i="32"/>
  <c r="C205" i="32" s="1"/>
  <c r="C196" i="32"/>
  <c r="C197" i="32" s="1"/>
  <c r="AH162" i="32"/>
  <c r="AI162" i="32"/>
  <c r="AJ162" i="32"/>
  <c r="AK162" i="32"/>
  <c r="AL162" i="32"/>
  <c r="AM162" i="32"/>
  <c r="AN162" i="32"/>
  <c r="AO162" i="32"/>
  <c r="AP162" i="32"/>
  <c r="AQ162" i="32"/>
  <c r="AR162" i="32"/>
  <c r="AS162" i="32"/>
  <c r="AT162" i="32"/>
  <c r="AU162" i="32"/>
  <c r="AV162" i="32"/>
  <c r="AW162" i="32"/>
  <c r="AX162" i="32"/>
  <c r="AY162" i="32"/>
  <c r="AZ162" i="32"/>
  <c r="BA162" i="32"/>
  <c r="BB162" i="32"/>
  <c r="W162" i="32"/>
  <c r="AB162" i="32"/>
  <c r="AG162" i="32"/>
  <c r="R162" i="32"/>
  <c r="AH145" i="32"/>
  <c r="AI145" i="32"/>
  <c r="AJ145" i="32"/>
  <c r="AK145" i="32"/>
  <c r="AL145" i="32"/>
  <c r="AM145" i="32"/>
  <c r="AN145" i="32"/>
  <c r="AO145" i="32"/>
  <c r="AP145" i="32"/>
  <c r="AQ145" i="32"/>
  <c r="AR145" i="32"/>
  <c r="AS145" i="32"/>
  <c r="AT145" i="32"/>
  <c r="AU145" i="32"/>
  <c r="AV145" i="32"/>
  <c r="AW145" i="32"/>
  <c r="AX145" i="32"/>
  <c r="AY145" i="32"/>
  <c r="AZ145" i="32"/>
  <c r="BA145" i="32"/>
  <c r="BB145" i="32"/>
  <c r="H145" i="32"/>
  <c r="M145" i="32"/>
  <c r="R145" i="32"/>
  <c r="W145" i="32"/>
  <c r="AB145" i="32"/>
  <c r="AG145" i="32"/>
  <c r="C145" i="32"/>
  <c r="AH140" i="32"/>
  <c r="AI140" i="32"/>
  <c r="AJ140" i="32"/>
  <c r="AK140" i="32"/>
  <c r="AL140" i="32"/>
  <c r="AM140" i="32"/>
  <c r="AN140" i="32"/>
  <c r="AO140" i="32"/>
  <c r="AP140" i="32"/>
  <c r="AQ140" i="32"/>
  <c r="AR140" i="32"/>
  <c r="AS140" i="32"/>
  <c r="AT140" i="32"/>
  <c r="AU140" i="32"/>
  <c r="AV140" i="32"/>
  <c r="AW140" i="32"/>
  <c r="AX140" i="32"/>
  <c r="AY140" i="32"/>
  <c r="AZ140" i="32"/>
  <c r="BA140" i="32"/>
  <c r="BB140" i="32"/>
  <c r="H140" i="32"/>
  <c r="M140" i="32"/>
  <c r="R140" i="32"/>
  <c r="W140" i="32"/>
  <c r="AB140" i="32"/>
  <c r="AG140" i="32"/>
  <c r="C140" i="32"/>
  <c r="N70" i="32"/>
  <c r="O70" i="32"/>
  <c r="F69" i="32"/>
  <c r="F70" i="32"/>
  <c r="G70" i="32"/>
  <c r="H70" i="32"/>
  <c r="I70" i="32"/>
  <c r="J70" i="32"/>
  <c r="K70" i="32"/>
  <c r="L70" i="32"/>
  <c r="M70" i="32"/>
  <c r="E70" i="32"/>
  <c r="W64" i="32"/>
  <c r="X64" i="32"/>
  <c r="Y64" i="32"/>
  <c r="Z64" i="32"/>
  <c r="AA64" i="32"/>
  <c r="AB64" i="32"/>
  <c r="AC64" i="32"/>
  <c r="AD64" i="32"/>
  <c r="W65" i="32"/>
  <c r="X65" i="32"/>
  <c r="Y65" i="32"/>
  <c r="Z65" i="32"/>
  <c r="AA65" i="32"/>
  <c r="AB65" i="32"/>
  <c r="AC65" i="32"/>
  <c r="AD65" i="32"/>
  <c r="W66" i="32"/>
  <c r="X66" i="32"/>
  <c r="Y66" i="32"/>
  <c r="Z66" i="32"/>
  <c r="AA66" i="32"/>
  <c r="AB66" i="32"/>
  <c r="AC66" i="32"/>
  <c r="AD66" i="32"/>
  <c r="W67" i="32"/>
  <c r="X67" i="32"/>
  <c r="Y67" i="32"/>
  <c r="Z67" i="32"/>
  <c r="AA67" i="32"/>
  <c r="AB67" i="32"/>
  <c r="AC67" i="32"/>
  <c r="AD67" i="32"/>
  <c r="W69" i="32"/>
  <c r="X69" i="32"/>
  <c r="Y69" i="32"/>
  <c r="Z69" i="32"/>
  <c r="AA69" i="32"/>
  <c r="AB69" i="32"/>
  <c r="AC69" i="32"/>
  <c r="AD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A69" i="32"/>
  <c r="A66" i="32"/>
  <c r="A67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H66" i="32"/>
  <c r="G66" i="32"/>
  <c r="F66" i="32"/>
  <c r="I67" i="32"/>
  <c r="J67" i="32"/>
  <c r="K67" i="32"/>
  <c r="L67" i="32"/>
  <c r="M67" i="32"/>
  <c r="N67" i="32"/>
  <c r="O67" i="32"/>
  <c r="P67" i="32"/>
  <c r="Q67" i="32"/>
  <c r="R67" i="32"/>
  <c r="S67" i="32"/>
  <c r="T67" i="32"/>
  <c r="U67" i="32"/>
  <c r="V67" i="32"/>
  <c r="G67" i="32"/>
  <c r="H67" i="32"/>
  <c r="F67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G65" i="32"/>
  <c r="F65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F64" i="32"/>
  <c r="I100" i="32"/>
  <c r="J100" i="32"/>
  <c r="K100" i="32" s="1"/>
  <c r="L100" i="32" s="1"/>
  <c r="I96" i="32"/>
  <c r="J96" i="32" s="1"/>
  <c r="K96" i="32" s="1"/>
  <c r="L96" i="32" s="1"/>
  <c r="D100" i="32"/>
  <c r="E100" i="32" s="1"/>
  <c r="F100" i="32" s="1"/>
  <c r="G100" i="32" s="1"/>
  <c r="D96" i="32"/>
  <c r="E96" i="32"/>
  <c r="F96" i="32" s="1"/>
  <c r="G96" i="32" s="1"/>
  <c r="A80" i="32"/>
  <c r="H80" i="32"/>
  <c r="M80" i="32"/>
  <c r="R80" i="32"/>
  <c r="W80" i="32"/>
  <c r="AB80" i="32"/>
  <c r="AG80" i="32"/>
  <c r="AC80" i="32" s="1"/>
  <c r="AD80" i="32" s="1"/>
  <c r="AE80" i="32" s="1"/>
  <c r="AF80" i="32" s="1"/>
  <c r="AH80" i="32"/>
  <c r="AH82" i="32" s="1"/>
  <c r="AI80" i="32"/>
  <c r="AI82" i="32" s="1"/>
  <c r="AJ80" i="32"/>
  <c r="AK80" i="32"/>
  <c r="AK82" i="32" s="1"/>
  <c r="AL80" i="32"/>
  <c r="AL82" i="32" s="1"/>
  <c r="AM80" i="32"/>
  <c r="AM82" i="32" s="1"/>
  <c r="AN80" i="32"/>
  <c r="AO80" i="32"/>
  <c r="AP80" i="32"/>
  <c r="AQ80" i="32"/>
  <c r="AR80" i="32"/>
  <c r="AS80" i="32"/>
  <c r="AT80" i="32"/>
  <c r="AU80" i="32"/>
  <c r="AV80" i="32"/>
  <c r="AW80" i="32"/>
  <c r="AX80" i="32"/>
  <c r="AX99" i="32" s="1"/>
  <c r="AY80" i="32"/>
  <c r="AZ80" i="32"/>
  <c r="BA80" i="32"/>
  <c r="BB80" i="32"/>
  <c r="H81" i="32"/>
  <c r="M81" i="32"/>
  <c r="R81" i="32"/>
  <c r="N81" i="32" s="1"/>
  <c r="O81" i="32" s="1"/>
  <c r="P81" i="32" s="1"/>
  <c r="Q81" i="32" s="1"/>
  <c r="W81" i="32"/>
  <c r="W82" i="32" s="1"/>
  <c r="AB81" i="32"/>
  <c r="AC81" i="32" s="1"/>
  <c r="AD81" i="32" s="1"/>
  <c r="AE81" i="32" s="1"/>
  <c r="AF81" i="32" s="1"/>
  <c r="AG81" i="32"/>
  <c r="AH81" i="32"/>
  <c r="AI81" i="32"/>
  <c r="AJ81" i="32"/>
  <c r="AK81" i="32"/>
  <c r="AL81" i="32"/>
  <c r="AM81" i="32"/>
  <c r="AN81" i="32"/>
  <c r="AO81" i="32"/>
  <c r="AP81" i="32"/>
  <c r="AQ81" i="32"/>
  <c r="AR81" i="32"/>
  <c r="AS81" i="32"/>
  <c r="AT81" i="32"/>
  <c r="AU81" i="32"/>
  <c r="AV81" i="32"/>
  <c r="AW81" i="32"/>
  <c r="AX81" i="32"/>
  <c r="AY81" i="32"/>
  <c r="AZ81" i="32"/>
  <c r="BA81" i="32"/>
  <c r="BB81" i="32"/>
  <c r="BB100" i="32" s="1"/>
  <c r="C80" i="32"/>
  <c r="C99" i="32" s="1"/>
  <c r="C81" i="32"/>
  <c r="D81" i="32" s="1"/>
  <c r="E81" i="32" s="1"/>
  <c r="F81" i="32" s="1"/>
  <c r="G81" i="32" s="1"/>
  <c r="A81" i="32"/>
  <c r="I81" i="32"/>
  <c r="J81" i="32" s="1"/>
  <c r="K81" i="32" s="1"/>
  <c r="L81" i="32" s="1"/>
  <c r="X80" i="32"/>
  <c r="Y80" i="32" s="1"/>
  <c r="Z80" i="32" s="1"/>
  <c r="AA80" i="32" s="1"/>
  <c r="M82" i="32"/>
  <c r="N80" i="32"/>
  <c r="O80" i="32" s="1"/>
  <c r="P80" i="32" s="1"/>
  <c r="Q80" i="32" s="1"/>
  <c r="AS82" i="32"/>
  <c r="AT82" i="32"/>
  <c r="AP82" i="32"/>
  <c r="AW82" i="32"/>
  <c r="BA82" i="32"/>
  <c r="AZ82" i="32"/>
  <c r="AJ82" i="32"/>
  <c r="AB82" i="32"/>
  <c r="D22" i="32"/>
  <c r="BA91" i="32" s="1"/>
  <c r="BA100" i="32" s="1"/>
  <c r="D20" i="32"/>
  <c r="B87" i="32"/>
  <c r="H87" i="32"/>
  <c r="I87" i="32" s="1"/>
  <c r="J87" i="32" s="1"/>
  <c r="K87" i="32" s="1"/>
  <c r="L87" i="32" s="1"/>
  <c r="M87" i="32"/>
  <c r="M90" i="32" s="1"/>
  <c r="R87" i="32"/>
  <c r="W87" i="32"/>
  <c r="S87" i="32" s="1"/>
  <c r="T87" i="32" s="1"/>
  <c r="U87" i="32" s="1"/>
  <c r="V87" i="32" s="1"/>
  <c r="AB87" i="32"/>
  <c r="AB90" i="32" s="1"/>
  <c r="AG87" i="32"/>
  <c r="AG90" i="32" s="1"/>
  <c r="AH87" i="32"/>
  <c r="AH90" i="32" s="1"/>
  <c r="AI87" i="32"/>
  <c r="AI90" i="32" s="1"/>
  <c r="AJ87" i="32"/>
  <c r="AJ90" i="32" s="1"/>
  <c r="AK87" i="32"/>
  <c r="AK90" i="32"/>
  <c r="AL87" i="32"/>
  <c r="AL90" i="32" s="1"/>
  <c r="AM87" i="32"/>
  <c r="AM90" i="32" s="1"/>
  <c r="AN87" i="32"/>
  <c r="AN90" i="32" s="1"/>
  <c r="AO87" i="32"/>
  <c r="AO90" i="32"/>
  <c r="AP87" i="32"/>
  <c r="AP90" i="32" s="1"/>
  <c r="AQ87" i="32"/>
  <c r="AQ90" i="32" s="1"/>
  <c r="AR87" i="32"/>
  <c r="AS87" i="32"/>
  <c r="AS90" i="32" s="1"/>
  <c r="AT87" i="32"/>
  <c r="AT90" i="32" s="1"/>
  <c r="AU87" i="32"/>
  <c r="AU90" i="32" s="1"/>
  <c r="AV87" i="32"/>
  <c r="AV90" i="32" s="1"/>
  <c r="AW87" i="32"/>
  <c r="AW90" i="32" s="1"/>
  <c r="AX87" i="32"/>
  <c r="AX90" i="32" s="1"/>
  <c r="AY87" i="32"/>
  <c r="AY90" i="32" s="1"/>
  <c r="AZ87" i="32"/>
  <c r="AZ90" i="32" s="1"/>
  <c r="BA87" i="32"/>
  <c r="BA90" i="32"/>
  <c r="BB87" i="32"/>
  <c r="BB90" i="32" s="1"/>
  <c r="H88" i="32"/>
  <c r="I88" i="32" s="1"/>
  <c r="J88" i="32" s="1"/>
  <c r="K88" i="32" s="1"/>
  <c r="L88" i="32" s="1"/>
  <c r="M88" i="32"/>
  <c r="R88" i="32"/>
  <c r="W88" i="32"/>
  <c r="AB88" i="32"/>
  <c r="AG88" i="32"/>
  <c r="AH88" i="32"/>
  <c r="AH91" i="32" s="1"/>
  <c r="AH100" i="32" s="1"/>
  <c r="AI88" i="32"/>
  <c r="AI91" i="32" s="1"/>
  <c r="AJ88" i="32"/>
  <c r="AJ91" i="32" s="1"/>
  <c r="AJ100" i="32" s="1"/>
  <c r="AK88" i="32"/>
  <c r="AL88" i="32"/>
  <c r="AL91" i="32"/>
  <c r="AM88" i="32"/>
  <c r="AN88" i="32"/>
  <c r="AO88" i="32"/>
  <c r="AO91" i="32" s="1"/>
  <c r="AP88" i="32"/>
  <c r="AP91" i="32" s="1"/>
  <c r="AQ88" i="32"/>
  <c r="AQ91" i="32" s="1"/>
  <c r="AR88" i="32"/>
  <c r="AS88" i="32"/>
  <c r="AT88" i="32"/>
  <c r="AT91" i="32" s="1"/>
  <c r="AU88" i="32"/>
  <c r="AV88" i="32"/>
  <c r="AW88" i="32"/>
  <c r="AW91" i="32" s="1"/>
  <c r="AX88" i="32"/>
  <c r="AX91" i="32" s="1"/>
  <c r="AY88" i="32"/>
  <c r="AY91" i="32" s="1"/>
  <c r="AZ88" i="32"/>
  <c r="BA88" i="32"/>
  <c r="BB88" i="32"/>
  <c r="BB91" i="32" s="1"/>
  <c r="H89" i="32"/>
  <c r="M89" i="32"/>
  <c r="R89" i="32"/>
  <c r="R92" i="32" s="1"/>
  <c r="W89" i="32"/>
  <c r="W92" i="32" s="1"/>
  <c r="AB89" i="32"/>
  <c r="AG89" i="32"/>
  <c r="AG92" i="32" s="1"/>
  <c r="AH89" i="32"/>
  <c r="AH92" i="32" s="1"/>
  <c r="AI89" i="32"/>
  <c r="AI92" i="32" s="1"/>
  <c r="AJ89" i="32"/>
  <c r="AJ92" i="32"/>
  <c r="AK89" i="32"/>
  <c r="AK92" i="32" s="1"/>
  <c r="AL89" i="32"/>
  <c r="AL92" i="32" s="1"/>
  <c r="AL96" i="32" s="1"/>
  <c r="AM89" i="32"/>
  <c r="AM92" i="32" s="1"/>
  <c r="AN89" i="32"/>
  <c r="AN92" i="32"/>
  <c r="AO89" i="32"/>
  <c r="AO92" i="32" s="1"/>
  <c r="AP89" i="32"/>
  <c r="AP92" i="32" s="1"/>
  <c r="AQ89" i="32"/>
  <c r="AQ92" i="32" s="1"/>
  <c r="AR89" i="32"/>
  <c r="AR92" i="32"/>
  <c r="AS89" i="32"/>
  <c r="AS92" i="32" s="1"/>
  <c r="AT89" i="32"/>
  <c r="AT92" i="32" s="1"/>
  <c r="AU89" i="32"/>
  <c r="AU92" i="32" s="1"/>
  <c r="AV89" i="32"/>
  <c r="AV92" i="32" s="1"/>
  <c r="AW89" i="32"/>
  <c r="AW92" i="32" s="1"/>
  <c r="AX89" i="32"/>
  <c r="AX92" i="32"/>
  <c r="AY89" i="32"/>
  <c r="AY92" i="32" s="1"/>
  <c r="AZ89" i="32"/>
  <c r="AZ92" i="32"/>
  <c r="BA89" i="32"/>
  <c r="BA92" i="32" s="1"/>
  <c r="BB89" i="32"/>
  <c r="BB92" i="32"/>
  <c r="C89" i="32"/>
  <c r="D89" i="32" s="1"/>
  <c r="E89" i="32" s="1"/>
  <c r="F89" i="32" s="1"/>
  <c r="G89" i="32" s="1"/>
  <c r="C88" i="32"/>
  <c r="D88" i="32" s="1"/>
  <c r="E88" i="32" s="1"/>
  <c r="F88" i="32" s="1"/>
  <c r="G88" i="32" s="1"/>
  <c r="C87" i="32"/>
  <c r="B89" i="32"/>
  <c r="B88" i="32"/>
  <c r="A88" i="32"/>
  <c r="A89" i="32" s="1"/>
  <c r="A87" i="32"/>
  <c r="H76" i="32"/>
  <c r="H84" i="32" s="1"/>
  <c r="M76" i="32"/>
  <c r="M84" i="32" s="1"/>
  <c r="R76" i="32"/>
  <c r="W76" i="32"/>
  <c r="AB76" i="32"/>
  <c r="AB84" i="32" s="1"/>
  <c r="AG76" i="32"/>
  <c r="AH76" i="32"/>
  <c r="AI76" i="32"/>
  <c r="AJ76" i="32"/>
  <c r="AJ84" i="32" s="1"/>
  <c r="AK76" i="32"/>
  <c r="AL76" i="32"/>
  <c r="AM76" i="32"/>
  <c r="AM84" i="32" s="1"/>
  <c r="AN76" i="32"/>
  <c r="AN84" i="32" s="1"/>
  <c r="AO76" i="32"/>
  <c r="AO95" i="32"/>
  <c r="AP76" i="32"/>
  <c r="AQ76" i="32"/>
  <c r="AQ84" i="32" s="1"/>
  <c r="AR76" i="32"/>
  <c r="AR84" i="32" s="1"/>
  <c r="AS76" i="32"/>
  <c r="AS84" i="32" s="1"/>
  <c r="AT76" i="32"/>
  <c r="AU76" i="32"/>
  <c r="AV76" i="32"/>
  <c r="AV84" i="32" s="1"/>
  <c r="AW76" i="32"/>
  <c r="AW84" i="32" s="1"/>
  <c r="AX76" i="32"/>
  <c r="AY76" i="32"/>
  <c r="AY84" i="32" s="1"/>
  <c r="AZ76" i="32"/>
  <c r="AZ84" i="32" s="1"/>
  <c r="AZ95" i="32"/>
  <c r="BA76" i="32"/>
  <c r="BA84" i="32" s="1"/>
  <c r="BB76" i="32"/>
  <c r="H77" i="32"/>
  <c r="H85" i="32" s="1"/>
  <c r="M77" i="32"/>
  <c r="M85" i="32" s="1"/>
  <c r="R77" i="32"/>
  <c r="R85" i="32" s="1"/>
  <c r="W77" i="32"/>
  <c r="AB77" i="32"/>
  <c r="AG77" i="32"/>
  <c r="AG85" i="32" s="1"/>
  <c r="AH77" i="32"/>
  <c r="AH85" i="32" s="1"/>
  <c r="AI77" i="32"/>
  <c r="AJ77" i="32"/>
  <c r="AJ85" i="32" s="1"/>
  <c r="AK77" i="32"/>
  <c r="AK85" i="32" s="1"/>
  <c r="AL77" i="32"/>
  <c r="AL85" i="32" s="1"/>
  <c r="AM77" i="32"/>
  <c r="AM78" i="32" s="1"/>
  <c r="AN77" i="32"/>
  <c r="AO77" i="32"/>
  <c r="AO85" i="32" s="1"/>
  <c r="AP77" i="32"/>
  <c r="AP85" i="32" s="1"/>
  <c r="AQ77" i="32"/>
  <c r="AR77" i="32"/>
  <c r="AR85" i="32" s="1"/>
  <c r="AS77" i="32"/>
  <c r="AS85" i="32" s="1"/>
  <c r="AT77" i="32"/>
  <c r="AT85" i="32" s="1"/>
  <c r="AU77" i="32"/>
  <c r="AV77" i="32"/>
  <c r="AW77" i="32"/>
  <c r="AW85" i="32" s="1"/>
  <c r="AX77" i="32"/>
  <c r="AX85" i="32" s="1"/>
  <c r="AY77" i="32"/>
  <c r="AZ77" i="32"/>
  <c r="AZ85" i="32" s="1"/>
  <c r="BA77" i="32"/>
  <c r="BA85" i="32" s="1"/>
  <c r="BB77" i="32"/>
  <c r="BB85" i="32" s="1"/>
  <c r="C77" i="32"/>
  <c r="C85" i="32" s="1"/>
  <c r="A77" i="32"/>
  <c r="C76" i="32"/>
  <c r="A76" i="32"/>
  <c r="BB169" i="32"/>
  <c r="BA169" i="32"/>
  <c r="AZ169" i="32"/>
  <c r="AY169" i="32"/>
  <c r="AX169" i="32"/>
  <c r="AW169" i="32"/>
  <c r="AV169" i="32"/>
  <c r="AU169" i="32"/>
  <c r="AT169" i="32"/>
  <c r="AS169" i="32"/>
  <c r="AR169" i="32"/>
  <c r="AQ169" i="32"/>
  <c r="AP169" i="32"/>
  <c r="AO169" i="32"/>
  <c r="AN169" i="32"/>
  <c r="AM169" i="32"/>
  <c r="AL169" i="32"/>
  <c r="AK169" i="32"/>
  <c r="AJ169" i="32"/>
  <c r="AI169" i="32"/>
  <c r="AH169" i="32"/>
  <c r="AG169" i="32"/>
  <c r="AB169" i="32"/>
  <c r="W169" i="32"/>
  <c r="R169" i="32"/>
  <c r="C78" i="32"/>
  <c r="AS91" i="32"/>
  <c r="I89" i="32"/>
  <c r="J89" i="32" s="1"/>
  <c r="K89" i="32" s="1"/>
  <c r="L89" i="32" s="1"/>
  <c r="AC87" i="32"/>
  <c r="AD87" i="32" s="1"/>
  <c r="AE87" i="32" s="1"/>
  <c r="AF87" i="32" s="1"/>
  <c r="AR91" i="32"/>
  <c r="AR100" i="32" s="1"/>
  <c r="AC88" i="32"/>
  <c r="AD88" i="32" s="1"/>
  <c r="AE88" i="32" s="1"/>
  <c r="AF88" i="32" s="1"/>
  <c r="W90" i="32"/>
  <c r="R95" i="32"/>
  <c r="W91" i="32"/>
  <c r="X88" i="32"/>
  <c r="Y88" i="32" s="1"/>
  <c r="Z88" i="32" s="1"/>
  <c r="AA88" i="32" s="1"/>
  <c r="R90" i="32"/>
  <c r="C90" i="32"/>
  <c r="D87" i="32"/>
  <c r="E87" i="32" s="1"/>
  <c r="F87" i="32" s="1"/>
  <c r="G87" i="32"/>
  <c r="AN99" i="32"/>
  <c r="AI78" i="32"/>
  <c r="AM95" i="32"/>
  <c r="W95" i="32"/>
  <c r="AG78" i="32"/>
  <c r="AS95" i="32"/>
  <c r="AG95" i="32"/>
  <c r="AZ78" i="32"/>
  <c r="AR78" i="32"/>
  <c r="AX78" i="32"/>
  <c r="AT78" i="32"/>
  <c r="AN100" i="32" l="1"/>
  <c r="S92" i="32"/>
  <c r="T92" i="32" s="1"/>
  <c r="U92" i="32" s="1"/>
  <c r="V92" i="32" s="1"/>
  <c r="AB99" i="32"/>
  <c r="AC90" i="32"/>
  <c r="AD90" i="32" s="1"/>
  <c r="AE90" i="32" s="1"/>
  <c r="AF90" i="32" s="1"/>
  <c r="AU96" i="32"/>
  <c r="BB78" i="32"/>
  <c r="AI84" i="32"/>
  <c r="AW100" i="32"/>
  <c r="N89" i="32"/>
  <c r="O89" i="32" s="1"/>
  <c r="P89" i="32" s="1"/>
  <c r="Q89" i="32" s="1"/>
  <c r="AN82" i="32"/>
  <c r="AJ78" i="32"/>
  <c r="BA78" i="32"/>
  <c r="AY78" i="32"/>
  <c r="D77" i="32"/>
  <c r="AU91" i="32"/>
  <c r="AU100" i="32" s="1"/>
  <c r="AB91" i="32"/>
  <c r="H90" i="32"/>
  <c r="H99" i="32" s="1"/>
  <c r="I99" i="32" s="1"/>
  <c r="J99" i="32" s="1"/>
  <c r="K99" i="32" s="1"/>
  <c r="L99" i="32" s="1"/>
  <c r="AC76" i="32"/>
  <c r="AC84" i="32" s="1"/>
  <c r="AK91" i="32"/>
  <c r="S77" i="32"/>
  <c r="T77" i="32" s="1"/>
  <c r="U77" i="32" s="1"/>
  <c r="V77" i="32" s="1"/>
  <c r="AO84" i="32"/>
  <c r="AN91" i="32"/>
  <c r="AG91" i="32"/>
  <c r="AG100" i="32" s="1"/>
  <c r="AV82" i="32"/>
  <c r="AK96" i="32"/>
  <c r="AQ78" i="32"/>
  <c r="AH96" i="32"/>
  <c r="I76" i="32"/>
  <c r="J76" i="32" s="1"/>
  <c r="AB95" i="32"/>
  <c r="X95" i="32" s="1"/>
  <c r="Y95" i="32" s="1"/>
  <c r="Z95" i="32" s="1"/>
  <c r="AA95" i="32" s="1"/>
  <c r="AN95" i="32"/>
  <c r="AG84" i="32"/>
  <c r="AO100" i="32"/>
  <c r="AI96" i="32"/>
  <c r="AM91" i="32"/>
  <c r="D23" i="32"/>
  <c r="AW95" i="32"/>
  <c r="N76" i="32"/>
  <c r="N84" i="32" s="1"/>
  <c r="R78" i="32"/>
  <c r="AY82" i="32"/>
  <c r="BB82" i="32"/>
  <c r="R99" i="32"/>
  <c r="AH78" i="32"/>
  <c r="M95" i="32"/>
  <c r="N95" i="32" s="1"/>
  <c r="O95" i="32" s="1"/>
  <c r="P95" i="32" s="1"/>
  <c r="Q95" i="32" s="1"/>
  <c r="AQ95" i="32"/>
  <c r="X87" i="32"/>
  <c r="Y87" i="32" s="1"/>
  <c r="Z87" i="32" s="1"/>
  <c r="AA87" i="32" s="1"/>
  <c r="AV91" i="32"/>
  <c r="AV100" i="32" s="1"/>
  <c r="R91" i="32"/>
  <c r="D76" i="32"/>
  <c r="S88" i="32"/>
  <c r="T88" i="32" s="1"/>
  <c r="U88" i="32" s="1"/>
  <c r="V88" i="32" s="1"/>
  <c r="AR95" i="32"/>
  <c r="W96" i="32"/>
  <c r="S89" i="32"/>
  <c r="T89" i="32" s="1"/>
  <c r="U89" i="32" s="1"/>
  <c r="V89" i="32" s="1"/>
  <c r="X81" i="32"/>
  <c r="Y81" i="32" s="1"/>
  <c r="Z81" i="32" s="1"/>
  <c r="AA81" i="32" s="1"/>
  <c r="AP99" i="32"/>
  <c r="BB96" i="32"/>
  <c r="N87" i="32"/>
  <c r="O87" i="32" s="1"/>
  <c r="P87" i="32" s="1"/>
  <c r="Q87" i="32" s="1"/>
  <c r="AT96" i="32"/>
  <c r="AQ82" i="32"/>
  <c r="H92" i="32"/>
  <c r="AL78" i="32"/>
  <c r="AY95" i="32"/>
  <c r="X77" i="32"/>
  <c r="X85" i="32" s="1"/>
  <c r="AL84" i="32"/>
  <c r="AS96" i="32"/>
  <c r="AZ91" i="32"/>
  <c r="AZ93" i="32" s="1"/>
  <c r="AO82" i="32"/>
  <c r="AG82" i="32"/>
  <c r="AR82" i="32"/>
  <c r="I80" i="32"/>
  <c r="J80" i="32" s="1"/>
  <c r="K80" i="32" s="1"/>
  <c r="L80" i="32" s="1"/>
  <c r="S95" i="32"/>
  <c r="T95" i="32" s="1"/>
  <c r="U95" i="32" s="1"/>
  <c r="V95" i="32" s="1"/>
  <c r="Y77" i="32"/>
  <c r="AQ100" i="32"/>
  <c r="AP84" i="32"/>
  <c r="AP95" i="32"/>
  <c r="AP78" i="32"/>
  <c r="AX96" i="32"/>
  <c r="AX100" i="32"/>
  <c r="AP100" i="32"/>
  <c r="AP96" i="32"/>
  <c r="BB99" i="32"/>
  <c r="BB93" i="32"/>
  <c r="BB97" i="32" s="1"/>
  <c r="AV93" i="32"/>
  <c r="AV99" i="32"/>
  <c r="AO93" i="32"/>
  <c r="AO99" i="32"/>
  <c r="AI93" i="32"/>
  <c r="AI99" i="32"/>
  <c r="BA99" i="32"/>
  <c r="BA93" i="32"/>
  <c r="AU99" i="32"/>
  <c r="AU93" i="32"/>
  <c r="AH93" i="32"/>
  <c r="AR96" i="32"/>
  <c r="I90" i="32"/>
  <c r="J90" i="32" s="1"/>
  <c r="K90" i="32" s="1"/>
  <c r="L90" i="32" s="1"/>
  <c r="AT99" i="32"/>
  <c r="AT93" i="32"/>
  <c r="AN93" i="32"/>
  <c r="AG99" i="32"/>
  <c r="AI100" i="32"/>
  <c r="AC95" i="32"/>
  <c r="AD95" i="32" s="1"/>
  <c r="AE95" i="32" s="1"/>
  <c r="AF95" i="32" s="1"/>
  <c r="AU84" i="32"/>
  <c r="AU95" i="32"/>
  <c r="AU78" i="32"/>
  <c r="AM96" i="32"/>
  <c r="AZ99" i="32"/>
  <c r="AS93" i="32"/>
  <c r="AS99" i="32"/>
  <c r="AM93" i="32"/>
  <c r="AM97" i="32" s="1"/>
  <c r="AM33" i="32" s="1"/>
  <c r="AM34" i="32" s="1"/>
  <c r="AM99" i="32"/>
  <c r="AI97" i="32"/>
  <c r="AI33" i="32" s="1"/>
  <c r="AI34" i="32" s="1"/>
  <c r="D85" i="32"/>
  <c r="E77" i="32"/>
  <c r="W93" i="32"/>
  <c r="W99" i="32"/>
  <c r="X90" i="32"/>
  <c r="Y90" i="32" s="1"/>
  <c r="Z90" i="32" s="1"/>
  <c r="AA90" i="32" s="1"/>
  <c r="S90" i="32"/>
  <c r="T90" i="32" s="1"/>
  <c r="U90" i="32" s="1"/>
  <c r="V90" i="32" s="1"/>
  <c r="AK100" i="32"/>
  <c r="AY99" i="32"/>
  <c r="AY93" i="32"/>
  <c r="AL99" i="32"/>
  <c r="AL93" i="32"/>
  <c r="AL100" i="32"/>
  <c r="I84" i="32"/>
  <c r="AO96" i="32"/>
  <c r="E76" i="32"/>
  <c r="W84" i="32"/>
  <c r="X76" i="32"/>
  <c r="W78" i="32"/>
  <c r="S76" i="32"/>
  <c r="AX93" i="32"/>
  <c r="AK99" i="32"/>
  <c r="AK93" i="32"/>
  <c r="AV85" i="32"/>
  <c r="AV96" i="32"/>
  <c r="AN85" i="32"/>
  <c r="AN96" i="32"/>
  <c r="AB85" i="32"/>
  <c r="AC77" i="32"/>
  <c r="AY96" i="32"/>
  <c r="AY100" i="32"/>
  <c r="AB92" i="32"/>
  <c r="AB96" i="32" s="1"/>
  <c r="AC96" i="32" s="1"/>
  <c r="AD96" i="32" s="1"/>
  <c r="AE96" i="32" s="1"/>
  <c r="AF96" i="32" s="1"/>
  <c r="X89" i="32"/>
  <c r="Y89" i="32" s="1"/>
  <c r="Z89" i="32" s="1"/>
  <c r="AA89" i="32" s="1"/>
  <c r="AC89" i="32"/>
  <c r="AD89" i="32" s="1"/>
  <c r="AE89" i="32" s="1"/>
  <c r="AF89" i="32" s="1"/>
  <c r="AW93" i="32"/>
  <c r="AW99" i="32"/>
  <c r="AQ99" i="32"/>
  <c r="AQ93" i="32"/>
  <c r="AM100" i="32"/>
  <c r="AN78" i="32"/>
  <c r="AS100" i="32"/>
  <c r="AK84" i="32"/>
  <c r="AK95" i="32"/>
  <c r="AK78" i="32"/>
  <c r="AQ96" i="32"/>
  <c r="AP93" i="32"/>
  <c r="AJ99" i="32"/>
  <c r="AJ93" i="32"/>
  <c r="N90" i="32"/>
  <c r="O90" i="32" s="1"/>
  <c r="P90" i="32" s="1"/>
  <c r="Q90" i="32" s="1"/>
  <c r="M99" i="32"/>
  <c r="AC82" i="32"/>
  <c r="AD82" i="32" s="1"/>
  <c r="AE82" i="32" s="1"/>
  <c r="AF82" i="32" s="1"/>
  <c r="M92" i="32"/>
  <c r="BA95" i="32"/>
  <c r="AI95" i="32"/>
  <c r="AU85" i="32"/>
  <c r="AM85" i="32"/>
  <c r="W85" i="32"/>
  <c r="AT95" i="32"/>
  <c r="AJ95" i="32"/>
  <c r="R84" i="32"/>
  <c r="AU82" i="32"/>
  <c r="AX82" i="32"/>
  <c r="C82" i="32"/>
  <c r="S81" i="32"/>
  <c r="T81" i="32" s="1"/>
  <c r="U81" i="32" s="1"/>
  <c r="V81" i="32" s="1"/>
  <c r="R93" i="32"/>
  <c r="X91" i="32"/>
  <c r="Y91" i="32" s="1"/>
  <c r="Z91" i="32" s="1"/>
  <c r="AA91" i="32" s="1"/>
  <c r="AV78" i="32"/>
  <c r="AV97" i="32" s="1"/>
  <c r="AV33" i="32" s="1"/>
  <c r="AV34" i="32" s="1"/>
  <c r="M78" i="32"/>
  <c r="AJ96" i="32"/>
  <c r="C92" i="32"/>
  <c r="D92" i="32" s="1"/>
  <c r="E92" i="32" s="1"/>
  <c r="F92" i="32" s="1"/>
  <c r="G92" i="32" s="1"/>
  <c r="AT84" i="32"/>
  <c r="AR90" i="32"/>
  <c r="H82" i="32"/>
  <c r="I82" i="32" s="1"/>
  <c r="J82" i="32" s="1"/>
  <c r="K82" i="32" s="1"/>
  <c r="L82" i="32" s="1"/>
  <c r="R82" i="32"/>
  <c r="S82" i="32" s="1"/>
  <c r="T82" i="32" s="1"/>
  <c r="U82" i="32" s="1"/>
  <c r="V82" i="32" s="1"/>
  <c r="T85" i="32"/>
  <c r="AX95" i="32"/>
  <c r="D80" i="32"/>
  <c r="E80" i="32" s="1"/>
  <c r="F80" i="32" s="1"/>
  <c r="G80" i="32" s="1"/>
  <c r="H91" i="32"/>
  <c r="AO78" i="32"/>
  <c r="AO97" i="32" s="1"/>
  <c r="AO33" i="32" s="1"/>
  <c r="AO34" i="32" s="1"/>
  <c r="I77" i="32"/>
  <c r="N77" i="32"/>
  <c r="AW96" i="32"/>
  <c r="S85" i="32"/>
  <c r="AX84" i="32"/>
  <c r="AH95" i="32"/>
  <c r="W100" i="32"/>
  <c r="H78" i="32"/>
  <c r="AS78" i="32"/>
  <c r="H95" i="32"/>
  <c r="I95" i="32" s="1"/>
  <c r="J95" i="32" s="1"/>
  <c r="K95" i="32" s="1"/>
  <c r="L95" i="32" s="1"/>
  <c r="N88" i="32"/>
  <c r="O88" i="32" s="1"/>
  <c r="P88" i="32" s="1"/>
  <c r="Q88" i="32" s="1"/>
  <c r="AG96" i="32"/>
  <c r="AY85" i="32"/>
  <c r="AQ85" i="32"/>
  <c r="AI85" i="32"/>
  <c r="BB95" i="32"/>
  <c r="AH84" i="32"/>
  <c r="R97" i="32"/>
  <c r="R33" i="32" s="1"/>
  <c r="R34" i="32" s="1"/>
  <c r="AB78" i="32"/>
  <c r="AW78" i="32"/>
  <c r="AH99" i="32"/>
  <c r="AD76" i="32"/>
  <c r="BA96" i="32"/>
  <c r="BB84" i="32"/>
  <c r="AV95" i="32"/>
  <c r="AL95" i="32"/>
  <c r="X82" i="32"/>
  <c r="Y82" i="32" s="1"/>
  <c r="Z82" i="32" s="1"/>
  <c r="AA82" i="32" s="1"/>
  <c r="S80" i="32"/>
  <c r="T80" i="32" s="1"/>
  <c r="U80" i="32" s="1"/>
  <c r="V80" i="32" s="1"/>
  <c r="C84" i="32"/>
  <c r="C95" i="32"/>
  <c r="AT100" i="32"/>
  <c r="AN166" i="32"/>
  <c r="AN168" i="32" s="1"/>
  <c r="AV166" i="32"/>
  <c r="AV168" i="32" s="1"/>
  <c r="AB166" i="32"/>
  <c r="AB168" i="32" s="1"/>
  <c r="AO166" i="32"/>
  <c r="AO168" i="32" s="1"/>
  <c r="AW166" i="32"/>
  <c r="AW168" i="32" s="1"/>
  <c r="AG166" i="32"/>
  <c r="AG168" i="32" s="1"/>
  <c r="AH166" i="32"/>
  <c r="AH168" i="32" s="1"/>
  <c r="AP166" i="32"/>
  <c r="AP168" i="32" s="1"/>
  <c r="AX166" i="32"/>
  <c r="AX168" i="32" s="1"/>
  <c r="R166" i="32"/>
  <c r="R168" i="32" s="1"/>
  <c r="AI166" i="32"/>
  <c r="AI168" i="32" s="1"/>
  <c r="AQ166" i="32"/>
  <c r="AQ168" i="32" s="1"/>
  <c r="AY166" i="32"/>
  <c r="AY168" i="32" s="1"/>
  <c r="AJ166" i="32"/>
  <c r="AJ168" i="32" s="1"/>
  <c r="AR166" i="32"/>
  <c r="AR168" i="32" s="1"/>
  <c r="AZ166" i="32"/>
  <c r="AZ168" i="32" s="1"/>
  <c r="AK166" i="32"/>
  <c r="AK168" i="32" s="1"/>
  <c r="AS166" i="32"/>
  <c r="AS168" i="32" s="1"/>
  <c r="BA166" i="32"/>
  <c r="BA168" i="32" s="1"/>
  <c r="AL166" i="32"/>
  <c r="AL168" i="32" s="1"/>
  <c r="AT166" i="32"/>
  <c r="AT168" i="32" s="1"/>
  <c r="BB166" i="32"/>
  <c r="BB168" i="32" s="1"/>
  <c r="AM166" i="32"/>
  <c r="AM168" i="32" s="1"/>
  <c r="AU166" i="32"/>
  <c r="AU168" i="32" s="1"/>
  <c r="W166" i="32"/>
  <c r="W168" i="32" s="1"/>
  <c r="S91" i="32" l="1"/>
  <c r="T91" i="32" s="1"/>
  <c r="U91" i="32" s="1"/>
  <c r="V91" i="32" s="1"/>
  <c r="R100" i="32"/>
  <c r="N100" i="32" s="1"/>
  <c r="O100" i="32" s="1"/>
  <c r="P100" i="32" s="1"/>
  <c r="Q100" i="32" s="1"/>
  <c r="R96" i="32"/>
  <c r="M91" i="32"/>
  <c r="N99" i="32"/>
  <c r="O99" i="32" s="1"/>
  <c r="P99" i="32" s="1"/>
  <c r="Q99" i="32" s="1"/>
  <c r="AU97" i="32"/>
  <c r="AU33" i="32" s="1"/>
  <c r="AU34" i="32" s="1"/>
  <c r="AG93" i="32"/>
  <c r="I91" i="32"/>
  <c r="J91" i="32" s="1"/>
  <c r="K91" i="32" s="1"/>
  <c r="L91" i="32" s="1"/>
  <c r="AZ96" i="32"/>
  <c r="O76" i="32"/>
  <c r="AN97" i="32"/>
  <c r="AN33" i="32" s="1"/>
  <c r="AN34" i="32" s="1"/>
  <c r="AZ100" i="32"/>
  <c r="D95" i="32"/>
  <c r="E95" i="32" s="1"/>
  <c r="F95" i="32" s="1"/>
  <c r="G95" i="32" s="1"/>
  <c r="D90" i="32"/>
  <c r="E90" i="32" s="1"/>
  <c r="F90" i="32" s="1"/>
  <c r="G90" i="32" s="1"/>
  <c r="C91" i="32"/>
  <c r="AK97" i="32"/>
  <c r="AK33" i="32" s="1"/>
  <c r="AK34" i="32" s="1"/>
  <c r="AC91" i="32"/>
  <c r="AD91" i="32" s="1"/>
  <c r="AE91" i="32" s="1"/>
  <c r="AF91" i="32" s="1"/>
  <c r="AR93" i="32"/>
  <c r="AR99" i="32"/>
  <c r="N91" i="32"/>
  <c r="O91" i="32" s="1"/>
  <c r="P91" i="32" s="1"/>
  <c r="Q91" i="32" s="1"/>
  <c r="M93" i="32"/>
  <c r="M97" i="32" s="1"/>
  <c r="M33" i="32" s="1"/>
  <c r="M34" i="32" s="1"/>
  <c r="I92" i="32"/>
  <c r="J92" i="32" s="1"/>
  <c r="K92" i="32" s="1"/>
  <c r="L92" i="32" s="1"/>
  <c r="N92" i="32"/>
  <c r="O92" i="32" s="1"/>
  <c r="P92" i="32" s="1"/>
  <c r="Q92" i="32" s="1"/>
  <c r="E84" i="32"/>
  <c r="F76" i="32"/>
  <c r="E85" i="32"/>
  <c r="F77" i="32"/>
  <c r="AP97" i="32"/>
  <c r="AP33" i="32" s="1"/>
  <c r="AP34" i="32" s="1"/>
  <c r="D91" i="32"/>
  <c r="E91" i="32" s="1"/>
  <c r="F91" i="32" s="1"/>
  <c r="G91" i="32" s="1"/>
  <c r="C93" i="32"/>
  <c r="D84" i="32"/>
  <c r="V85" i="32"/>
  <c r="AZ97" i="32"/>
  <c r="AZ33" i="32" s="1"/>
  <c r="AZ34" i="32" s="1"/>
  <c r="X96" i="32"/>
  <c r="Y96" i="32" s="1"/>
  <c r="Z96" i="32" s="1"/>
  <c r="AA96" i="32" s="1"/>
  <c r="AT97" i="32"/>
  <c r="AT33" i="32" s="1"/>
  <c r="AT34" i="32" s="1"/>
  <c r="AL97" i="32"/>
  <c r="AL33" i="32" s="1"/>
  <c r="AL34" i="32" s="1"/>
  <c r="D99" i="32"/>
  <c r="E99" i="32" s="1"/>
  <c r="F99" i="32" s="1"/>
  <c r="G99" i="32" s="1"/>
  <c r="U85" i="32"/>
  <c r="AD84" i="32"/>
  <c r="AE76" i="32"/>
  <c r="AQ97" i="32"/>
  <c r="AQ33" i="32" s="1"/>
  <c r="AQ34" i="32" s="1"/>
  <c r="AC92" i="32"/>
  <c r="AD92" i="32" s="1"/>
  <c r="AE92" i="32" s="1"/>
  <c r="AF92" i="32" s="1"/>
  <c r="AB100" i="32"/>
  <c r="AC100" i="32" s="1"/>
  <c r="AD100" i="32" s="1"/>
  <c r="AE100" i="32" s="1"/>
  <c r="AF100" i="32" s="1"/>
  <c r="AB93" i="32"/>
  <c r="X92" i="32"/>
  <c r="Y92" i="32" s="1"/>
  <c r="Z92" i="32" s="1"/>
  <c r="AA92" i="32" s="1"/>
  <c r="AX97" i="32"/>
  <c r="AX33" i="32" s="1"/>
  <c r="AX34" i="32" s="1"/>
  <c r="J84" i="32"/>
  <c r="K76" i="32"/>
  <c r="AH97" i="32"/>
  <c r="AH33" i="32" s="1"/>
  <c r="AH34" i="32" s="1"/>
  <c r="N78" i="32"/>
  <c r="S84" i="32"/>
  <c r="T76" i="32"/>
  <c r="N82" i="32"/>
  <c r="O82" i="32" s="1"/>
  <c r="P82" i="32" s="1"/>
  <c r="Q82" i="32" s="1"/>
  <c r="AW97" i="32"/>
  <c r="AW33" i="32" s="1"/>
  <c r="AW34" i="32" s="1"/>
  <c r="AS97" i="32"/>
  <c r="AS33" i="32" s="1"/>
  <c r="AS34" i="32" s="1"/>
  <c r="N85" i="32"/>
  <c r="O77" i="32"/>
  <c r="D82" i="32"/>
  <c r="E82" i="32" s="1"/>
  <c r="F82" i="32" s="1"/>
  <c r="G82" i="32" s="1"/>
  <c r="AJ97" i="32"/>
  <c r="AJ33" i="32" s="1"/>
  <c r="AJ34" i="32" s="1"/>
  <c r="X78" i="32"/>
  <c r="S78" i="32"/>
  <c r="W97" i="32"/>
  <c r="W33" i="32" s="1"/>
  <c r="W34" i="32" s="1"/>
  <c r="H93" i="32"/>
  <c r="H97" i="32" s="1"/>
  <c r="H33" i="32" s="1"/>
  <c r="H34" i="32" s="1"/>
  <c r="AC78" i="32"/>
  <c r="AB97" i="32"/>
  <c r="AB33" i="32" s="1"/>
  <c r="AB34" i="32" s="1"/>
  <c r="D78" i="32"/>
  <c r="I78" i="32"/>
  <c r="I85" i="32"/>
  <c r="J77" i="32"/>
  <c r="S100" i="32"/>
  <c r="T100" i="32" s="1"/>
  <c r="U100" i="32" s="1"/>
  <c r="V100" i="32" s="1"/>
  <c r="X84" i="32"/>
  <c r="Y76" i="32"/>
  <c r="X99" i="32"/>
  <c r="Y99" i="32" s="1"/>
  <c r="Z99" i="32" s="1"/>
  <c r="AA99" i="32" s="1"/>
  <c r="S99" i="32"/>
  <c r="T99" i="32" s="1"/>
  <c r="U99" i="32" s="1"/>
  <c r="V99" i="32" s="1"/>
  <c r="AC99" i="32"/>
  <c r="AD99" i="32" s="1"/>
  <c r="AE99" i="32" s="1"/>
  <c r="AF99" i="32" s="1"/>
  <c r="O84" i="32"/>
  <c r="P76" i="32"/>
  <c r="Y85" i="32"/>
  <c r="Z77" i="32"/>
  <c r="R35" i="32"/>
  <c r="S93" i="32"/>
  <c r="AC85" i="32"/>
  <c r="AD77" i="32"/>
  <c r="AY97" i="32"/>
  <c r="AY33" i="32" s="1"/>
  <c r="AY34" i="32" s="1"/>
  <c r="X93" i="32"/>
  <c r="AG97" i="32"/>
  <c r="AG33" i="32" s="1"/>
  <c r="AG34" i="32" s="1"/>
  <c r="BA97" i="32"/>
  <c r="BA33" i="32" s="1"/>
  <c r="BA34" i="32" s="1"/>
  <c r="S96" i="32" l="1"/>
  <c r="T96" i="32" s="1"/>
  <c r="U96" i="32" s="1"/>
  <c r="V96" i="32" s="1"/>
  <c r="N96" i="32"/>
  <c r="O96" i="32" s="1"/>
  <c r="P96" i="32" s="1"/>
  <c r="Q96" i="32" s="1"/>
  <c r="X100" i="32"/>
  <c r="Y100" i="32" s="1"/>
  <c r="Z100" i="32" s="1"/>
  <c r="AA100" i="32" s="1"/>
  <c r="H35" i="32"/>
  <c r="AC93" i="32"/>
  <c r="AC97" i="32" s="1"/>
  <c r="AC33" i="32" s="1"/>
  <c r="AC34" i="32" s="1"/>
  <c r="AR97" i="32"/>
  <c r="AR33" i="32" s="1"/>
  <c r="AR34" i="32" s="1"/>
  <c r="AD85" i="32"/>
  <c r="AE77" i="32"/>
  <c r="Y84" i="32"/>
  <c r="Z76" i="32"/>
  <c r="W35" i="32"/>
  <c r="F85" i="32"/>
  <c r="G77" i="32"/>
  <c r="G85" i="32" s="1"/>
  <c r="Z85" i="32"/>
  <c r="AA77" i="32"/>
  <c r="AA85" i="32" s="1"/>
  <c r="P84" i="32"/>
  <c r="Q76" i="32"/>
  <c r="Q84" i="32" s="1"/>
  <c r="T78" i="32"/>
  <c r="S97" i="32"/>
  <c r="S33" i="32" s="1"/>
  <c r="S34" i="32" s="1"/>
  <c r="O85" i="32"/>
  <c r="P77" i="32"/>
  <c r="AE84" i="32"/>
  <c r="AF76" i="32"/>
  <c r="AF84" i="32" s="1"/>
  <c r="AD78" i="32"/>
  <c r="I93" i="32"/>
  <c r="I97" i="32" s="1"/>
  <c r="I33" i="32" s="1"/>
  <c r="I34" i="32" s="1"/>
  <c r="X97" i="32"/>
  <c r="X33" i="32" s="1"/>
  <c r="X34" i="32" s="1"/>
  <c r="Y78" i="32"/>
  <c r="O78" i="32"/>
  <c r="K84" i="32"/>
  <c r="L76" i="32"/>
  <c r="L84" i="32" s="1"/>
  <c r="M35" i="32"/>
  <c r="Y93" i="32"/>
  <c r="T93" i="32"/>
  <c r="F84" i="32"/>
  <c r="G76" i="32"/>
  <c r="G84" i="32" s="1"/>
  <c r="N93" i="32"/>
  <c r="J85" i="32"/>
  <c r="K77" i="32"/>
  <c r="J78" i="32"/>
  <c r="D93" i="32"/>
  <c r="C97" i="32"/>
  <c r="C33" i="32" s="1"/>
  <c r="C34" i="32" s="1"/>
  <c r="C35" i="32" s="1"/>
  <c r="E78" i="32"/>
  <c r="D97" i="32"/>
  <c r="D33" i="32" s="1"/>
  <c r="D34" i="32" s="1"/>
  <c r="T84" i="32"/>
  <c r="U76" i="32"/>
  <c r="P85" i="32" l="1"/>
  <c r="Q77" i="32"/>
  <c r="Q85" i="32" s="1"/>
  <c r="AE85" i="32"/>
  <c r="AF77" i="32"/>
  <c r="AF85" i="32" s="1"/>
  <c r="U93" i="32"/>
  <c r="O93" i="32"/>
  <c r="J93" i="32"/>
  <c r="J97" i="32" s="1"/>
  <c r="J33" i="32" s="1"/>
  <c r="J34" i="32" s="1"/>
  <c r="AD93" i="32"/>
  <c r="AD97" i="32" s="1"/>
  <c r="AD33" i="32" s="1"/>
  <c r="AD34" i="32" s="1"/>
  <c r="Z93" i="32"/>
  <c r="N97" i="32"/>
  <c r="N33" i="32" s="1"/>
  <c r="N34" i="32" s="1"/>
  <c r="S35" i="32"/>
  <c r="D35" i="32"/>
  <c r="E93" i="32"/>
  <c r="E97" i="32" s="1"/>
  <c r="E33" i="32" s="1"/>
  <c r="E34" i="32" s="1"/>
  <c r="I35" i="32"/>
  <c r="P78" i="32"/>
  <c r="O97" i="32"/>
  <c r="O33" i="32" s="1"/>
  <c r="O34" i="32" s="1"/>
  <c r="T97" i="32"/>
  <c r="T33" i="32" s="1"/>
  <c r="T34" i="32" s="1"/>
  <c r="U78" i="32"/>
  <c r="F78" i="32"/>
  <c r="K78" i="32"/>
  <c r="U84" i="32"/>
  <c r="V76" i="32"/>
  <c r="V84" i="32" s="1"/>
  <c r="K85" i="32"/>
  <c r="L77" i="32"/>
  <c r="L85" i="32" s="1"/>
  <c r="Y97" i="32"/>
  <c r="Y33" i="32" s="1"/>
  <c r="Y34" i="32" s="1"/>
  <c r="Z78" i="32"/>
  <c r="AE78" i="32"/>
  <c r="Z84" i="32"/>
  <c r="AA76" i="32"/>
  <c r="AA84" i="32" s="1"/>
  <c r="T35" i="32" l="1"/>
  <c r="Q78" i="32"/>
  <c r="F93" i="32"/>
  <c r="N35" i="32"/>
  <c r="AA93" i="32"/>
  <c r="V93" i="32"/>
  <c r="AF78" i="32"/>
  <c r="E35" i="32"/>
  <c r="P93" i="32"/>
  <c r="J35" i="32"/>
  <c r="F97" i="32"/>
  <c r="F33" i="32" s="1"/>
  <c r="F34" i="32" s="1"/>
  <c r="G78" i="32"/>
  <c r="Z97" i="32"/>
  <c r="Z33" i="32" s="1"/>
  <c r="Z34" i="32" s="1"/>
  <c r="AA78" i="32"/>
  <c r="AA97" i="32" s="1"/>
  <c r="AA33" i="32" s="1"/>
  <c r="AA34" i="32" s="1"/>
  <c r="L78" i="32"/>
  <c r="AE93" i="32"/>
  <c r="V78" i="32"/>
  <c r="U97" i="32"/>
  <c r="U33" i="32" s="1"/>
  <c r="U34" i="32" s="1"/>
  <c r="O35" i="32"/>
  <c r="K93" i="32"/>
  <c r="K97" i="32" s="1"/>
  <c r="K33" i="32" s="1"/>
  <c r="K34" i="32" s="1"/>
  <c r="V97" i="32" l="1"/>
  <c r="V33" i="32" s="1"/>
  <c r="V34" i="32" s="1"/>
  <c r="K35" i="32"/>
  <c r="AF93" i="32"/>
  <c r="AE97" i="32"/>
  <c r="AE33" i="32" s="1"/>
  <c r="AE34" i="32" s="1"/>
  <c r="AF97" i="32"/>
  <c r="AF33" i="32" s="1"/>
  <c r="AF34" i="32" s="1"/>
  <c r="U35" i="32"/>
  <c r="F35" i="32"/>
  <c r="Q93" i="32"/>
  <c r="Q97" i="32" s="1"/>
  <c r="Q33" i="32" s="1"/>
  <c r="Q34" i="32" s="1"/>
  <c r="P97" i="32"/>
  <c r="P33" i="32" s="1"/>
  <c r="P34" i="32" s="1"/>
  <c r="V35" i="32"/>
  <c r="L93" i="32"/>
  <c r="G93" i="32"/>
  <c r="Q35" i="32" l="1"/>
  <c r="L97" i="32"/>
  <c r="L33" i="32" s="1"/>
  <c r="L34" i="32" s="1"/>
  <c r="P35" i="32"/>
  <c r="G97" i="32"/>
  <c r="G33" i="32" s="1"/>
  <c r="G34" i="32" s="1"/>
  <c r="G35" i="32" l="1"/>
  <c r="L35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A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Derived from...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Derived from…</t>
        </r>
      </text>
    </comment>
    <comment ref="E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Speculative BAT</t>
        </r>
      </text>
    </comment>
  </commentList>
</comments>
</file>

<file path=xl/sharedStrings.xml><?xml version="1.0" encoding="utf-8"?>
<sst xmlns="http://schemas.openxmlformats.org/spreadsheetml/2006/main" count="1244" uniqueCount="283">
  <si>
    <t>x</t>
  </si>
  <si>
    <t>Electricity</t>
  </si>
  <si>
    <t>Rail</t>
  </si>
  <si>
    <t>Total</t>
  </si>
  <si>
    <t>1ktoe</t>
  </si>
  <si>
    <t>data sources</t>
  </si>
  <si>
    <t>Description</t>
  </si>
  <si>
    <t>How this page works</t>
  </si>
  <si>
    <t>categories</t>
  </si>
  <si>
    <t>diesel trains</t>
  </si>
  <si>
    <t>find freight kms travelled</t>
  </si>
  <si>
    <t>electric rail exergy efficiency</t>
  </si>
  <si>
    <t>Summary results</t>
  </si>
  <si>
    <t>This page produces the time-series exergy conversion efficiencies for rail vehicles</t>
  </si>
  <si>
    <t>MJ</t>
  </si>
  <si>
    <t>1 toe</t>
  </si>
  <si>
    <t>y1</t>
  </si>
  <si>
    <t>y2</t>
  </si>
  <si>
    <t>http://www.rita.dot.gov/bts/sites/rita.dot.gov.bts/files/publications/national_transportation_statistics/index.html</t>
  </si>
  <si>
    <t>Average miles traveled per gallon</t>
  </si>
  <si>
    <t>Table 4-5:  Fuel Consumption by Mode of Transportation in Physical Units</t>
  </si>
  <si>
    <t>N</t>
  </si>
  <si>
    <t>U</t>
  </si>
  <si>
    <t>Rail, Class I (in freight service)</t>
  </si>
  <si>
    <t>Distillate / diesel fuel (million gallons)</t>
  </si>
  <si>
    <t>Amtrak</t>
  </si>
  <si>
    <t>Electricity  (million kWh)</t>
  </si>
  <si>
    <t>National Transportation Statistics</t>
  </si>
  <si>
    <t xml:space="preserve">Table 1-35: U.S. Vehicle-Miles (Millions) </t>
  </si>
  <si>
    <t>Light rail</t>
  </si>
  <si>
    <t>Heavy rail</t>
  </si>
  <si>
    <t>Commuter rail</t>
  </si>
  <si>
    <t>Class I freight, train-miles</t>
  </si>
  <si>
    <t>Class I freight, car-miles</t>
  </si>
  <si>
    <t>Intercity/Amtrakh, train-miles</t>
  </si>
  <si>
    <t>Intercity/Amtrakh, car-miles</t>
  </si>
  <si>
    <t>Total train-milesi</t>
  </si>
  <si>
    <t>KEY:  N = data do not exist; R = revised; U = data are unavailable.</t>
  </si>
  <si>
    <t>Table 4-6:  Energy Consumption by Mode of Transportation (Trillion Btu)</t>
  </si>
  <si>
    <t>Distillate / diesel fuel</t>
  </si>
  <si>
    <t>Table 4-17:  Class I Rail Freight Fuel Consumption and Travel</t>
  </si>
  <si>
    <t>Number in use</t>
  </si>
  <si>
    <t>Locomotivesa</t>
  </si>
  <si>
    <t>Freight carsb</t>
  </si>
  <si>
    <t>Miles traveled (millions)</t>
  </si>
  <si>
    <t>Freight train-milesc</t>
  </si>
  <si>
    <t>Locomotive unit-miles</t>
  </si>
  <si>
    <t>Freight car-miles</t>
  </si>
  <si>
    <t>Freight trains</t>
  </si>
  <si>
    <t>Freight cars</t>
  </si>
  <si>
    <t>Fuel consumed (million gallons)d</t>
  </si>
  <si>
    <t>Revenue ton-miles per gallon of fuel consumed</t>
  </si>
  <si>
    <t>Average miles traveled per locomotive (thousands)</t>
  </si>
  <si>
    <t>Average fuel consumed per locomotivea (thousand gallons)</t>
  </si>
  <si>
    <t xml:space="preserve">Table 4-18:  Amtrak Fuel Consumption and Travel </t>
  </si>
  <si>
    <t>Locomotives</t>
  </si>
  <si>
    <t>Cars</t>
  </si>
  <si>
    <t>Train-miles</t>
  </si>
  <si>
    <t>Car-miles</t>
  </si>
  <si>
    <t>Train Energy Consumption</t>
  </si>
  <si>
    <t>Electric (million of kWhs)</t>
  </si>
  <si>
    <t>Average miles traveled per car (thousands)</t>
  </si>
  <si>
    <r>
      <t xml:space="preserve">KEY:  </t>
    </r>
    <r>
      <rPr>
        <sz val="9"/>
        <rFont val="Arial"/>
        <family val="2"/>
      </rPr>
      <t>kWh = kilowatt hour.</t>
    </r>
  </si>
  <si>
    <t>SOURCES</t>
  </si>
  <si>
    <t>Number of locomotives and cars:</t>
  </si>
  <si>
    <r>
      <t>1975–80: National Passenger Railroad Corporation (Amtrak), State and Local Affairs Department, personal communication.</t>
    </r>
    <r>
      <rPr>
        <b/>
        <sz val="8"/>
        <rFont val="Arial"/>
        <family val="2"/>
      </rPr>
      <t/>
    </r>
  </si>
  <si>
    <r>
      <t xml:space="preserve">1985–2000: Ibid., </t>
    </r>
    <r>
      <rPr>
        <i/>
        <sz val="9"/>
        <rFont val="Arial"/>
        <family val="2"/>
      </rPr>
      <t>Amtrak Annual Report</t>
    </r>
    <r>
      <rPr>
        <sz val="9"/>
        <rFont val="Arial"/>
        <family val="2"/>
      </rPr>
      <t>, Statistical Appendix (Washington, DC: Annual Issues).</t>
    </r>
  </si>
  <si>
    <r>
      <t xml:space="preserve">2001–11: Association of American Railroads, </t>
    </r>
    <r>
      <rPr>
        <i/>
        <sz val="9"/>
        <rFont val="Arial"/>
        <family val="2"/>
      </rPr>
      <t xml:space="preserve">Railroad Facts </t>
    </r>
    <r>
      <rPr>
        <sz val="9"/>
        <rFont val="Arial"/>
        <family val="2"/>
      </rPr>
      <t>(Washington, DC: Annual Issues), p. 77 and similar pages in earlier editions.</t>
    </r>
  </si>
  <si>
    <t>Miles traveled:</t>
  </si>
  <si>
    <t xml:space="preserve">Train-miles: </t>
  </si>
  <si>
    <r>
      <t xml:space="preserve">1975–2002: National Passenger Railroad Corporation (Amtrak), </t>
    </r>
    <r>
      <rPr>
        <i/>
        <sz val="9"/>
        <rFont val="Arial"/>
        <family val="2"/>
      </rPr>
      <t xml:space="preserve">Amtrak Annual Report, </t>
    </r>
    <r>
      <rPr>
        <sz val="9"/>
        <rFont val="Arial"/>
        <family val="2"/>
      </rPr>
      <t>Statistical Appendix (Washington, DC: Annual Issues).</t>
    </r>
  </si>
  <si>
    <r>
      <t xml:space="preserve">2003–11: Association of American Railroads, </t>
    </r>
    <r>
      <rPr>
        <i/>
        <sz val="9"/>
        <rFont val="Arial"/>
        <family val="2"/>
      </rPr>
      <t xml:space="preserve">Railroad Facts </t>
    </r>
    <r>
      <rPr>
        <sz val="9"/>
        <rFont val="Arial"/>
        <family val="2"/>
      </rPr>
      <t>(Washington, DC: Annual Issues), p. 77 and similar pages in earlier editions.</t>
    </r>
  </si>
  <si>
    <t>Car-miles:</t>
  </si>
  <si>
    <r>
      <t xml:space="preserve">1975: Association of American Railroads, </t>
    </r>
    <r>
      <rPr>
        <i/>
        <sz val="9"/>
        <rFont val="Arial"/>
        <family val="2"/>
      </rPr>
      <t xml:space="preserve">Yearbook of Railroad Facts 1975 </t>
    </r>
    <r>
      <rPr>
        <sz val="9"/>
        <rFont val="Arial"/>
        <family val="2"/>
      </rPr>
      <t>(Washington, DC: 1976), p. 40.</t>
    </r>
  </si>
  <si>
    <t xml:space="preserve">1980–85: National Passenger Railroad Corporation (Amtrak), State and Local Affairs Department and Public Affairs Department, personal communication. </t>
  </si>
  <si>
    <t>1990–2000: Ibid., Amtrak Corporate Reporting, Route Profitability System, personal communication, Aug. 22, 2001.</t>
  </si>
  <si>
    <t>Locomotive fuel consumed:</t>
  </si>
  <si>
    <t>1975-2000: National Passenger Railroad Corporation (Amtrak), State and Local Affairs Department, personal communication.</t>
  </si>
  <si>
    <t>2001-11: National Passenger Railroad Corporation (Amtrak), personal communications, Apr. 20, 2011, and May 9, 2013.</t>
  </si>
  <si>
    <t>US Vehicle miles (Million)</t>
  </si>
  <si>
    <t>Total car miles</t>
  </si>
  <si>
    <t>1 US gallon = 146.3 megajoules –</t>
  </si>
  <si>
    <t>1kWh</t>
  </si>
  <si>
    <t>J</t>
  </si>
  <si>
    <t>1US Gallon</t>
  </si>
  <si>
    <t>kWh</t>
  </si>
  <si>
    <t>Gallon US</t>
  </si>
  <si>
    <t>Electricity  (million US Gallons</t>
  </si>
  <si>
    <t>fuel economy mpUSg (car miles)</t>
  </si>
  <si>
    <t>Total train (loco) miles (Million)</t>
  </si>
  <si>
    <t>fuel economy mpUSg (train miles)</t>
  </si>
  <si>
    <t xml:space="preserve">, </t>
  </si>
  <si>
    <t>fuel economy US Gallon mpg (car miles)</t>
  </si>
  <si>
    <t>train exergy efficiency y = 10log (mpUSg) car miles</t>
  </si>
  <si>
    <t>train exergy efficiency y =10log (10mpUSg) car miles</t>
  </si>
  <si>
    <t>y3</t>
  </si>
  <si>
    <t>y4</t>
  </si>
  <si>
    <t>train exergy efficiency y =10log (20mpUSg) car miles</t>
  </si>
  <si>
    <t>average</t>
  </si>
  <si>
    <t>Average train car mpUSg</t>
  </si>
  <si>
    <t>y5</t>
  </si>
  <si>
    <t>train exergy efficiency y =10log (15mpUSg) car miles</t>
  </si>
  <si>
    <t>Conversion units</t>
  </si>
  <si>
    <t>find passenger train kms travelled (Amtrak)</t>
  </si>
  <si>
    <t>find fuel use in gallons for freight and passengar cars</t>
  </si>
  <si>
    <t>calculate train economy fuel use mpUSg - for cars (not locos)</t>
  </si>
  <si>
    <t>MkWh</t>
  </si>
  <si>
    <t>1toe</t>
  </si>
  <si>
    <t>y6</t>
  </si>
  <si>
    <t>8mpg = 20%; 85mpg = 36%</t>
  </si>
  <si>
    <t>linear plot y = 2.5mpg</t>
  </si>
  <si>
    <t>train exergy efficiency y =15log (3mpUSg) car miles</t>
  </si>
  <si>
    <t>UK - average diesel train fuel economy  mpUSg (per car)</t>
  </si>
  <si>
    <t>average no of cars per loco</t>
  </si>
  <si>
    <t>average no of cars per loco engine</t>
  </si>
  <si>
    <t>Diesel</t>
  </si>
  <si>
    <t>UK gallons</t>
  </si>
  <si>
    <t>US Gallons</t>
  </si>
  <si>
    <t>Gallon (UK)</t>
  </si>
  <si>
    <t>Gallon (US)</t>
  </si>
  <si>
    <t>Electric (Gallons (US)</t>
  </si>
  <si>
    <t>Diesel (million US gallons)</t>
  </si>
  <si>
    <t>total elect+diesel Million US Gallons</t>
  </si>
  <si>
    <t>average cars per loco engine</t>
  </si>
  <si>
    <t>not applicable - trains are &lt;1% from electricity so all fuel taken as diesel and converted to diesel engine efficiency</t>
  </si>
  <si>
    <t>y7</t>
  </si>
  <si>
    <t>train exergy efficiency y =19.5log (1.5mpUSg) car miles</t>
  </si>
  <si>
    <t>freight trains - average cars per loco</t>
  </si>
  <si>
    <t>Amtrak passenger trains - average cars per loco</t>
  </si>
  <si>
    <t>coal / steam 17% of electric/rail exergy efficiency assume same after 1981</t>
  </si>
  <si>
    <t>US steam train assumed exergy efficiency</t>
  </si>
  <si>
    <t>UK steam train assumed exergy efficiency</t>
  </si>
  <si>
    <t xml:space="preserve">  </t>
  </si>
  <si>
    <t>UK diesel car exergy efficiency, y = 50(1-e^-0.065x)</t>
  </si>
  <si>
    <t>US diesel car exergy efficiency, y = 50(1-e^-0.065x)</t>
  </si>
  <si>
    <t>start point 1970 22% Reistad, 8mpg</t>
  </si>
  <si>
    <t>UK electric car exergy efficiency, y = 50(1-e^-0.065x)</t>
  </si>
  <si>
    <t>diesel car exergy efficiency, y = 50(1-e^-0.075x)</t>
  </si>
  <si>
    <t>total economy mpUSg (train miles)</t>
  </si>
  <si>
    <t>From Table 1-35 https://www.bts.gov/archive/publications/national_transportation_statistics/table_01_35 search at https://search.usa.gov/search?query=table+1-35&amp;op=GO&amp;affiliate=dot-bts</t>
  </si>
  <si>
    <t>How many kWh in 1 gallon [U.S.] of diesel oil? The answer is 40.7. We assume you are converting between kilowatt hour and gallon [U.S.] of diesel oil</t>
  </si>
  <si>
    <t>Rail - Freight (diesel, mpg)</t>
  </si>
  <si>
    <t>Electricity  (million kWh converted to Million gallons / 0.40 power station eff to be equivalent upstream diesel)</t>
  </si>
  <si>
    <t>total equivalent diesel fuel for Amtrak, million gallons</t>
  </si>
  <si>
    <t>Rail - passenger (diesel equiv, mpg)</t>
  </si>
  <si>
    <t>Rail - overall (total diesel equiv, mpg)</t>
  </si>
  <si>
    <t>Rail - Freight share of train miles</t>
  </si>
  <si>
    <t>Rail - passenger (electricity, mpg)</t>
  </si>
  <si>
    <t>steam train</t>
  </si>
  <si>
    <t>diesel train</t>
  </si>
  <si>
    <t>engine eff. c.1970</t>
  </si>
  <si>
    <t>post-engine loss factor</t>
  </si>
  <si>
    <t>f-u eta, 1970</t>
  </si>
  <si>
    <t>diesel engines achiveed 35% by 1970, but older train stock so take 30% av. Fleet engine efficiency</t>
  </si>
  <si>
    <t>diesel train exergy efficiency, y = 50(1-e^-1.0x)</t>
  </si>
  <si>
    <t>diesel train exergy efficiency, y = 50(1-e^-0.2x)</t>
  </si>
  <si>
    <t>diesel train exergy efficiency, y = 50(1-e^-0.4x)</t>
  </si>
  <si>
    <t>diesel train exergy efficiency, y = 50(1-e^-0.6x)</t>
  </si>
  <si>
    <t>diesel train exergy efficiency, y = 50(1-e^-0.8x)</t>
  </si>
  <si>
    <t>fuel economy US Gallon mpg (train miles)</t>
  </si>
  <si>
    <t>Uk pass diesel rail</t>
  </si>
  <si>
    <t>US rail (90% freight)</t>
  </si>
  <si>
    <t>Uk electric pass rail</t>
  </si>
  <si>
    <t>US diesel train exergy efficiency, y = 50(1-e^-0.6x)</t>
  </si>
  <si>
    <t>Average diesel train mpUSg (90% freight)</t>
  </si>
  <si>
    <t>s/s</t>
  </si>
  <si>
    <t>find total (frieght and passenger) miles travelled</t>
  </si>
  <si>
    <t>find fuel use in US gallons for freight + pass trains</t>
  </si>
  <si>
    <t>calculate train economy fuel use mpUSg - for whole train</t>
  </si>
  <si>
    <t>terminal diesel train engine efficiency = 50%</t>
  </si>
  <si>
    <t xml:space="preserve">take coal / steam train efficiency = 5% = quarter of UK diesel passenger train (20%) </t>
  </si>
  <si>
    <t xml:space="preserve">US steam train assumed 5% static eta efficiency = quarter of Uk diesel passenger train </t>
  </si>
  <si>
    <t>electric train eta n/a for US as &lt;1% of all train fuel</t>
  </si>
  <si>
    <t>http://www.brooklynrail.net/science_of_railway_locomotion.html</t>
  </si>
  <si>
    <t>https://etheses.bham.ac.uk/id/eprint/5496/1/Wang14MRes.pdf</t>
  </si>
  <si>
    <t>diesel train ~ 100% - engine (60%) losses = 40% engine efficiency x 0.8 (removing comfort losses) ~ 30%</t>
  </si>
  <si>
    <t>electric train eta ~ (aero + rolling + braking) losses ~ 80%</t>
  </si>
  <si>
    <t>target point 1970 diesel (UK) train = 25% Reistad 1970 (35% engine x 0.7 losses) and 30% Wang 2010 ICCT</t>
  </si>
  <si>
    <t>US diesel train exergy efficiency, y = 50(1-e^-1.0x)</t>
  </si>
  <si>
    <t>electric train exergy efficiency, y = 80(1-e^-0.4x)</t>
  </si>
  <si>
    <t>Machine</t>
  </si>
  <si>
    <t>Country</t>
  </si>
  <si>
    <t>USA</t>
  </si>
  <si>
    <t>Eu.product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</si>
  <si>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</si>
  <si>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</si>
  <si>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</si>
  <si>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</si>
  <si>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</si>
  <si>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</si>
  <si>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</si>
  <si>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</si>
  <si>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Steam trains</t>
  </si>
  <si>
    <t>https://www.advanced-steam.org/5at/technical-terms/steam-loco-definitions/thermal-efficiency/</t>
  </si>
  <si>
    <t>Year</t>
  </si>
  <si>
    <t>Efficiency [-]</t>
  </si>
  <si>
    <t>Type of Efficiency Data</t>
  </si>
  <si>
    <t>Source/Method</t>
  </si>
  <si>
    <r>
      <t>Wardale, David. </t>
    </r>
    <r>
      <rPr>
        <i/>
        <sz val="10"/>
        <color rgb="FF222222"/>
        <rFont val="Arial"/>
        <family val="2"/>
      </rPr>
      <t>The Red Devil and Other Tales from the Age of Steam</t>
    </r>
    <r>
      <rPr>
        <sz val="10"/>
        <color rgb="FF222222"/>
        <rFont val="Arial"/>
        <family val="2"/>
      </rPr>
      <t>. Camden Miniature Steam Services, 2013.</t>
    </r>
  </si>
  <si>
    <t>?</t>
  </si>
  <si>
    <t>CHN</t>
  </si>
  <si>
    <t>https://www.internationalsteam.co.uk/trains/newsteam/modern50.htm</t>
  </si>
  <si>
    <t>Thermodynamique et locomotives à vapeur. B. Escudié, J. Gréa &amp; J-M. Combe. CNRS, 1989</t>
  </si>
  <si>
    <t>http://www.martynbane.co.uk/modernsteam/ldp/argentina/arg.htm</t>
  </si>
  <si>
    <t>Thermal Efficiency [-]</t>
  </si>
  <si>
    <t>Escudié et al (1989)</t>
  </si>
  <si>
    <t>Held constant</t>
  </si>
  <si>
    <t>Linear interpolation</t>
  </si>
  <si>
    <t>FRA</t>
  </si>
  <si>
    <t>BAT</t>
  </si>
  <si>
    <t>http://trainweb.org/tusp/libra.html</t>
  </si>
  <si>
    <t>Representative machine</t>
  </si>
  <si>
    <t>Rhodes (2020) - Steam vs. Diesel: A comparison of modern steam and diesel in the Class I railroad environment</t>
  </si>
  <si>
    <t>Rhodes (2020)</t>
  </si>
  <si>
    <r>
      <t xml:space="preserve">Bond, R.C., 1963. A Commentary on the Change from Steam Traction on Great Britain's Railways, and Some Thoughts on the Future. </t>
    </r>
    <r>
      <rPr>
        <i/>
        <sz val="11"/>
        <rFont val="Calibri"/>
        <family val="2"/>
      </rPr>
      <t>Proceedings of the Institution of Mechanical Engineers</t>
    </r>
    <r>
      <rPr>
        <sz val="11"/>
        <rFont val="Calibri"/>
        <family val="2"/>
      </rPr>
      <t xml:space="preserve">, </t>
    </r>
    <r>
      <rPr>
        <i/>
        <sz val="11"/>
        <rFont val="Calibri"/>
        <family val="2"/>
      </rPr>
      <t>178</t>
    </r>
    <r>
      <rPr>
        <sz val="11"/>
        <rFont val="Calibri"/>
        <family val="2"/>
      </rPr>
      <t>(1), pp.1-26.</t>
    </r>
  </si>
  <si>
    <t>diesel and steam as expected c. 1960</t>
  </si>
  <si>
    <t>Note: the QJ is a real chinese train c. 1990</t>
  </si>
  <si>
    <t>Note: the 8AT is a proposed train, not a real train</t>
  </si>
  <si>
    <t>So, take 6% as average drawbar efficiency</t>
  </si>
  <si>
    <t>So, take average of 6% efficiency in 1948</t>
  </si>
  <si>
    <t>This seems an outlier: all the other refs refer to train technology being stuck at 1960 levels of 6% efficiency</t>
  </si>
  <si>
    <t>typical steam train efficiencies in the 1950s were 5-6%</t>
  </si>
  <si>
    <t>Average, 6.5% c.1960</t>
  </si>
  <si>
    <t>Take average from multiple sources</t>
  </si>
  <si>
    <t>Blacklock 1921</t>
  </si>
  <si>
    <t>Bond 1963</t>
  </si>
  <si>
    <t>Rhodes 2020</t>
  </si>
  <si>
    <t>1930-1960</t>
  </si>
  <si>
    <t>Iden 2019</t>
  </si>
  <si>
    <t>Trainweb, c. 2000</t>
  </si>
  <si>
    <t>1960-2020</t>
  </si>
  <si>
    <t>@inproceedings{iden2019us,</t>
  </si>
  <si>
    <t xml:space="preserve">  title={US Freight Rail Fuel Efficiency: 1920-2015 Review and Discussion of Future Trends},</t>
  </si>
  <si>
    <t xml:space="preserve">  author={Iden, Michael E},</t>
  </si>
  <si>
    <t xml:space="preserve">  booktitle={ASME/IEEE Joint Rail Conference},</t>
  </si>
  <si>
    <t xml:space="preserve">  volume={58523},</t>
  </si>
  <si>
    <t xml:space="preserve">  pages={V001T07A002},</t>
  </si>
  <si>
    <t xml:space="preserve">  year={2019},</t>
  </si>
  <si>
    <t xml:space="preserve">  organization={American Society of Mechanical Engineers}</t>
  </si>
  <si>
    <t>}</t>
  </si>
  <si>
    <t xml:space="preserve">  doi = {10.1115/JRC2019-1296
},</t>
  </si>
  <si>
    <t>@article{bond1963commentary,</t>
  </si>
  <si>
    <t xml:space="preserve">  title={A Commentary on the Change from Steam Traction on Great Britain's Railways, and Some Thoughts on the Future},</t>
  </si>
  <si>
    <t xml:space="preserve">  author={Bond, RC},</t>
  </si>
  <si>
    <t xml:space="preserve">  journal={Proceedings of the Institution of Mechanical Engineers},</t>
  </si>
  <si>
    <t xml:space="preserve">  volume={178},</t>
  </si>
  <si>
    <t xml:space="preserve">  number={1},</t>
  </si>
  <si>
    <t xml:space="preserve">  pages={1--26},</t>
  </si>
  <si>
    <t xml:space="preserve">  year={1963},</t>
  </si>
  <si>
    <t xml:space="preserve">  publisher={SAGE Publications Sage UK: London, England}</t>
  </si>
  <si>
    <t xml:space="preserve">  url = {https://journals.sagepub.com/doi/pdf/10.1177/002034836317800101},</t>
  </si>
  <si>
    <t>@incollection{newman2008feasibility,</t>
  </si>
  <si>
    <t xml:space="preserve">  title={Feasibility of Steam Traction for Coal Transportation in Developing Countries},</t>
  </si>
  <si>
    <t xml:space="preserve">  author={Newman, Chris and others},</t>
  </si>
  <si>
    <t xml:space="preserve">  booktitle={CORE 2008: Rail; The Core of Integrated Transport},</t>
  </si>
  <si>
    <t xml:space="preserve">  pages={667--680},</t>
  </si>
  <si>
    <t xml:space="preserve">  year={2008},</t>
  </si>
  <si>
    <t xml:space="preserve">  publisher={Railway Technical Society of Australasia: Engineers Australia Perth}</t>
  </si>
  <si>
    <t xml:space="preserve">  url = {https://www.advanced-steam.org/wp-content/uploads/2017/07/Feasibility-of-Steam-Traction-of-Coal-Haulage-in-Developing-Countries-Ver-2h-resistance-units-corrected.pdf},</t>
  </si>
  <si>
    <t xml:space="preserve"> @misc{Rhodes2020steam,</t>
  </si>
  <si>
    <t xml:space="preserve">  title={Steam vs. Diesel: A comparison of modern steam and diesel in the Class I railroad environment},</t>
  </si>
  <si>
    <t xml:space="preserve">  author={Rhodes, John},</t>
  </si>
  <si>
    <t xml:space="preserve">  year={2020},</t>
  </si>
  <si>
    <t xml:space="preserve">  url = {https://www.internationalsteam.co.uk/trains/newsteam/modern50.htm},</t>
  </si>
  <si>
    <t>@article{blacklock1921notes,</t>
  </si>
  <si>
    <t xml:space="preserve">  title={Notes on Locomotive Efficiency},</t>
  </si>
  <si>
    <t xml:space="preserve">  author={Blacklock, M},</t>
  </si>
  <si>
    <t xml:space="preserve">  journal={Journal of the Institution of Locomotive Engineers},</t>
  </si>
  <si>
    <t xml:space="preserve">  volume={11},</t>
  </si>
  <si>
    <t xml:space="preserve">  number={49},</t>
  </si>
  <si>
    <t xml:space="preserve">  pages={379--411},</t>
  </si>
  <si>
    <t xml:space="preserve">  year={1921},</t>
  </si>
  <si>
    <t xml:space="preserve">  url = {https://journals.sagepub.com/doi/pdf/10.1243/JILE_PROC_1921_011_028_02},</t>
  </si>
  <si>
    <t>Newman 2008</t>
  </si>
  <si>
    <t>Efficiency</t>
  </si>
  <si>
    <t>RaP</t>
  </si>
  <si>
    <t>WRLD</t>
  </si>
  <si>
    <t>Trainweb (2021) - Steam Locomotive Information Resources</t>
  </si>
  <si>
    <t>@misc{trainweb2021,</t>
  </si>
  <si>
    <t xml:space="preserve">  title={Steam Locomotive Information Resources},</t>
  </si>
  <si>
    <t xml:space="preserve">  author={Trainweb},</t>
  </si>
  <si>
    <t xml:space="preserve">  year={2021},</t>
  </si>
  <si>
    <t xml:space="preserve">  url = {http://trainweb.org/tusp/libra.html},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</si>
</sst>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0.0"/>
    <numFmt numFmtId="165" formatCode="#,##0.0"/>
    <numFmt numFmtId="166" formatCode="0.0%"/>
    <numFmt numFmtId="167" formatCode="_-[$€-2]* #,##0.00_-;\-[$€-2]* #,##0.00_-;_-[$€-2]* &quot;-&quot;??_-"/>
    <numFmt numFmtId="168" formatCode="[&gt;0.5]#,##0;[&lt;-0.5]\-#,##0;\-"/>
    <numFmt numFmtId="169" formatCode="_(* #,##0.00_);_(* \(#,##0.00\);_(* &quot;-&quot;??_);_(@_)"/>
    <numFmt numFmtId="170" formatCode="###0.00_)"/>
    <numFmt numFmtId="171" formatCode="#,##0_)"/>
    <numFmt numFmtId="172" formatCode="_(* #,##0.0_);_(* \(#,##0.0\);_(* &quot;-&quot;??_);_(@_)"/>
    <numFmt numFmtId="173" formatCode="0.0_W"/>
    <numFmt numFmtId="174" formatCode="_-* #,##0.00_-;_-* #,##0.00\-;_-* &quot;-&quot;??_-;_-@_-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u/>
      <sz val="8.1999999999999993"/>
      <color indexed="12"/>
      <name val="Times New Roman"/>
      <family val="1"/>
    </font>
    <font>
      <sz val="12"/>
      <name val="Arial"/>
      <family val="2"/>
    </font>
    <font>
      <sz val="14"/>
      <name val="Arial"/>
      <family val="2"/>
    </font>
    <font>
      <u/>
      <sz val="9"/>
      <color indexed="12"/>
      <name val="Arial"/>
      <family val="2"/>
    </font>
    <font>
      <sz val="10"/>
      <name val="Tms Rmn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 Cyr"/>
      <charset val="204"/>
    </font>
    <font>
      <sz val="11"/>
      <color indexed="9"/>
      <name val="Calibri"/>
      <family val="2"/>
    </font>
    <font>
      <sz val="9"/>
      <name val="Times New Roman"/>
      <family val="1"/>
    </font>
    <font>
      <sz val="11"/>
      <color indexed="20"/>
      <name val="Calibri"/>
      <family val="2"/>
    </font>
    <font>
      <b/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Tms Rmn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i/>
      <sz val="12"/>
      <name val="Times New Roman"/>
      <family val="1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2"/>
      <name val="Arial"/>
      <family val="2"/>
    </font>
    <font>
      <b/>
      <u/>
      <sz val="10"/>
      <color indexed="21"/>
      <name val="Arial"/>
      <family val="2"/>
    </font>
    <font>
      <sz val="12"/>
      <color theme="1"/>
      <name val="Arial"/>
      <family val="2"/>
    </font>
    <font>
      <sz val="10"/>
      <color rgb="FF9C0006"/>
      <name val="Arial"/>
      <family val="2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2"/>
      <name val="Helv"/>
    </font>
    <font>
      <b/>
      <sz val="12"/>
      <name val="Helv"/>
    </font>
    <font>
      <sz val="9"/>
      <name val="Helv"/>
    </font>
    <font>
      <vertAlign val="superscript"/>
      <sz val="12"/>
      <name val="Helv"/>
    </font>
    <font>
      <sz val="10"/>
      <name val="Helv"/>
    </font>
    <font>
      <sz val="8"/>
      <name val="Helv"/>
    </font>
    <font>
      <b/>
      <sz val="18"/>
      <name val="Arial"/>
      <family val="2"/>
    </font>
    <font>
      <b/>
      <sz val="9"/>
      <name val="Helv"/>
    </font>
    <font>
      <sz val="8.5"/>
      <name val="Helv"/>
    </font>
    <font>
      <b/>
      <sz val="10"/>
      <name val="Helv"/>
    </font>
    <font>
      <b/>
      <sz val="14"/>
      <name val="Helv"/>
    </font>
    <font>
      <b/>
      <sz val="11"/>
      <name val="Arial Narrow"/>
      <family val="2"/>
    </font>
    <font>
      <sz val="11"/>
      <name val="Arial Narrow"/>
      <family val="2"/>
    </font>
    <font>
      <b/>
      <sz val="9"/>
      <name val="Arial"/>
      <family val="2"/>
    </font>
    <font>
      <b/>
      <sz val="8"/>
      <name val="Arial"/>
      <family val="2"/>
    </font>
    <font>
      <i/>
      <sz val="9"/>
      <name val="Arial"/>
      <family val="2"/>
    </font>
    <font>
      <sz val="10"/>
      <name val="Geneva"/>
    </font>
    <font>
      <u/>
      <sz val="10"/>
      <color indexed="12"/>
      <name val="Geneva"/>
    </font>
    <font>
      <sz val="12"/>
      <name val="宋体"/>
      <charset val="134"/>
    </font>
    <font>
      <sz val="12"/>
      <color indexed="8"/>
      <name val="Calibri"/>
      <family val="2"/>
    </font>
    <font>
      <b/>
      <sz val="11"/>
      <name val="Calibri"/>
      <family val="2"/>
      <scheme val="minor"/>
    </font>
    <font>
      <sz val="10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0"/>
      <color rgb="FF00B050"/>
      <name val="Arial Unicode MS"/>
      <family val="2"/>
    </font>
    <font>
      <sz val="10"/>
      <color rgb="FF00B050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55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22">
    <xf numFmtId="0" fontId="0" fillId="0" borderId="0"/>
    <xf numFmtId="0" fontId="20" fillId="0" borderId="0" applyNumberFormat="0" applyFill="0" applyBorder="0" applyAlignment="0" applyProtection="0"/>
    <xf numFmtId="0" fontId="20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7" fillId="0" borderId="0"/>
    <xf numFmtId="0" fontId="16" fillId="0" borderId="0"/>
    <xf numFmtId="0" fontId="15" fillId="0" borderId="0"/>
    <xf numFmtId="0" fontId="14" fillId="0" borderId="0"/>
    <xf numFmtId="9" fontId="14" fillId="0" borderId="0" applyFont="0" applyFill="0" applyBorder="0" applyAlignment="0" applyProtection="0"/>
    <xf numFmtId="0" fontId="13" fillId="0" borderId="0"/>
    <xf numFmtId="0" fontId="12" fillId="0" borderId="0"/>
    <xf numFmtId="0" fontId="27" fillId="0" borderId="0"/>
    <xf numFmtId="0" fontId="18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5" fillId="0" borderId="0"/>
    <xf numFmtId="9" fontId="12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8" fillId="0" borderId="0" applyFont="0" applyFill="0" applyBorder="0" applyAlignment="0" applyProtection="0"/>
    <xf numFmtId="167" fontId="30" fillId="0" borderId="0" applyFont="0" applyFill="0" applyBorder="0" applyAlignment="0" applyProtection="0"/>
    <xf numFmtId="168" fontId="31" fillId="0" borderId="0">
      <alignment horizontal="left"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34" fillId="0" borderId="0">
      <alignment vertical="top"/>
    </xf>
    <xf numFmtId="0" fontId="18" fillId="0" borderId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1" borderId="0" applyNumberFormat="0" applyBorder="0" applyAlignment="0" applyProtection="0"/>
    <xf numFmtId="0" fontId="35" fillId="14" borderId="0" applyNumberFormat="0" applyBorder="0" applyAlignment="0" applyProtection="0"/>
    <xf numFmtId="0" fontId="35" fillId="17" borderId="0" applyNumberFormat="0" applyBorder="0" applyAlignment="0" applyProtection="0"/>
    <xf numFmtId="0" fontId="36" fillId="0" borderId="0" applyNumberFormat="0" applyFont="0" applyFill="0" applyBorder="0" applyProtection="0">
      <alignment horizontal="left" vertical="center" indent="5"/>
    </xf>
    <xf numFmtId="0" fontId="37" fillId="18" borderId="0" applyNumberFormat="0" applyBorder="0" applyAlignment="0" applyProtection="0"/>
    <xf numFmtId="0" fontId="37" fillId="15" borderId="0" applyNumberFormat="0" applyBorder="0" applyAlignment="0" applyProtection="0"/>
    <xf numFmtId="0" fontId="37" fillId="16" borderId="0" applyNumberFormat="0" applyBorder="0" applyAlignment="0" applyProtection="0"/>
    <xf numFmtId="0" fontId="37" fillId="19" borderId="0" applyNumberFormat="0" applyBorder="0" applyAlignment="0" applyProtection="0"/>
    <xf numFmtId="0" fontId="37" fillId="20" borderId="0" applyNumberFormat="0" applyBorder="0" applyAlignment="0" applyProtection="0"/>
    <xf numFmtId="0" fontId="37" fillId="21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4" borderId="0" applyNumberFormat="0" applyBorder="0" applyAlignment="0" applyProtection="0"/>
    <xf numFmtId="0" fontId="37" fillId="19" borderId="0" applyNumberFormat="0" applyBorder="0" applyAlignment="0" applyProtection="0"/>
    <xf numFmtId="0" fontId="37" fillId="20" borderId="0" applyNumberFormat="0" applyBorder="0" applyAlignment="0" applyProtection="0"/>
    <xf numFmtId="0" fontId="37" fillId="25" borderId="0" applyNumberFormat="0" applyBorder="0" applyAlignment="0" applyProtection="0"/>
    <xf numFmtId="4" fontId="38" fillId="26" borderId="1">
      <alignment horizontal="right" vertical="center"/>
    </xf>
    <xf numFmtId="0" fontId="39" fillId="9" borderId="0" applyNumberFormat="0" applyBorder="0" applyAlignment="0" applyProtection="0"/>
    <xf numFmtId="4" fontId="40" fillId="0" borderId="5" applyFill="0" applyBorder="0" applyProtection="0">
      <alignment horizontal="right" vertical="center"/>
    </xf>
    <xf numFmtId="0" fontId="41" fillId="27" borderId="6" applyNumberFormat="0" applyAlignment="0" applyProtection="0"/>
    <xf numFmtId="0" fontId="42" fillId="28" borderId="7" applyNumberFormat="0" applyAlignment="0" applyProtection="0"/>
    <xf numFmtId="0" fontId="43" fillId="0" borderId="0" applyNumberFormat="0" applyFill="0" applyBorder="0" applyAlignment="0" applyProtection="0"/>
    <xf numFmtId="0" fontId="44" fillId="10" borderId="0" applyNumberFormat="0" applyBorder="0" applyAlignment="0" applyProtection="0"/>
    <xf numFmtId="0" fontId="19" fillId="0" borderId="8" applyNumberFormat="0" applyFill="0" applyAlignment="0" applyProtection="0"/>
    <xf numFmtId="0" fontId="45" fillId="0" borderId="9" applyNumberFormat="0" applyFill="0" applyAlignment="0" applyProtection="0"/>
    <xf numFmtId="0" fontId="46" fillId="0" borderId="10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8" fillId="13" borderId="6" applyNumberFormat="0" applyAlignment="0" applyProtection="0"/>
    <xf numFmtId="4" fontId="38" fillId="0" borderId="11">
      <alignment horizontal="right" vertical="center"/>
    </xf>
    <xf numFmtId="0" fontId="49" fillId="0" borderId="12" applyNumberFormat="0" applyFill="0" applyAlignment="0" applyProtection="0"/>
    <xf numFmtId="0" fontId="50" fillId="29" borderId="0" applyNumberFormat="0" applyBorder="0" applyAlignment="0" applyProtection="0"/>
    <xf numFmtId="0" fontId="36" fillId="30" borderId="0" applyNumberFormat="0" applyFont="0" applyBorder="0" applyAlignment="0" applyProtection="0"/>
    <xf numFmtId="0" fontId="33" fillId="31" borderId="13" applyNumberFormat="0" applyFont="0" applyAlignment="0" applyProtection="0"/>
    <xf numFmtId="0" fontId="51" fillId="27" borderId="14" applyNumberFormat="0" applyAlignment="0" applyProtection="0"/>
    <xf numFmtId="168" fontId="28" fillId="0" borderId="0" applyFill="0" applyBorder="0" applyAlignment="0" applyProtection="0"/>
    <xf numFmtId="0" fontId="38" fillId="30" borderId="1"/>
    <xf numFmtId="0" fontId="52" fillId="0" borderId="0"/>
    <xf numFmtId="0" fontId="53" fillId="0" borderId="0" applyNumberFormat="0" applyFill="0" applyBorder="0" applyAlignment="0" applyProtection="0"/>
    <xf numFmtId="0" fontId="54" fillId="0" borderId="15" applyNumberFormat="0" applyFill="0" applyAlignment="0" applyProtection="0"/>
    <xf numFmtId="0" fontId="55" fillId="0" borderId="0" applyNumberFormat="0" applyFill="0" applyBorder="0" applyAlignment="0" applyProtection="0"/>
    <xf numFmtId="4" fontId="38" fillId="0" borderId="0"/>
    <xf numFmtId="43" fontId="34" fillId="0" borderId="0" applyFont="0" applyFill="0" applyBorder="0" applyAlignment="0" applyProtection="0"/>
    <xf numFmtId="0" fontId="18" fillId="0" borderId="0"/>
    <xf numFmtId="9" fontId="25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58" fillId="0" borderId="0"/>
    <xf numFmtId="0" fontId="18" fillId="0" borderId="0"/>
    <xf numFmtId="43" fontId="18" fillId="0" borderId="0" applyFon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1" fillId="34" borderId="0" applyNumberFormat="0" applyBorder="0" applyAlignment="0" applyProtection="0"/>
    <xf numFmtId="3" fontId="21" fillId="6" borderId="1">
      <alignment horizontal="right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0" fillId="0" borderId="0"/>
    <xf numFmtId="0" fontId="30" fillId="0" borderId="0"/>
    <xf numFmtId="0" fontId="18" fillId="0" borderId="0"/>
    <xf numFmtId="0" fontId="59" fillId="35" borderId="0" applyNumberFormat="0" applyBorder="0" applyAlignment="0" applyProtection="0"/>
    <xf numFmtId="0" fontId="62" fillId="0" borderId="0">
      <alignment horizontal="center" vertical="center" wrapText="1"/>
    </xf>
    <xf numFmtId="169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63" fillId="0" borderId="0">
      <alignment horizontal="left" vertical="center" wrapText="1"/>
    </xf>
    <xf numFmtId="172" fontId="18" fillId="0" borderId="0" applyFont="0" applyFill="0" applyBorder="0" applyAlignment="0" applyProtection="0"/>
    <xf numFmtId="3" fontId="64" fillId="0" borderId="17" applyAlignment="0">
      <alignment horizontal="right" vertical="center"/>
    </xf>
    <xf numFmtId="171" fontId="64" fillId="0" borderId="17">
      <alignment horizontal="right" vertical="center"/>
    </xf>
    <xf numFmtId="49" fontId="65" fillId="0" borderId="17">
      <alignment horizontal="left" vertical="center"/>
    </xf>
    <xf numFmtId="170" fontId="66" fillId="0" borderId="17" applyNumberFormat="0" applyFill="0">
      <alignment horizontal="right"/>
    </xf>
    <xf numFmtId="173" fontId="66" fillId="0" borderId="17">
      <alignment horizontal="right"/>
    </xf>
    <xf numFmtId="0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69" fillId="0" borderId="17">
      <alignment horizontal="left"/>
    </xf>
    <xf numFmtId="0" fontId="69" fillId="0" borderId="18">
      <alignment horizontal="right" vertical="center"/>
    </xf>
    <xf numFmtId="0" fontId="70" fillId="0" borderId="17">
      <alignment horizontal="left" vertical="center"/>
    </xf>
    <xf numFmtId="0" fontId="66" fillId="0" borderId="17">
      <alignment horizontal="left" vertical="center"/>
    </xf>
    <xf numFmtId="0" fontId="71" fillId="0" borderId="17">
      <alignment horizontal="left"/>
    </xf>
    <xf numFmtId="0" fontId="71" fillId="36" borderId="0">
      <alignment horizontal="centerContinuous" wrapText="1"/>
    </xf>
    <xf numFmtId="49" fontId="71" fillId="36" borderId="4">
      <alignment horizontal="left" vertical="center"/>
    </xf>
    <xf numFmtId="0" fontId="71" fillId="36" borderId="0">
      <alignment horizontal="centerContinuous" vertical="center" wrapText="1"/>
    </xf>
    <xf numFmtId="0" fontId="10" fillId="0" borderId="0"/>
    <xf numFmtId="3" fontId="64" fillId="0" borderId="0">
      <alignment horizontal="left" vertical="center"/>
    </xf>
    <xf numFmtId="0" fontId="62" fillId="0" borderId="0">
      <alignment horizontal="left" vertical="center"/>
    </xf>
    <xf numFmtId="0" fontId="67" fillId="0" borderId="0">
      <alignment horizontal="right"/>
    </xf>
    <xf numFmtId="49" fontId="67" fillId="0" borderId="0">
      <alignment horizontal="center"/>
    </xf>
    <xf numFmtId="0" fontId="65" fillId="0" borderId="0">
      <alignment horizontal="right"/>
    </xf>
    <xf numFmtId="0" fontId="67" fillId="0" borderId="0">
      <alignment horizontal="left"/>
    </xf>
    <xf numFmtId="49" fontId="64" fillId="0" borderId="0">
      <alignment horizontal="left" vertical="center"/>
    </xf>
    <xf numFmtId="49" fontId="65" fillId="0" borderId="17">
      <alignment horizontal="left" vertical="center"/>
    </xf>
    <xf numFmtId="49" fontId="62" fillId="0" borderId="17" applyFill="0">
      <alignment horizontal="left" vertical="center"/>
    </xf>
    <xf numFmtId="49" fontId="65" fillId="0" borderId="17">
      <alignment horizontal="left"/>
    </xf>
    <xf numFmtId="170" fontId="64" fillId="0" borderId="0" applyNumberFormat="0">
      <alignment horizontal="right"/>
    </xf>
    <xf numFmtId="0" fontId="69" fillId="37" borderId="0">
      <alignment horizontal="centerContinuous" vertical="center" wrapText="1"/>
    </xf>
    <xf numFmtId="0" fontId="69" fillId="0" borderId="19">
      <alignment horizontal="left" vertical="center"/>
    </xf>
    <xf numFmtId="0" fontId="72" fillId="0" borderId="0">
      <alignment horizontal="left" vertical="top"/>
    </xf>
    <xf numFmtId="0" fontId="71" fillId="0" borderId="0">
      <alignment horizontal="left"/>
    </xf>
    <xf numFmtId="0" fontId="63" fillId="0" borderId="0">
      <alignment horizontal="left"/>
    </xf>
    <xf numFmtId="0" fontId="66" fillId="0" borderId="0">
      <alignment horizontal="left"/>
    </xf>
    <xf numFmtId="0" fontId="72" fillId="0" borderId="0">
      <alignment horizontal="left" vertical="top"/>
    </xf>
    <xf numFmtId="0" fontId="63" fillId="0" borderId="0">
      <alignment horizontal="left"/>
    </xf>
    <xf numFmtId="0" fontId="66" fillId="0" borderId="0">
      <alignment horizontal="left"/>
    </xf>
    <xf numFmtId="0" fontId="18" fillId="0" borderId="16" applyNumberFormat="0" applyFont="0" applyFill="0" applyAlignment="0" applyProtection="0"/>
    <xf numFmtId="49" fontId="64" fillId="0" borderId="17">
      <alignment horizontal="left"/>
    </xf>
    <xf numFmtId="0" fontId="69" fillId="0" borderId="18">
      <alignment horizontal="left"/>
    </xf>
    <xf numFmtId="0" fontId="71" fillId="0" borderId="0">
      <alignment horizontal="left" vertical="center"/>
    </xf>
    <xf numFmtId="49" fontId="67" fillId="0" borderId="17">
      <alignment horizontal="left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41" fillId="27" borderId="21" applyNumberFormat="0" applyAlignment="0" applyProtection="0"/>
    <xf numFmtId="3" fontId="21" fillId="6" borderId="20">
      <alignment horizontal="right"/>
    </xf>
    <xf numFmtId="4" fontId="78" fillId="0" borderId="0" applyFont="0" applyFill="0" applyBorder="0" applyAlignment="0" applyProtection="0"/>
    <xf numFmtId="4" fontId="78" fillId="0" borderId="0" applyFont="0" applyFill="0" applyBorder="0" applyAlignment="0" applyProtection="0"/>
    <xf numFmtId="174" fontId="18" fillId="0" borderId="0" applyFont="0" applyFill="0" applyBorder="0" applyAlignment="0" applyProtection="0"/>
    <xf numFmtId="174" fontId="18" fillId="0" borderId="0" applyFont="0" applyFill="0" applyBorder="0" applyAlignment="0" applyProtection="0"/>
    <xf numFmtId="49" fontId="71" fillId="36" borderId="22">
      <alignment horizontal="left" vertical="center"/>
    </xf>
    <xf numFmtId="49" fontId="71" fillId="36" borderId="22">
      <alignment horizontal="left"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48" fillId="13" borderId="2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31" borderId="23" applyNumberFormat="0" applyFont="0" applyAlignment="0" applyProtection="0"/>
    <xf numFmtId="0" fontId="51" fillId="27" borderId="24" applyNumberFormat="0" applyAlignment="0" applyProtection="0"/>
    <xf numFmtId="9" fontId="8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8" fillId="30" borderId="20"/>
    <xf numFmtId="0" fontId="54" fillId="0" borderId="15" applyNumberFormat="0" applyFill="0" applyAlignment="0" applyProtection="0"/>
    <xf numFmtId="0" fontId="30" fillId="0" borderId="0"/>
    <xf numFmtId="0" fontId="84" fillId="0" borderId="0"/>
  </cellStyleXfs>
  <cellXfs count="177">
    <xf numFmtId="0" fontId="0" fillId="0" borderId="0" xfId="0"/>
    <xf numFmtId="3" fontId="0" fillId="0" borderId="0" xfId="0" applyNumberFormat="1"/>
    <xf numFmtId="0" fontId="0" fillId="2" borderId="0" xfId="0" applyFill="1"/>
    <xf numFmtId="0" fontId="0" fillId="0" borderId="0" xfId="0" applyFont="1"/>
    <xf numFmtId="9" fontId="0" fillId="0" borderId="0" xfId="3" applyFont="1"/>
    <xf numFmtId="165" fontId="0" fillId="0" borderId="0" xfId="0" applyNumberFormat="1"/>
    <xf numFmtId="164" fontId="0" fillId="0" borderId="0" xfId="0" applyNumberFormat="1"/>
    <xf numFmtId="0" fontId="0" fillId="5" borderId="0" xfId="0" applyFill="1"/>
    <xf numFmtId="0" fontId="20" fillId="0" borderId="0" xfId="2"/>
    <xf numFmtId="0" fontId="21" fillId="0" borderId="0" xfId="2" applyFont="1"/>
    <xf numFmtId="0" fontId="21" fillId="0" borderId="0" xfId="0" applyFont="1"/>
    <xf numFmtId="166" fontId="0" fillId="0" borderId="0" xfId="3" applyNumberFormat="1" applyFont="1"/>
    <xf numFmtId="2" fontId="0" fillId="0" borderId="0" xfId="0" applyNumberFormat="1"/>
    <xf numFmtId="3" fontId="21" fillId="0" borderId="0" xfId="0" applyNumberFormat="1" applyFont="1"/>
    <xf numFmtId="0" fontId="20" fillId="0" borderId="0" xfId="2" applyFill="1"/>
    <xf numFmtId="0" fontId="0" fillId="0" borderId="0" xfId="0" applyAlignment="1">
      <alignment horizontal="right"/>
    </xf>
    <xf numFmtId="0" fontId="21" fillId="0" borderId="0" xfId="0" applyFont="1" applyAlignment="1">
      <alignment horizontal="right"/>
    </xf>
    <xf numFmtId="0" fontId="0" fillId="0" borderId="0" xfId="0" applyFill="1"/>
    <xf numFmtId="0" fontId="18" fillId="0" borderId="0" xfId="0" applyFont="1"/>
    <xf numFmtId="10" fontId="0" fillId="0" borderId="0" xfId="3" applyNumberFormat="1" applyFont="1"/>
    <xf numFmtId="0" fontId="18" fillId="0" borderId="0" xfId="2" applyFon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8" fillId="0" borderId="0" xfId="0" applyFont="1" applyFill="1"/>
    <xf numFmtId="3" fontId="21" fillId="0" borderId="0" xfId="0" applyNumberFormat="1" applyFont="1" applyFill="1"/>
    <xf numFmtId="0" fontId="18" fillId="5" borderId="0" xfId="0" applyFont="1" applyFill="1"/>
    <xf numFmtId="0" fontId="18" fillId="0" borderId="0" xfId="2" applyFont="1" applyFill="1"/>
    <xf numFmtId="0" fontId="0" fillId="0" borderId="0" xfId="0"/>
    <xf numFmtId="0" fontId="12" fillId="0" borderId="0" xfId="12"/>
    <xf numFmtId="0" fontId="12" fillId="2" borderId="0" xfId="12" applyFill="1"/>
    <xf numFmtId="0" fontId="18" fillId="0" borderId="0" xfId="0" applyFont="1" applyAlignment="1">
      <alignment wrapText="1"/>
    </xf>
    <xf numFmtId="166" fontId="0" fillId="2" borderId="0" xfId="3" applyNumberFormat="1" applyFont="1" applyFill="1"/>
    <xf numFmtId="2" fontId="21" fillId="0" borderId="0" xfId="0" applyNumberFormat="1" applyFont="1"/>
    <xf numFmtId="0" fontId="11" fillId="0" borderId="0" xfId="12" applyFont="1"/>
    <xf numFmtId="166" fontId="12" fillId="0" borderId="0" xfId="3" applyNumberFormat="1" applyFont="1"/>
    <xf numFmtId="10" fontId="12" fillId="0" borderId="0" xfId="3" applyNumberFormat="1" applyFont="1"/>
    <xf numFmtId="166" fontId="12" fillId="2" borderId="0" xfId="3" applyNumberFormat="1" applyFont="1" applyFill="1"/>
    <xf numFmtId="0" fontId="0" fillId="32" borderId="0" xfId="0" applyFill="1"/>
    <xf numFmtId="166" fontId="0" fillId="32" borderId="0" xfId="3" applyNumberFormat="1" applyFont="1" applyFill="1"/>
    <xf numFmtId="166" fontId="18" fillId="32" borderId="0" xfId="3" applyNumberFormat="1" applyFont="1" applyFill="1"/>
    <xf numFmtId="10" fontId="0" fillId="32" borderId="0" xfId="3" applyNumberFormat="1" applyFont="1" applyFill="1"/>
    <xf numFmtId="3" fontId="21" fillId="5" borderId="0" xfId="0" applyNumberFormat="1" applyFont="1" applyFill="1"/>
    <xf numFmtId="3" fontId="0" fillId="5" borderId="0" xfId="0" applyNumberFormat="1" applyFill="1"/>
    <xf numFmtId="0" fontId="24" fillId="0" borderId="0" xfId="0" applyFont="1"/>
    <xf numFmtId="0" fontId="0" fillId="0" borderId="0" xfId="0"/>
    <xf numFmtId="3" fontId="74" fillId="0" borderId="0" xfId="123" applyNumberFormat="1" applyFont="1" applyFill="1" applyBorder="1" applyAlignment="1">
      <alignment horizontal="right"/>
    </xf>
    <xf numFmtId="0" fontId="73" fillId="0" borderId="4" xfId="123" applyNumberFormat="1" applyFont="1" applyFill="1" applyBorder="1" applyAlignment="1">
      <alignment horizontal="center"/>
    </xf>
    <xf numFmtId="0" fontId="12" fillId="5" borderId="0" xfId="12" applyFill="1"/>
    <xf numFmtId="10" fontId="12" fillId="5" borderId="0" xfId="3" applyNumberFormat="1" applyFont="1" applyFill="1"/>
    <xf numFmtId="0" fontId="18" fillId="0" borderId="0" xfId="14" applyFont="1" applyFill="1"/>
    <xf numFmtId="0" fontId="73" fillId="0" borderId="4" xfId="123" applyFont="1" applyFill="1" applyBorder="1" applyAlignment="1">
      <alignment horizontal="center"/>
    </xf>
    <xf numFmtId="0" fontId="73" fillId="0" borderId="4" xfId="14" applyFont="1" applyFill="1" applyBorder="1" applyAlignment="1">
      <alignment horizontal="center"/>
    </xf>
    <xf numFmtId="0" fontId="74" fillId="0" borderId="0" xfId="14" applyFont="1" applyFill="1" applyAlignment="1">
      <alignment horizontal="center"/>
    </xf>
    <xf numFmtId="0" fontId="73" fillId="0" borderId="0" xfId="123" applyFont="1" applyFill="1" applyBorder="1">
      <alignment horizontal="left"/>
    </xf>
    <xf numFmtId="0" fontId="74" fillId="0" borderId="0" xfId="14" applyFont="1" applyFill="1" applyAlignment="1">
      <alignment horizontal="right"/>
    </xf>
    <xf numFmtId="0" fontId="74" fillId="0" borderId="0" xfId="14" applyFont="1" applyFill="1"/>
    <xf numFmtId="0" fontId="74" fillId="0" borderId="0" xfId="123" applyFont="1" applyFill="1" applyBorder="1" applyAlignment="1">
      <alignment horizontal="left" indent="1"/>
    </xf>
    <xf numFmtId="3" fontId="74" fillId="0" borderId="0" xfId="14" applyNumberFormat="1" applyFont="1" applyFill="1"/>
    <xf numFmtId="0" fontId="73" fillId="0" borderId="0" xfId="14" applyFont="1" applyFill="1"/>
    <xf numFmtId="1" fontId="74" fillId="0" borderId="0" xfId="14" applyNumberFormat="1" applyFont="1" applyFill="1" applyAlignment="1">
      <alignment horizontal="right"/>
    </xf>
    <xf numFmtId="0" fontId="73" fillId="0" borderId="3" xfId="123" applyFont="1" applyFill="1" applyBorder="1">
      <alignment horizontal="left"/>
    </xf>
    <xf numFmtId="3" fontId="74" fillId="0" borderId="3" xfId="14" applyNumberFormat="1" applyFont="1" applyFill="1" applyBorder="1"/>
    <xf numFmtId="0" fontId="22" fillId="0" borderId="0" xfId="123" applyFont="1" applyFill="1" applyBorder="1" applyAlignment="1">
      <alignment horizontal="left"/>
    </xf>
    <xf numFmtId="0" fontId="22" fillId="0" borderId="0" xfId="14" applyFont="1" applyFill="1"/>
    <xf numFmtId="0" fontId="22" fillId="0" borderId="0" xfId="14" applyFont="1" applyFill="1" applyAlignment="1">
      <alignment horizontal="left"/>
    </xf>
    <xf numFmtId="0" fontId="75" fillId="0" borderId="0" xfId="14" applyFont="1" applyFill="1" applyAlignment="1">
      <alignment horizontal="left"/>
    </xf>
    <xf numFmtId="49" fontId="75" fillId="0" borderId="0" xfId="14" applyNumberFormat="1" applyFont="1" applyFill="1" applyAlignment="1">
      <alignment horizontal="left"/>
    </xf>
    <xf numFmtId="49" fontId="22" fillId="0" borderId="0" xfId="14" applyNumberFormat="1" applyFont="1" applyFill="1" applyAlignment="1">
      <alignment horizontal="left"/>
    </xf>
    <xf numFmtId="0" fontId="22" fillId="0" borderId="0" xfId="14" applyFont="1" applyFill="1" applyAlignment="1"/>
    <xf numFmtId="49" fontId="77" fillId="0" borderId="0" xfId="14" applyNumberFormat="1" applyFont="1" applyFill="1" applyAlignment="1">
      <alignment horizontal="left"/>
    </xf>
    <xf numFmtId="0" fontId="56" fillId="0" borderId="3" xfId="136" applyFont="1" applyFill="1" applyBorder="1" applyAlignment="1">
      <alignment horizontal="left"/>
    </xf>
    <xf numFmtId="2" fontId="0" fillId="5" borderId="0" xfId="0" applyNumberFormat="1" applyFill="1"/>
    <xf numFmtId="1" fontId="0" fillId="5" borderId="0" xfId="0" applyNumberFormat="1" applyFill="1"/>
    <xf numFmtId="2" fontId="21" fillId="0" borderId="0" xfId="0" applyNumberFormat="1" applyFont="1" applyFill="1"/>
    <xf numFmtId="2" fontId="21" fillId="5" borderId="0" xfId="0" applyNumberFormat="1" applyFont="1" applyFill="1"/>
    <xf numFmtId="0" fontId="21" fillId="5" borderId="0" xfId="0" applyFont="1" applyFill="1"/>
    <xf numFmtId="4" fontId="21" fillId="5" borderId="0" xfId="0" applyNumberFormat="1" applyFont="1" applyFill="1"/>
    <xf numFmtId="0" fontId="9" fillId="0" borderId="0" xfId="12" applyFont="1" applyAlignment="1">
      <alignment horizontal="right"/>
    </xf>
    <xf numFmtId="166" fontId="12" fillId="5" borderId="0" xfId="3" applyNumberFormat="1" applyFont="1" applyFill="1"/>
    <xf numFmtId="166" fontId="12" fillId="0" borderId="0" xfId="3" applyNumberFormat="1" applyFont="1" applyFill="1"/>
    <xf numFmtId="0" fontId="12" fillId="0" borderId="0" xfId="12" applyFill="1"/>
    <xf numFmtId="0" fontId="9" fillId="0" borderId="0" xfId="12" applyFont="1" applyFill="1" applyAlignment="1">
      <alignment horizontal="right"/>
    </xf>
    <xf numFmtId="0" fontId="11" fillId="0" borderId="0" xfId="12" applyFont="1" applyFill="1"/>
    <xf numFmtId="166" fontId="18" fillId="0" borderId="0" xfId="3" applyNumberFormat="1" applyFont="1"/>
    <xf numFmtId="0" fontId="23" fillId="0" borderId="0" xfId="0" applyFont="1" applyAlignment="1">
      <alignment vertical="center"/>
    </xf>
    <xf numFmtId="0" fontId="0" fillId="7" borderId="0" xfId="0" applyFill="1"/>
    <xf numFmtId="166" fontId="12" fillId="7" borderId="0" xfId="3" applyNumberFormat="1" applyFont="1" applyFill="1"/>
    <xf numFmtId="0" fontId="6" fillId="7" borderId="0" xfId="12" applyFont="1" applyFill="1"/>
    <xf numFmtId="46" fontId="0" fillId="0" borderId="0" xfId="0" applyNumberFormat="1"/>
    <xf numFmtId="166" fontId="6" fillId="7" borderId="0" xfId="3" applyNumberFormat="1" applyFont="1" applyFill="1"/>
    <xf numFmtId="0" fontId="6" fillId="0" borderId="0" xfId="12" applyFont="1" applyFill="1" applyAlignment="1">
      <alignment horizontal="right"/>
    </xf>
    <xf numFmtId="2" fontId="0" fillId="0" borderId="0" xfId="3" applyNumberFormat="1" applyFont="1"/>
    <xf numFmtId="165" fontId="74" fillId="0" borderId="0" xfId="14" applyNumberFormat="1" applyFont="1" applyFill="1"/>
    <xf numFmtId="0" fontId="5" fillId="33" borderId="0" xfId="12" applyFont="1" applyFill="1"/>
    <xf numFmtId="0" fontId="18" fillId="2" borderId="0" xfId="0" applyFont="1" applyFill="1" applyAlignment="1">
      <alignment wrapText="1"/>
    </xf>
    <xf numFmtId="166" fontId="18" fillId="2" borderId="0" xfId="3" applyNumberFormat="1" applyFont="1" applyFill="1"/>
    <xf numFmtId="166" fontId="6" fillId="0" borderId="0" xfId="3" applyNumberFormat="1" applyFont="1" applyFill="1"/>
    <xf numFmtId="0" fontId="5" fillId="0" borderId="0" xfId="12" applyFont="1" applyFill="1"/>
    <xf numFmtId="0" fontId="7" fillId="0" borderId="0" xfId="12" applyFont="1" applyFill="1" applyAlignment="1">
      <alignment horizontal="right"/>
    </xf>
    <xf numFmtId="0" fontId="5" fillId="7" borderId="0" xfId="12" applyFont="1" applyFill="1" applyAlignment="1">
      <alignment horizontal="right"/>
    </xf>
    <xf numFmtId="0" fontId="4" fillId="0" borderId="0" xfId="12" applyFont="1"/>
    <xf numFmtId="0" fontId="3" fillId="0" borderId="0" xfId="12" applyFont="1"/>
    <xf numFmtId="0" fontId="1" fillId="0" borderId="0" xfId="12" applyFont="1"/>
    <xf numFmtId="0" fontId="1" fillId="0" borderId="0" xfId="12" applyFont="1" applyAlignment="1">
      <alignment horizontal="right"/>
    </xf>
    <xf numFmtId="49" fontId="22" fillId="0" borderId="0" xfId="14" applyNumberFormat="1" applyFont="1" applyFill="1" applyAlignment="1">
      <alignment horizontal="left"/>
    </xf>
    <xf numFmtId="49" fontId="75" fillId="0" borderId="0" xfId="14" applyNumberFormat="1" applyFont="1" applyFill="1" applyAlignment="1">
      <alignment horizontal="left"/>
    </xf>
    <xf numFmtId="4" fontId="21" fillId="0" borderId="0" xfId="0" applyNumberFormat="1" applyFont="1"/>
    <xf numFmtId="10" fontId="12" fillId="3" borderId="0" xfId="3" applyNumberFormat="1" applyFont="1" applyFill="1"/>
    <xf numFmtId="0" fontId="0" fillId="3" borderId="0" xfId="0" applyFill="1"/>
    <xf numFmtId="0" fontId="18" fillId="3" borderId="0" xfId="0" applyFont="1" applyFill="1" applyAlignment="1">
      <alignment horizontal="right"/>
    </xf>
    <xf numFmtId="1" fontId="0" fillId="0" borderId="0" xfId="0" applyNumberFormat="1"/>
    <xf numFmtId="1" fontId="0" fillId="3" borderId="0" xfId="0" applyNumberFormat="1" applyFill="1"/>
    <xf numFmtId="3" fontId="21" fillId="3" borderId="0" xfId="0" applyNumberFormat="1" applyFont="1" applyFill="1"/>
    <xf numFmtId="9" fontId="0" fillId="0" borderId="0" xfId="0" applyNumberFormat="1"/>
    <xf numFmtId="9" fontId="21" fillId="0" borderId="0" xfId="3" applyFont="1"/>
    <xf numFmtId="9" fontId="21" fillId="0" borderId="0" xfId="3" applyNumberFormat="1" applyFont="1"/>
    <xf numFmtId="0" fontId="18" fillId="0" borderId="0" xfId="0" applyFont="1" applyFill="1" applyAlignment="1">
      <alignment horizontal="right"/>
    </xf>
    <xf numFmtId="0" fontId="12" fillId="4" borderId="0" xfId="12" applyFill="1"/>
    <xf numFmtId="0" fontId="12" fillId="38" borderId="0" xfId="12" applyFill="1"/>
    <xf numFmtId="0" fontId="18" fillId="38" borderId="0" xfId="0" applyFont="1" applyFill="1" applyAlignment="1">
      <alignment horizontal="right"/>
    </xf>
    <xf numFmtId="3" fontId="0" fillId="39" borderId="0" xfId="0" applyNumberFormat="1" applyFill="1"/>
    <xf numFmtId="1" fontId="0" fillId="39" borderId="0" xfId="0" applyNumberFormat="1" applyFill="1"/>
    <xf numFmtId="4" fontId="21" fillId="39" borderId="0" xfId="0" applyNumberFormat="1" applyFont="1" applyFill="1"/>
    <xf numFmtId="10" fontId="12" fillId="38" borderId="0" xfId="3" applyNumberFormat="1" applyFont="1" applyFill="1"/>
    <xf numFmtId="166" fontId="0" fillId="3" borderId="0" xfId="3" applyNumberFormat="1" applyFont="1" applyFill="1"/>
    <xf numFmtId="0" fontId="18" fillId="3" borderId="0" xfId="0" applyFont="1" applyFill="1" applyAlignment="1">
      <alignment wrapText="1"/>
    </xf>
    <xf numFmtId="166" fontId="18" fillId="3" borderId="0" xfId="3" applyNumberFormat="1" applyFont="1" applyFill="1"/>
    <xf numFmtId="10" fontId="12" fillId="0" borderId="0" xfId="3" applyNumberFormat="1" applyFont="1" applyFill="1"/>
    <xf numFmtId="0" fontId="0" fillId="38" borderId="0" xfId="0" applyFill="1"/>
    <xf numFmtId="0" fontId="21" fillId="0" borderId="22" xfId="0" applyFont="1" applyBorder="1" applyAlignment="1">
      <alignment horizontal="center"/>
    </xf>
    <xf numFmtId="0" fontId="0" fillId="0" borderId="22" xfId="0" applyBorder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82" fillId="0" borderId="22" xfId="220" applyFont="1" applyBorder="1" applyAlignment="1">
      <alignment horizontal="center"/>
    </xf>
    <xf numFmtId="0" fontId="18" fillId="0" borderId="0" xfId="0" applyFont="1" applyAlignment="1">
      <alignment horizontal="center"/>
    </xf>
    <xf numFmtId="10" fontId="26" fillId="0" borderId="0" xfId="0" applyNumberFormat="1" applyFont="1" applyAlignment="1">
      <alignment horizontal="center"/>
    </xf>
    <xf numFmtId="0" fontId="60" fillId="0" borderId="0" xfId="15" applyFont="1" applyAlignment="1" applyProtection="1"/>
    <xf numFmtId="0" fontId="84" fillId="0" borderId="0" xfId="221" applyAlignment="1">
      <alignment horizontal="center"/>
    </xf>
    <xf numFmtId="0" fontId="85" fillId="40" borderId="0" xfId="221" applyFont="1" applyFill="1" applyAlignment="1">
      <alignment horizontal="left"/>
    </xf>
    <xf numFmtId="0" fontId="84" fillId="40" borderId="0" xfId="221" applyFill="1" applyAlignment="1">
      <alignment horizontal="center"/>
    </xf>
    <xf numFmtId="0" fontId="85" fillId="0" borderId="22" xfId="221" applyFont="1" applyBorder="1" applyAlignment="1">
      <alignment horizontal="center"/>
    </xf>
    <xf numFmtId="10" fontId="84" fillId="0" borderId="0" xfId="221" applyNumberFormat="1" applyAlignment="1">
      <alignment horizontal="center"/>
    </xf>
    <xf numFmtId="0" fontId="88" fillId="0" borderId="0" xfId="0" applyFont="1"/>
    <xf numFmtId="0" fontId="2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0" fillId="0" borderId="0" xfId="15" applyFont="1" applyAlignment="1" applyProtection="1">
      <alignment horizontal="left"/>
    </xf>
    <xf numFmtId="0" fontId="83" fillId="0" borderId="0" xfId="0" applyFont="1" applyAlignment="1">
      <alignment horizontal="center"/>
    </xf>
    <xf numFmtId="10" fontId="83" fillId="0" borderId="0" xfId="0" applyNumberFormat="1" applyFont="1" applyAlignment="1">
      <alignment horizontal="center"/>
    </xf>
    <xf numFmtId="0" fontId="29" fillId="0" borderId="0" xfId="15" applyAlignment="1" applyProtection="1"/>
    <xf numFmtId="0" fontId="90" fillId="0" borderId="0" xfId="0" applyFont="1" applyAlignment="1">
      <alignment vertical="center"/>
    </xf>
    <xf numFmtId="0" fontId="84" fillId="0" borderId="0" xfId="221" applyAlignment="1">
      <alignment horizontal="right"/>
    </xf>
    <xf numFmtId="166" fontId="84" fillId="0" borderId="0" xfId="221" applyNumberFormat="1" applyAlignment="1">
      <alignment horizontal="center"/>
    </xf>
    <xf numFmtId="0" fontId="85" fillId="0" borderId="0" xfId="221" applyFont="1" applyAlignment="1">
      <alignment horizontal="right"/>
    </xf>
    <xf numFmtId="9" fontId="85" fillId="0" borderId="0" xfId="221" applyNumberFormat="1" applyFont="1" applyAlignment="1">
      <alignment horizontal="center"/>
    </xf>
    <xf numFmtId="0" fontId="85" fillId="0" borderId="0" xfId="221" applyFont="1" applyAlignment="1">
      <alignment horizontal="center"/>
    </xf>
    <xf numFmtId="9" fontId="84" fillId="0" borderId="0" xfId="221" applyNumberFormat="1" applyAlignment="1">
      <alignment horizontal="center"/>
    </xf>
    <xf numFmtId="0" fontId="18" fillId="0" borderId="0" xfId="0" applyFont="1" applyFill="1" applyAlignment="1">
      <alignment horizontal="center"/>
    </xf>
    <xf numFmtId="10" fontId="0" fillId="0" borderId="0" xfId="0" applyNumberForma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41" borderId="0" xfId="0" applyFill="1"/>
    <xf numFmtId="49" fontId="22" fillId="0" borderId="0" xfId="14" applyNumberFormat="1" applyFont="1" applyFill="1" applyAlignment="1">
      <alignment wrapText="1"/>
    </xf>
    <xf numFmtId="0" fontId="18" fillId="0" borderId="0" xfId="14" applyFont="1" applyFill="1" applyAlignment="1">
      <alignment wrapText="1"/>
    </xf>
    <xf numFmtId="49" fontId="22" fillId="0" borderId="0" xfId="14" applyNumberFormat="1" applyFont="1" applyFill="1" applyAlignment="1">
      <alignment horizontal="left"/>
    </xf>
    <xf numFmtId="49" fontId="75" fillId="0" borderId="0" xfId="14" applyNumberFormat="1" applyFont="1" applyFill="1" applyAlignment="1">
      <alignment horizontal="left"/>
    </xf>
    <xf numFmtId="0" fontId="56" fillId="0" borderId="3" xfId="136" applyFont="1" applyFill="1" applyBorder="1" applyAlignment="1">
      <alignment horizontal="left" wrapText="1"/>
    </xf>
    <xf numFmtId="49" fontId="22" fillId="0" borderId="0" xfId="14" applyNumberFormat="1" applyFont="1" applyFill="1" applyAlignment="1">
      <alignment vertical="top" wrapText="1"/>
    </xf>
    <xf numFmtId="0" fontId="18" fillId="0" borderId="0" xfId="14" applyFont="1" applyFill="1" applyAlignment="1">
      <alignment vertical="top" wrapText="1"/>
    </xf>
    <xf numFmtId="49" fontId="75" fillId="0" borderId="0" xfId="14" applyNumberFormat="1" applyFont="1" applyFill="1" applyAlignment="1">
      <alignment wrapText="1"/>
    </xf>
    <xf numFmtId="0" fontId="18" fillId="0" borderId="0" xfId="14" applyFont="1" applyFill="1" applyAlignment="1"/>
    <xf numFmtId="49" fontId="77" fillId="0" borderId="0" xfId="14" applyNumberFormat="1" applyFont="1" applyFill="1" applyAlignment="1">
      <alignment wrapText="1"/>
    </xf>
    <xf numFmtId="0" fontId="75" fillId="0" borderId="2" xfId="123" applyFont="1" applyFill="1" applyBorder="1" applyAlignment="1">
      <alignment wrapText="1"/>
    </xf>
    <xf numFmtId="0" fontId="18" fillId="0" borderId="2" xfId="14" applyFont="1" applyFill="1" applyBorder="1" applyAlignment="1">
      <alignment wrapText="1"/>
    </xf>
    <xf numFmtId="0" fontId="22" fillId="0" borderId="0" xfId="123" applyFont="1" applyFill="1" applyAlignment="1">
      <alignment wrapText="1"/>
    </xf>
    <xf numFmtId="0" fontId="75" fillId="0" borderId="0" xfId="14" applyFont="1" applyFill="1" applyAlignment="1">
      <alignment wrapText="1"/>
    </xf>
    <xf numFmtId="0" fontId="26" fillId="0" borderId="0" xfId="0" applyFont="1" applyAlignment="1">
      <alignment horizontal="left" vertical="center"/>
    </xf>
    <xf numFmtId="0" fontId="92" fillId="41" borderId="0" xfId="0" applyFont="1" applyFill="1" applyAlignment="1">
      <alignment vertical="center"/>
    </xf>
    <xf numFmtId="0" fontId="93" fillId="41" borderId="0" xfId="0" applyFont="1" applyFill="1"/>
  </cellXfs>
  <cellStyles count="222">
    <cellStyle name="%" xfId="18" xr:uid="{00000000-0005-0000-0000-000000000000}"/>
    <cellStyle name="%_freight lifted Q4" xfId="27" xr:uid="{00000000-0005-0000-0000-000001000000}"/>
    <cellStyle name="?" xfId="148" xr:uid="{00000000-0005-0000-0000-000002000000}"/>
    <cellStyle name="1" xfId="149" xr:uid="{00000000-0005-0000-0000-000003000000}"/>
    <cellStyle name="20% - Accent1 2" xfId="28" xr:uid="{00000000-0005-0000-0000-000004000000}"/>
    <cellStyle name="20% - Accent2 2" xfId="29" xr:uid="{00000000-0005-0000-0000-000005000000}"/>
    <cellStyle name="20% - Accent3 2" xfId="30" xr:uid="{00000000-0005-0000-0000-000006000000}"/>
    <cellStyle name="20% - Accent4 2" xfId="31" xr:uid="{00000000-0005-0000-0000-000007000000}"/>
    <cellStyle name="20% - Accent5 2" xfId="32" xr:uid="{00000000-0005-0000-0000-000008000000}"/>
    <cellStyle name="20% - Accent6 2" xfId="33" xr:uid="{00000000-0005-0000-0000-000009000000}"/>
    <cellStyle name="40% - Accent1 2" xfId="34" xr:uid="{00000000-0005-0000-0000-00000A000000}"/>
    <cellStyle name="40% - Accent2 2" xfId="35" xr:uid="{00000000-0005-0000-0000-00000B000000}"/>
    <cellStyle name="40% - Accent3 2" xfId="36" xr:uid="{00000000-0005-0000-0000-00000C000000}"/>
    <cellStyle name="40% - Accent4 2" xfId="37" xr:uid="{00000000-0005-0000-0000-00000D000000}"/>
    <cellStyle name="40% - Accent5 2" xfId="38" xr:uid="{00000000-0005-0000-0000-00000E000000}"/>
    <cellStyle name="40% - Accent6 2" xfId="39" xr:uid="{00000000-0005-0000-0000-00000F000000}"/>
    <cellStyle name="5x indented GHG Textfiels" xfId="40" xr:uid="{00000000-0005-0000-0000-000010000000}"/>
    <cellStyle name="60% - Accent1 2" xfId="41" xr:uid="{00000000-0005-0000-0000-000011000000}"/>
    <cellStyle name="60% - Accent2 2" xfId="42" xr:uid="{00000000-0005-0000-0000-000012000000}"/>
    <cellStyle name="60% - Accent3 2" xfId="43" xr:uid="{00000000-0005-0000-0000-000013000000}"/>
    <cellStyle name="60% - Accent4 2" xfId="44" xr:uid="{00000000-0005-0000-0000-000014000000}"/>
    <cellStyle name="60% - Accent5 2" xfId="45" xr:uid="{00000000-0005-0000-0000-000015000000}"/>
    <cellStyle name="60% - Accent6 2" xfId="46" xr:uid="{00000000-0005-0000-0000-000016000000}"/>
    <cellStyle name="Accent1 2" xfId="47" xr:uid="{00000000-0005-0000-0000-000017000000}"/>
    <cellStyle name="Accent2 2" xfId="48" xr:uid="{00000000-0005-0000-0000-000018000000}"/>
    <cellStyle name="Accent3 2" xfId="49" xr:uid="{00000000-0005-0000-0000-000019000000}"/>
    <cellStyle name="Accent4 2" xfId="50" xr:uid="{00000000-0005-0000-0000-00001A000000}"/>
    <cellStyle name="Accent5 2" xfId="51" xr:uid="{00000000-0005-0000-0000-00001B000000}"/>
    <cellStyle name="Accent6 2" xfId="52" xr:uid="{00000000-0005-0000-0000-00001C000000}"/>
    <cellStyle name="AggblueCels_1x" xfId="53" xr:uid="{00000000-0005-0000-0000-00001D000000}"/>
    <cellStyle name="ANCLAS,REZONES Y SUS PARTES,DE FUNDICION,DE HIERRO O DE ACERO" xfId="1" xr:uid="{00000000-0005-0000-0000-00001E000000}"/>
    <cellStyle name="ANCLAS,REZONES Y SUS PARTES,DE FUNDICION,DE HIERRO O DE ACERO 2 2" xfId="147" xr:uid="{00000000-0005-0000-0000-00001F000000}"/>
    <cellStyle name="Bad 2" xfId="54" xr:uid="{00000000-0005-0000-0000-000020000000}"/>
    <cellStyle name="Bad 2 2" xfId="94" xr:uid="{00000000-0005-0000-0000-000021000000}"/>
    <cellStyle name="Bold GHG Numbers (0.00)" xfId="55" xr:uid="{00000000-0005-0000-0000-000022000000}"/>
    <cellStyle name="Calculation 2" xfId="56" xr:uid="{00000000-0005-0000-0000-000023000000}"/>
    <cellStyle name="Calculation 2 2" xfId="150" xr:uid="{00000000-0005-0000-0000-000024000000}"/>
    <cellStyle name="CellNationValue" xfId="88" xr:uid="{00000000-0005-0000-0000-000025000000}"/>
    <cellStyle name="CellNationValue 2" xfId="151" xr:uid="{00000000-0005-0000-0000-000026000000}"/>
    <cellStyle name="Check Cell 2" xfId="57" xr:uid="{00000000-0005-0000-0000-000027000000}"/>
    <cellStyle name="Column heading" xfId="95" xr:uid="{00000000-0005-0000-0000-000028000000}"/>
    <cellStyle name="Comma 2" xfId="19" xr:uid="{00000000-0005-0000-0000-000029000000}"/>
    <cellStyle name="Comma 2 2" xfId="79" xr:uid="{00000000-0005-0000-0000-00002A000000}"/>
    <cellStyle name="Comma 2 2 2" xfId="90" xr:uid="{00000000-0005-0000-0000-00002B000000}"/>
    <cellStyle name="Comma 2 3" xfId="96" xr:uid="{00000000-0005-0000-0000-00002C000000}"/>
    <cellStyle name="Comma 2 4" xfId="152" xr:uid="{00000000-0005-0000-0000-00002D000000}"/>
    <cellStyle name="Comma 3" xfId="20" xr:uid="{00000000-0005-0000-0000-00002E000000}"/>
    <cellStyle name="Comma 3 2" xfId="85" xr:uid="{00000000-0005-0000-0000-00002F000000}"/>
    <cellStyle name="Comma 4" xfId="21" xr:uid="{00000000-0005-0000-0000-000030000000}"/>
    <cellStyle name="Comma 5" xfId="153" xr:uid="{00000000-0005-0000-0000-000031000000}"/>
    <cellStyle name="Comma 6" xfId="154" xr:uid="{00000000-0005-0000-0000-000032000000}"/>
    <cellStyle name="Comma 6 2" xfId="155" xr:uid="{00000000-0005-0000-0000-000033000000}"/>
    <cellStyle name="Comma0" xfId="97" xr:uid="{00000000-0005-0000-0000-000034000000}"/>
    <cellStyle name="Corner heading" xfId="98" xr:uid="{00000000-0005-0000-0000-000035000000}"/>
    <cellStyle name="Currency0" xfId="99" xr:uid="{00000000-0005-0000-0000-000036000000}"/>
    <cellStyle name="Data" xfId="100" xr:uid="{00000000-0005-0000-0000-000037000000}"/>
    <cellStyle name="Data no deci" xfId="101" xr:uid="{00000000-0005-0000-0000-000038000000}"/>
    <cellStyle name="Data Superscript" xfId="102" xr:uid="{00000000-0005-0000-0000-000039000000}"/>
    <cellStyle name="Data_1-1A-Regular" xfId="103" xr:uid="{00000000-0005-0000-0000-00003A000000}"/>
    <cellStyle name="Data-one deci" xfId="104" xr:uid="{00000000-0005-0000-0000-00003B000000}"/>
    <cellStyle name="Date" xfId="105" xr:uid="{00000000-0005-0000-0000-00003C000000}"/>
    <cellStyle name="Euro" xfId="22" xr:uid="{00000000-0005-0000-0000-00003D000000}"/>
    <cellStyle name="Explanatory Text 2" xfId="58" xr:uid="{00000000-0005-0000-0000-00003E000000}"/>
    <cellStyle name="Fixed" xfId="106" xr:uid="{00000000-0005-0000-0000-00003F000000}"/>
    <cellStyle name="Good 2" xfId="59" xr:uid="{00000000-0005-0000-0000-000040000000}"/>
    <cellStyle name="Good 2 2" xfId="87" xr:uid="{00000000-0005-0000-0000-000041000000}"/>
    <cellStyle name="Heading" xfId="23" xr:uid="{00000000-0005-0000-0000-000042000000}"/>
    <cellStyle name="Heading 1 2" xfId="60" xr:uid="{00000000-0005-0000-0000-000043000000}"/>
    <cellStyle name="Heading 1 3" xfId="107" xr:uid="{00000000-0005-0000-0000-000044000000}"/>
    <cellStyle name="Heading 2 2" xfId="61" xr:uid="{00000000-0005-0000-0000-000045000000}"/>
    <cellStyle name="Heading 2 3" xfId="108" xr:uid="{00000000-0005-0000-0000-000046000000}"/>
    <cellStyle name="Heading 3 2" xfId="62" xr:uid="{00000000-0005-0000-0000-000047000000}"/>
    <cellStyle name="Heading 4 2" xfId="63" xr:uid="{00000000-0005-0000-0000-000048000000}"/>
    <cellStyle name="Hed Side" xfId="109" xr:uid="{00000000-0005-0000-0000-000049000000}"/>
    <cellStyle name="Hed Side bold" xfId="110" xr:uid="{00000000-0005-0000-0000-00004A000000}"/>
    <cellStyle name="Hed Side Indent" xfId="111" xr:uid="{00000000-0005-0000-0000-00004B000000}"/>
    <cellStyle name="Hed Side Regular" xfId="112" xr:uid="{00000000-0005-0000-0000-00004C000000}"/>
    <cellStyle name="Hed Side_1-1A-Regular" xfId="113" xr:uid="{00000000-0005-0000-0000-00004D000000}"/>
    <cellStyle name="Hed Top" xfId="114" xr:uid="{00000000-0005-0000-0000-00004E000000}"/>
    <cellStyle name="Hed Top - SECTION" xfId="115" xr:uid="{00000000-0005-0000-0000-00004F000000}"/>
    <cellStyle name="Hed Top - SECTION 2" xfId="156" xr:uid="{00000000-0005-0000-0000-000050000000}"/>
    <cellStyle name="Hed Top - SECTION 3" xfId="157" xr:uid="{00000000-0005-0000-0000-000051000000}"/>
    <cellStyle name="Hed Top_3-new4" xfId="116" xr:uid="{00000000-0005-0000-0000-000052000000}"/>
    <cellStyle name="Hyperlink" xfId="15" builtinId="8"/>
    <cellStyle name="Hyperlink 2" xfId="24" xr:uid="{00000000-0005-0000-0000-000054000000}"/>
    <cellStyle name="Hyperlink 3" xfId="64" xr:uid="{00000000-0005-0000-0000-000055000000}"/>
    <cellStyle name="Hyperlink 3 2" xfId="86" xr:uid="{00000000-0005-0000-0000-000056000000}"/>
    <cellStyle name="Hyperlink 4" xfId="82" xr:uid="{00000000-0005-0000-0000-000057000000}"/>
    <cellStyle name="Hyperlink 5" xfId="158" xr:uid="{00000000-0005-0000-0000-000058000000}"/>
    <cellStyle name="Input 2" xfId="65" xr:uid="{00000000-0005-0000-0000-000059000000}"/>
    <cellStyle name="Input 2 2" xfId="159" xr:uid="{00000000-0005-0000-0000-00005A000000}"/>
    <cellStyle name="InputCells12_BBorder_CRFReport-template" xfId="66" xr:uid="{00000000-0005-0000-0000-00005B000000}"/>
    <cellStyle name="Linked Cell 2" xfId="67" xr:uid="{00000000-0005-0000-0000-00005C000000}"/>
    <cellStyle name="Neutral 2" xfId="68" xr:uid="{00000000-0005-0000-0000-00005D000000}"/>
    <cellStyle name="Normal" xfId="0" builtinId="0"/>
    <cellStyle name="Normal 10" xfId="143" xr:uid="{00000000-0005-0000-0000-00005F000000}"/>
    <cellStyle name="Normal 10 2" xfId="160" xr:uid="{00000000-0005-0000-0000-000060000000}"/>
    <cellStyle name="Normal 10 3" xfId="161" xr:uid="{00000000-0005-0000-0000-000061000000}"/>
    <cellStyle name="Normal 10 4" xfId="162" xr:uid="{00000000-0005-0000-0000-000062000000}"/>
    <cellStyle name="Normal 11" xfId="163" xr:uid="{00000000-0005-0000-0000-000063000000}"/>
    <cellStyle name="Normal 11 2" xfId="164" xr:uid="{00000000-0005-0000-0000-000064000000}"/>
    <cellStyle name="Normal 12" xfId="165" xr:uid="{00000000-0005-0000-0000-000065000000}"/>
    <cellStyle name="Normal 13" xfId="166" xr:uid="{00000000-0005-0000-0000-000066000000}"/>
    <cellStyle name="Normal 13 2" xfId="167" xr:uid="{00000000-0005-0000-0000-000067000000}"/>
    <cellStyle name="Normal 14" xfId="168" xr:uid="{00000000-0005-0000-0000-000068000000}"/>
    <cellStyle name="Normal 14 2" xfId="169" xr:uid="{00000000-0005-0000-0000-000069000000}"/>
    <cellStyle name="Normal 2" xfId="2" xr:uid="{00000000-0005-0000-0000-00006A000000}"/>
    <cellStyle name="Normal 2 2" xfId="4" xr:uid="{00000000-0005-0000-0000-00006B000000}"/>
    <cellStyle name="Normal 2 2 2" xfId="91" xr:uid="{00000000-0005-0000-0000-00006C000000}"/>
    <cellStyle name="Normal 2 2 3" xfId="220" xr:uid="{00000000-0005-0000-0000-00006D000000}"/>
    <cellStyle name="Normal 2 3" xfId="13" xr:uid="{00000000-0005-0000-0000-00006E000000}"/>
    <cellStyle name="Normal 2 3 2" xfId="93" xr:uid="{00000000-0005-0000-0000-00006F000000}"/>
    <cellStyle name="Normal 2 4" xfId="170" xr:uid="{00000000-0005-0000-0000-000070000000}"/>
    <cellStyle name="Normal 2 5" xfId="221" xr:uid="{00000000-0005-0000-0000-000071000000}"/>
    <cellStyle name="Normal 3" xfId="6" xr:uid="{00000000-0005-0000-0000-000072000000}"/>
    <cellStyle name="Normal 3 2" xfId="14" xr:uid="{00000000-0005-0000-0000-000073000000}"/>
    <cellStyle name="Normal 3 3" xfId="171" xr:uid="{00000000-0005-0000-0000-000074000000}"/>
    <cellStyle name="Normal 3 4" xfId="172" xr:uid="{00000000-0005-0000-0000-000075000000}"/>
    <cellStyle name="Normal 3 5" xfId="173" xr:uid="{00000000-0005-0000-0000-000076000000}"/>
    <cellStyle name="Normal 4" xfId="7" xr:uid="{00000000-0005-0000-0000-000077000000}"/>
    <cellStyle name="Normal 4 2" xfId="16" xr:uid="{00000000-0005-0000-0000-000078000000}"/>
    <cellStyle name="Normal 4 3" xfId="84" xr:uid="{00000000-0005-0000-0000-000079000000}"/>
    <cellStyle name="Normal 4 4" xfId="174" xr:uid="{00000000-0005-0000-0000-00007A000000}"/>
    <cellStyle name="Normal 4 5" xfId="175" xr:uid="{00000000-0005-0000-0000-00007B000000}"/>
    <cellStyle name="Normal 4 6" xfId="176" xr:uid="{00000000-0005-0000-0000-00007C000000}"/>
    <cellStyle name="Normal 5" xfId="8" xr:uid="{00000000-0005-0000-0000-00007D000000}"/>
    <cellStyle name="Normal 5 2" xfId="80" xr:uid="{00000000-0005-0000-0000-00007E000000}"/>
    <cellStyle name="Normal 5 3" xfId="145" xr:uid="{00000000-0005-0000-0000-00007F000000}"/>
    <cellStyle name="Normal 5 3 2" xfId="177" xr:uid="{00000000-0005-0000-0000-000080000000}"/>
    <cellStyle name="Normal 5 3 3" xfId="178" xr:uid="{00000000-0005-0000-0000-000081000000}"/>
    <cellStyle name="Normal 5 3 4" xfId="179" xr:uid="{00000000-0005-0000-0000-000082000000}"/>
    <cellStyle name="Normal 5 4" xfId="180" xr:uid="{00000000-0005-0000-0000-000083000000}"/>
    <cellStyle name="Normal 5 4 2" xfId="181" xr:uid="{00000000-0005-0000-0000-000084000000}"/>
    <cellStyle name="Normal 5 5" xfId="182" xr:uid="{00000000-0005-0000-0000-000085000000}"/>
    <cellStyle name="Normal 5 6" xfId="183" xr:uid="{00000000-0005-0000-0000-000086000000}"/>
    <cellStyle name="Normal 5 7" xfId="184" xr:uid="{00000000-0005-0000-0000-000087000000}"/>
    <cellStyle name="Normal 6" xfId="9" xr:uid="{00000000-0005-0000-0000-000088000000}"/>
    <cellStyle name="Normal 6 2" xfId="185" xr:uid="{00000000-0005-0000-0000-000089000000}"/>
    <cellStyle name="Normal 6 3" xfId="186" xr:uid="{00000000-0005-0000-0000-00008A000000}"/>
    <cellStyle name="Normal 6 4" xfId="187" xr:uid="{00000000-0005-0000-0000-00008B000000}"/>
    <cellStyle name="Normal 7" xfId="11" xr:uid="{00000000-0005-0000-0000-00008C000000}"/>
    <cellStyle name="Normal 7 2" xfId="92" xr:uid="{00000000-0005-0000-0000-00008D000000}"/>
    <cellStyle name="Normal 7 3" xfId="117" xr:uid="{00000000-0005-0000-0000-00008E000000}"/>
    <cellStyle name="Normal 7 3 2" xfId="146" xr:uid="{00000000-0005-0000-0000-00008F000000}"/>
    <cellStyle name="Normal 7 3 2 2" xfId="188" xr:uid="{00000000-0005-0000-0000-000090000000}"/>
    <cellStyle name="Normal 7 3 2 3" xfId="189" xr:uid="{00000000-0005-0000-0000-000091000000}"/>
    <cellStyle name="Normal 7 3 2 4" xfId="190" xr:uid="{00000000-0005-0000-0000-000092000000}"/>
    <cellStyle name="Normal 7 3 3" xfId="191" xr:uid="{00000000-0005-0000-0000-000093000000}"/>
    <cellStyle name="Normal 7 3 4" xfId="192" xr:uid="{00000000-0005-0000-0000-000094000000}"/>
    <cellStyle name="Normal 7 3 5" xfId="193" xr:uid="{00000000-0005-0000-0000-000095000000}"/>
    <cellStyle name="Normal 7 4" xfId="194" xr:uid="{00000000-0005-0000-0000-000096000000}"/>
    <cellStyle name="Normal 7 4 2" xfId="195" xr:uid="{00000000-0005-0000-0000-000097000000}"/>
    <cellStyle name="Normal 7 5" xfId="196" xr:uid="{00000000-0005-0000-0000-000098000000}"/>
    <cellStyle name="Normal 7 6" xfId="197" xr:uid="{00000000-0005-0000-0000-000099000000}"/>
    <cellStyle name="Normal 7 7" xfId="198" xr:uid="{00000000-0005-0000-0000-00009A000000}"/>
    <cellStyle name="Normal 8" xfId="12" xr:uid="{00000000-0005-0000-0000-00009B000000}"/>
    <cellStyle name="Normal 8 2" xfId="199" xr:uid="{00000000-0005-0000-0000-00009C000000}"/>
    <cellStyle name="Normal 8 3" xfId="200" xr:uid="{00000000-0005-0000-0000-00009D000000}"/>
    <cellStyle name="Normal 8 4" xfId="201" xr:uid="{00000000-0005-0000-0000-00009E000000}"/>
    <cellStyle name="Normal 9" xfId="83" xr:uid="{00000000-0005-0000-0000-00009F000000}"/>
    <cellStyle name="Normal GHG-Shade" xfId="69" xr:uid="{00000000-0005-0000-0000-0000A0000000}"/>
    <cellStyle name="Note 2" xfId="70" xr:uid="{00000000-0005-0000-0000-0000A1000000}"/>
    <cellStyle name="Note 2 2" xfId="202" xr:uid="{00000000-0005-0000-0000-0000A2000000}"/>
    <cellStyle name="Output 2" xfId="71" xr:uid="{00000000-0005-0000-0000-0000A3000000}"/>
    <cellStyle name="Output 2 2" xfId="203" xr:uid="{00000000-0005-0000-0000-0000A4000000}"/>
    <cellStyle name="Percent" xfId="3" builtinId="5"/>
    <cellStyle name="Percent 2" xfId="5" xr:uid="{00000000-0005-0000-0000-0000A6000000}"/>
    <cellStyle name="Percent 2 2" xfId="204" xr:uid="{00000000-0005-0000-0000-0000A7000000}"/>
    <cellStyle name="Percent 2 3" xfId="205" xr:uid="{00000000-0005-0000-0000-0000A8000000}"/>
    <cellStyle name="Percent 3" xfId="10" xr:uid="{00000000-0005-0000-0000-0000A9000000}"/>
    <cellStyle name="Percent 3 2" xfId="89" xr:uid="{00000000-0005-0000-0000-0000AA000000}"/>
    <cellStyle name="Percent 3 3" xfId="206" xr:uid="{00000000-0005-0000-0000-0000AB000000}"/>
    <cellStyle name="Percent 3 4" xfId="207" xr:uid="{00000000-0005-0000-0000-0000AC000000}"/>
    <cellStyle name="Percent 3 5" xfId="208" xr:uid="{00000000-0005-0000-0000-0000AD000000}"/>
    <cellStyle name="Percent 4" xfId="17" xr:uid="{00000000-0005-0000-0000-0000AE000000}"/>
    <cellStyle name="Percent 4 2" xfId="209" xr:uid="{00000000-0005-0000-0000-0000AF000000}"/>
    <cellStyle name="Percent 4 3" xfId="210" xr:uid="{00000000-0005-0000-0000-0000B0000000}"/>
    <cellStyle name="Percent 4 4" xfId="211" xr:uid="{00000000-0005-0000-0000-0000B1000000}"/>
    <cellStyle name="Percent 5" xfId="81" xr:uid="{00000000-0005-0000-0000-0000B2000000}"/>
    <cellStyle name="Percent 6" xfId="144" xr:uid="{00000000-0005-0000-0000-0000B3000000}"/>
    <cellStyle name="Percent 6 2" xfId="212" xr:uid="{00000000-0005-0000-0000-0000B4000000}"/>
    <cellStyle name="Percent 6 3" xfId="213" xr:uid="{00000000-0005-0000-0000-0000B5000000}"/>
    <cellStyle name="Percent 6 4" xfId="214" xr:uid="{00000000-0005-0000-0000-0000B6000000}"/>
    <cellStyle name="Percent 7" xfId="215" xr:uid="{00000000-0005-0000-0000-0000B7000000}"/>
    <cellStyle name="Percent 8" xfId="216" xr:uid="{00000000-0005-0000-0000-0000B8000000}"/>
    <cellStyle name="Percent 8 2" xfId="217" xr:uid="{00000000-0005-0000-0000-0000B9000000}"/>
    <cellStyle name="Publication_style" xfId="72" xr:uid="{00000000-0005-0000-0000-0000BA000000}"/>
    <cellStyle name="Refdb standard" xfId="25" xr:uid="{00000000-0005-0000-0000-0000BB000000}"/>
    <cellStyle name="Reference" xfId="118" xr:uid="{00000000-0005-0000-0000-0000BC000000}"/>
    <cellStyle name="Row heading" xfId="119" xr:uid="{00000000-0005-0000-0000-0000BD000000}"/>
    <cellStyle name="Shade" xfId="73" xr:uid="{00000000-0005-0000-0000-0000BE000000}"/>
    <cellStyle name="Shade 2" xfId="218" xr:uid="{00000000-0005-0000-0000-0000BF000000}"/>
    <cellStyle name="Source" xfId="74" xr:uid="{00000000-0005-0000-0000-0000C0000000}"/>
    <cellStyle name="Source Hed" xfId="120" xr:uid="{00000000-0005-0000-0000-0000C1000000}"/>
    <cellStyle name="Source Letter" xfId="121" xr:uid="{00000000-0005-0000-0000-0000C2000000}"/>
    <cellStyle name="Source Superscript" xfId="122" xr:uid="{00000000-0005-0000-0000-0000C3000000}"/>
    <cellStyle name="Source Text" xfId="123" xr:uid="{00000000-0005-0000-0000-0000C4000000}"/>
    <cellStyle name="State" xfId="124" xr:uid="{00000000-0005-0000-0000-0000C5000000}"/>
    <cellStyle name="Style 1" xfId="26" xr:uid="{00000000-0005-0000-0000-0000C6000000}"/>
    <cellStyle name="Superscript" xfId="125" xr:uid="{00000000-0005-0000-0000-0000C7000000}"/>
    <cellStyle name="Superscript- regular" xfId="126" xr:uid="{00000000-0005-0000-0000-0000C8000000}"/>
    <cellStyle name="Superscript_1-1A-Regular" xfId="127" xr:uid="{00000000-0005-0000-0000-0000C9000000}"/>
    <cellStyle name="Table Data" xfId="128" xr:uid="{00000000-0005-0000-0000-0000CA000000}"/>
    <cellStyle name="Table Head Top" xfId="129" xr:uid="{00000000-0005-0000-0000-0000CB000000}"/>
    <cellStyle name="Table Hed Side" xfId="130" xr:uid="{00000000-0005-0000-0000-0000CC000000}"/>
    <cellStyle name="Table Title" xfId="131" xr:uid="{00000000-0005-0000-0000-0000CD000000}"/>
    <cellStyle name="Title 2" xfId="75" xr:uid="{00000000-0005-0000-0000-0000CE000000}"/>
    <cellStyle name="Title Text" xfId="132" xr:uid="{00000000-0005-0000-0000-0000CF000000}"/>
    <cellStyle name="Title Text 1" xfId="133" xr:uid="{00000000-0005-0000-0000-0000D0000000}"/>
    <cellStyle name="Title Text 2" xfId="134" xr:uid="{00000000-0005-0000-0000-0000D1000000}"/>
    <cellStyle name="Title-1" xfId="135" xr:uid="{00000000-0005-0000-0000-0000D2000000}"/>
    <cellStyle name="Title-2" xfId="136" xr:uid="{00000000-0005-0000-0000-0000D3000000}"/>
    <cellStyle name="Title-3" xfId="137" xr:uid="{00000000-0005-0000-0000-0000D4000000}"/>
    <cellStyle name="Total 2" xfId="76" xr:uid="{00000000-0005-0000-0000-0000D5000000}"/>
    <cellStyle name="Total 2 2" xfId="219" xr:uid="{00000000-0005-0000-0000-0000D6000000}"/>
    <cellStyle name="Total 3" xfId="138" xr:uid="{00000000-0005-0000-0000-0000D7000000}"/>
    <cellStyle name="Warning Text 2" xfId="77" xr:uid="{00000000-0005-0000-0000-0000D8000000}"/>
    <cellStyle name="Wrap" xfId="139" xr:uid="{00000000-0005-0000-0000-0000D9000000}"/>
    <cellStyle name="Wrap Bold" xfId="140" xr:uid="{00000000-0005-0000-0000-0000DA000000}"/>
    <cellStyle name="Wrap Title" xfId="141" xr:uid="{00000000-0005-0000-0000-0000DB000000}"/>
    <cellStyle name="Wrap_NTS99-~11" xfId="142" xr:uid="{00000000-0005-0000-0000-0000DC000000}"/>
    <cellStyle name="Обычный_2++_CRFReport-template" xfId="78" xr:uid="{00000000-0005-0000-0000-0000DD000000}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US train car fuel economy  mpUSg (car miles)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ss_Brockway_2015!$A$94</c:f>
              <c:strCache>
                <c:ptCount val="1"/>
                <c:pt idx="0">
                  <c:v>Rail, Class I (in freight service)</c:v>
                </c:pt>
              </c:strCache>
            </c:strRef>
          </c:tx>
          <c:marker>
            <c:symbol val="none"/>
          </c:marker>
          <c:cat>
            <c:numRef>
              <c:f>ss_Brockway_2015!$C$74:$BA$74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ss_Brockway_2015!$C$94:$BA$94</c:f>
              <c:numCache>
                <c:formatCode>#,##0.00</c:formatCode>
                <c:ptCount val="51"/>
                <c:pt idx="0" formatCode="0.00">
                  <c:v>8.134565405717586</c:v>
                </c:pt>
                <c:pt idx="1">
                  <c:v>8.1410598969571417</c:v>
                </c:pt>
                <c:pt idx="2">
                  <c:v>8.1475543881966974</c:v>
                </c:pt>
                <c:pt idx="3">
                  <c:v>8.1540488794362531</c:v>
                </c:pt>
                <c:pt idx="4">
                  <c:v>8.1605433706758088</c:v>
                </c:pt>
                <c:pt idx="5" formatCode="0.00">
                  <c:v>8.1670378619153681</c:v>
                </c:pt>
                <c:pt idx="6">
                  <c:v>8.2199490483475266</c:v>
                </c:pt>
                <c:pt idx="7">
                  <c:v>8.2728602347796851</c:v>
                </c:pt>
                <c:pt idx="8">
                  <c:v>8.3257714212118437</c:v>
                </c:pt>
                <c:pt idx="9">
                  <c:v>8.3786826076440022</c:v>
                </c:pt>
                <c:pt idx="10" formatCode="0.00">
                  <c:v>8.4315937940761643</c:v>
                </c:pt>
                <c:pt idx="11">
                  <c:v>8.2577716171586619</c:v>
                </c:pt>
                <c:pt idx="12">
                  <c:v>8.0839494402411596</c:v>
                </c:pt>
                <c:pt idx="13">
                  <c:v>7.9101272633236572</c:v>
                </c:pt>
                <c:pt idx="14">
                  <c:v>7.7363050864061549</c:v>
                </c:pt>
                <c:pt idx="15" formatCode="0.00">
                  <c:v>7.5624829094886517</c:v>
                </c:pt>
                <c:pt idx="16">
                  <c:v>7.5498326390663308</c:v>
                </c:pt>
                <c:pt idx="17">
                  <c:v>7.53718236864401</c:v>
                </c:pt>
                <c:pt idx="18">
                  <c:v>7.5245320982216892</c:v>
                </c:pt>
                <c:pt idx="19">
                  <c:v>7.5118818277993684</c:v>
                </c:pt>
                <c:pt idx="20" formatCode="0.00">
                  <c:v>7.4992315573770494</c:v>
                </c:pt>
                <c:pt idx="21">
                  <c:v>7.601957593168521</c:v>
                </c:pt>
                <c:pt idx="22">
                  <c:v>7.7046836289599927</c:v>
                </c:pt>
                <c:pt idx="23">
                  <c:v>7.8074096647514644</c:v>
                </c:pt>
                <c:pt idx="24">
                  <c:v>7.910135700542936</c:v>
                </c:pt>
                <c:pt idx="25" formatCode="0.00">
                  <c:v>8.0128617363344059</c:v>
                </c:pt>
                <c:pt idx="26">
                  <c:v>8.1155877721258776</c:v>
                </c:pt>
                <c:pt idx="27">
                  <c:v>8.2183138079173492</c:v>
                </c:pt>
                <c:pt idx="28">
                  <c:v>8.3210398437088209</c:v>
                </c:pt>
                <c:pt idx="29">
                  <c:v>8.4237658795002925</c:v>
                </c:pt>
                <c:pt idx="30" formatCode="0.00">
                  <c:v>8.3977528089887645</c:v>
                </c:pt>
                <c:pt idx="31" formatCode="0.00">
                  <c:v>8.8189951823812809</c:v>
                </c:pt>
                <c:pt idx="32" formatCode="0.00">
                  <c:v>8.694841930116473</c:v>
                </c:pt>
                <c:pt idx="33" formatCode="0.00">
                  <c:v>8.7056347150259068</c:v>
                </c:pt>
                <c:pt idx="34" formatCode="0.00">
                  <c:v>8.5437912417516504</c:v>
                </c:pt>
                <c:pt idx="35" formatCode="0.00">
                  <c:v>8.730747126436782</c:v>
                </c:pt>
                <c:pt idx="36" formatCode="0.00">
                  <c:v>8.8614138027381948</c:v>
                </c:pt>
                <c:pt idx="37" formatCode="0.00">
                  <c:v>8.8559440559440556</c:v>
                </c:pt>
                <c:pt idx="38" formatCode="0.00">
                  <c:v>9.1144292492324865</c:v>
                </c:pt>
                <c:pt idx="39" formatCode="0.00">
                  <c:v>9.1119784656796767</c:v>
                </c:pt>
                <c:pt idx="40" formatCode="0.00">
                  <c:v>9.3486486486486484</c:v>
                </c:pt>
                <c:pt idx="41" formatCode="0.00">
                  <c:v>9.2299191374663074</c:v>
                </c:pt>
                <c:pt idx="42" formatCode="0.00">
                  <c:v>9.2975871313672922</c:v>
                </c:pt>
                <c:pt idx="43" formatCode="0.00">
                  <c:v>9.2929952953476214</c:v>
                </c:pt>
                <c:pt idx="44" formatCode="0.00">
                  <c:v>9.1330376940133036</c:v>
                </c:pt>
                <c:pt idx="45" formatCode="0.00">
                  <c:v>9.202537823328452</c:v>
                </c:pt>
                <c:pt idx="46" formatCode="0.00">
                  <c:v>9.2927003816793885</c:v>
                </c:pt>
                <c:pt idx="47" formatCode="0.00">
                  <c:v>9.4007877892663707</c:v>
                </c:pt>
                <c:pt idx="48" formatCode="0.00">
                  <c:v>9.5795162120432327</c:v>
                </c:pt>
                <c:pt idx="49" formatCode="0.00">
                  <c:v>10.061090225563909</c:v>
                </c:pt>
                <c:pt idx="50" formatCode="0.00">
                  <c:v>10.172009158557527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F-42A0-B80F-506EC7E5266A}"/>
            </c:ext>
          </c:extLst>
        </c:ser>
        <c:ser>
          <c:idx val="1"/>
          <c:order val="1"/>
          <c:tx>
            <c:strRef>
              <c:f>ss_Brockway_2015!$A$95</c:f>
              <c:strCache>
                <c:ptCount val="1"/>
                <c:pt idx="0">
                  <c:v>Amtrak</c:v>
                </c:pt>
              </c:strCache>
            </c:strRef>
          </c:tx>
          <c:marker>
            <c:symbol val="none"/>
          </c:marker>
          <c:cat>
            <c:numRef>
              <c:f>ss_Brockway_2015!$C$74:$BA$74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ss_Brockway_2015!$C$95:$BA$95</c:f>
              <c:numCache>
                <c:formatCode>#,##0.00</c:formatCode>
                <c:ptCount val="51"/>
                <c:pt idx="0" formatCode="0.0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 formatCode="0.00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 formatCode="0.00">
                  <c:v>3.75</c:v>
                </c:pt>
                <c:pt idx="11">
                  <c:v>3.7504161218055936</c:v>
                </c:pt>
                <c:pt idx="12">
                  <c:v>3.7508322436111872</c:v>
                </c:pt>
                <c:pt idx="13">
                  <c:v>3.7512483654167808</c:v>
                </c:pt>
                <c:pt idx="14">
                  <c:v>3.7516644872223743</c:v>
                </c:pt>
                <c:pt idx="15" formatCode="0.00">
                  <c:v>3.7520806090279679</c:v>
                </c:pt>
                <c:pt idx="16">
                  <c:v>3.6707020057091806</c:v>
                </c:pt>
                <c:pt idx="17">
                  <c:v>3.5893234023903933</c:v>
                </c:pt>
                <c:pt idx="18">
                  <c:v>3.5079447990716059</c:v>
                </c:pt>
                <c:pt idx="19">
                  <c:v>3.4265661957528186</c:v>
                </c:pt>
                <c:pt idx="20" formatCode="0.00">
                  <c:v>3.3451875924340317</c:v>
                </c:pt>
                <c:pt idx="21">
                  <c:v>3.3708726771728794</c:v>
                </c:pt>
                <c:pt idx="22">
                  <c:v>3.3965577619117271</c:v>
                </c:pt>
                <c:pt idx="23">
                  <c:v>3.4222428466505748</c:v>
                </c:pt>
                <c:pt idx="24">
                  <c:v>3.4479279313894224</c:v>
                </c:pt>
                <c:pt idx="25" formatCode="0.00">
                  <c:v>3.4736130161282692</c:v>
                </c:pt>
                <c:pt idx="26">
                  <c:v>3.4992981008671169</c:v>
                </c:pt>
                <c:pt idx="27">
                  <c:v>3.5249831856059646</c:v>
                </c:pt>
                <c:pt idx="28">
                  <c:v>3.5506682703448122</c:v>
                </c:pt>
                <c:pt idx="29">
                  <c:v>3.5763533550836599</c:v>
                </c:pt>
                <c:pt idx="30" formatCode="0.00">
                  <c:v>3.3399799766394129</c:v>
                </c:pt>
                <c:pt idx="31" formatCode="0.00">
                  <c:v>3.4989302688081665</c:v>
                </c:pt>
                <c:pt idx="32" formatCode="0.00">
                  <c:v>3.4346925041677498</c:v>
                </c:pt>
                <c:pt idx="33" formatCode="0.00">
                  <c:v>3.3515215665519982</c:v>
                </c:pt>
                <c:pt idx="34" formatCode="0.00">
                  <c:v>3.7253279278977436</c:v>
                </c:pt>
                <c:pt idx="35" formatCode="0.00">
                  <c:v>3.6378159275154984</c:v>
                </c:pt>
                <c:pt idx="36" formatCode="0.00">
                  <c:v>3.4529207036026714</c:v>
                </c:pt>
                <c:pt idx="37" formatCode="0.00">
                  <c:v>3.3646149423451623</c:v>
                </c:pt>
                <c:pt idx="38" formatCode="0.00">
                  <c:v>3.6179575790241274</c:v>
                </c:pt>
                <c:pt idx="39" formatCode="0.00">
                  <c:v>3.8041893176202244</c:v>
                </c:pt>
                <c:pt idx="40" formatCode="0.00">
                  <c:v>3.4532824476443991</c:v>
                </c:pt>
                <c:pt idx="41" formatCode="0.00">
                  <c:v>3.4928597143885756</c:v>
                </c:pt>
                <c:pt idx="42" formatCode="0.00">
                  <c:v>3.9174579624134522</c:v>
                </c:pt>
                <c:pt idx="43" formatCode="0.00">
                  <c:v>3.7635773340461967</c:v>
                </c:pt>
                <c:pt idx="44" formatCode="0.00">
                  <c:v>3.7306905773163441</c:v>
                </c:pt>
                <c:pt idx="45" formatCode="0.00">
                  <c:v>3.3945504373484168</c:v>
                </c:pt>
                <c:pt idx="46" formatCode="0.00">
                  <c:v>3.4962614284421112</c:v>
                </c:pt>
                <c:pt idx="47" formatCode="0.00">
                  <c:v>3.502887529816884</c:v>
                </c:pt>
                <c:pt idx="48" formatCode="0.00">
                  <c:v>3.5177906843114894</c:v>
                </c:pt>
                <c:pt idx="49" formatCode="0.00">
                  <c:v>3.728445869279398</c:v>
                </c:pt>
                <c:pt idx="50" formatCode="0.00">
                  <c:v>3.8202048201661012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F-42A0-B80F-506EC7E5266A}"/>
            </c:ext>
          </c:extLst>
        </c:ser>
        <c:ser>
          <c:idx val="2"/>
          <c:order val="2"/>
          <c:tx>
            <c:strRef>
              <c:f>ss_Brockway_2015!$A$96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cat>
            <c:numRef>
              <c:f>ss_Brockway_2015!$C$74:$BA$74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ss_Brockway_2015!$C$96:$BA$96</c:f>
              <c:numCache>
                <c:formatCode>0.00</c:formatCode>
                <c:ptCount val="51"/>
                <c:pt idx="0">
                  <c:v>7.4980127641313903</c:v>
                </c:pt>
                <c:pt idx="1">
                  <c:v>7.5291433398223901</c:v>
                </c:pt>
                <c:pt idx="2">
                  <c:v>7.5602321799605354</c:v>
                </c:pt>
                <c:pt idx="3">
                  <c:v>7.5912793684194542</c:v>
                </c:pt>
                <c:pt idx="4">
                  <c:v>7.6222849888481825</c:v>
                </c:pt>
                <c:pt idx="5">
                  <c:v>7.6532491246719179</c:v>
                </c:pt>
                <c:pt idx="6">
                  <c:v>7.7553951229657887</c:v>
                </c:pt>
                <c:pt idx="7">
                  <c:v>7.8610356209038583</c:v>
                </c:pt>
                <c:pt idx="8">
                  <c:v>7.9703530639042608</c:v>
                </c:pt>
                <c:pt idx="9">
                  <c:v>8.0835428227934081</c:v>
                </c:pt>
                <c:pt idx="10">
                  <c:v>8.2008143590757108</c:v>
                </c:pt>
                <c:pt idx="11">
                  <c:v>8.0594865732634169</c:v>
                </c:pt>
                <c:pt idx="12">
                  <c:v>7.9180910080459794</c:v>
                </c:pt>
                <c:pt idx="13">
                  <c:v>7.7766276146522078</c:v>
                </c:pt>
                <c:pt idx="14">
                  <c:v>7.6350963442641078</c:v>
                </c:pt>
                <c:pt idx="15">
                  <c:v>7.493497148016826</c:v>
                </c:pt>
                <c:pt idx="16">
                  <c:v>7.4792414894366059</c:v>
                </c:pt>
                <c:pt idx="17">
                  <c:v>7.4653583233935672</c:v>
                </c:pt>
                <c:pt idx="18">
                  <c:v>7.4518332386284225</c:v>
                </c:pt>
                <c:pt idx="19">
                  <c:v>7.4386525578210527</c:v>
                </c:pt>
                <c:pt idx="20">
                  <c:v>7.4258032914551775</c:v>
                </c:pt>
                <c:pt idx="21">
                  <c:v>7.5065281331533598</c:v>
                </c:pt>
                <c:pt idx="22">
                  <c:v>7.5942450914571626</c:v>
                </c:pt>
                <c:pt idx="23">
                  <c:v>7.6899037416248754</c:v>
                </c:pt>
                <c:pt idx="24">
                  <c:v>7.7946337564474195</c:v>
                </c:pt>
                <c:pt idx="25">
                  <c:v>7.9097897283834993</c:v>
                </c:pt>
                <c:pt idx="26">
                  <c:v>7.9793367022038009</c:v>
                </c:pt>
                <c:pt idx="27">
                  <c:v>8.0486843993970982</c:v>
                </c:pt>
                <c:pt idx="28">
                  <c:v>8.1178336752348716</c:v>
                </c:pt>
                <c:pt idx="29">
                  <c:v>8.1867853801012966</c:v>
                </c:pt>
                <c:pt idx="30">
                  <c:v>8.2555403595281049</c:v>
                </c:pt>
                <c:pt idx="31">
                  <c:v>8.6601174437836121</c:v>
                </c:pt>
                <c:pt idx="32">
                  <c:v>8.5429010437409882</c:v>
                </c:pt>
                <c:pt idx="33">
                  <c:v>8.5533421548216371</c:v>
                </c:pt>
                <c:pt idx="34">
                  <c:v>8.4286714022815161</c:v>
                </c:pt>
                <c:pt idx="35">
                  <c:v>8.6159245581215327</c:v>
                </c:pt>
                <c:pt idx="36">
                  <c:v>8.7432609044094374</c:v>
                </c:pt>
                <c:pt idx="37">
                  <c:v>8.7275388281812951</c:v>
                </c:pt>
                <c:pt idx="38">
                  <c:v>8.9852480201069547</c:v>
                </c:pt>
                <c:pt idx="39">
                  <c:v>8.9865678505794406</c:v>
                </c:pt>
                <c:pt idx="40">
                  <c:v>9.1836071255098535</c:v>
                </c:pt>
                <c:pt idx="41">
                  <c:v>9.0673122383104943</c:v>
                </c:pt>
                <c:pt idx="42">
                  <c:v>9.1615686617737158</c:v>
                </c:pt>
                <c:pt idx="43">
                  <c:v>9.1683797855407185</c:v>
                </c:pt>
                <c:pt idx="44">
                  <c:v>9.025346503606146</c:v>
                </c:pt>
                <c:pt idx="45">
                  <c:v>9.0939648110305367</c:v>
                </c:pt>
                <c:pt idx="46">
                  <c:v>9.1901383003975745</c:v>
                </c:pt>
                <c:pt idx="47">
                  <c:v>9.2921530766969163</c:v>
                </c:pt>
                <c:pt idx="48">
                  <c:v>9.4612567495622457</c:v>
                </c:pt>
                <c:pt idx="49">
                  <c:v>9.9140031399669777</c:v>
                </c:pt>
                <c:pt idx="50">
                  <c:v>10.03466324141254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F-42A0-B80F-506EC7E52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223872"/>
        <c:axId val="298237952"/>
      </c:lineChart>
      <c:catAx>
        <c:axId val="29822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823795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9823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train</a:t>
                </a:r>
                <a:r>
                  <a:rPr lang="en-GB" baseline="0"/>
                  <a:t> car fuel economy (mpUSg)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98223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Options for log scale of US train exergy efficiency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ss_Brockway_2015!$C$62:$D$62</c:f>
              <c:strCache>
                <c:ptCount val="2"/>
                <c:pt idx="0">
                  <c:v>diesel train exergy efficiency, y = 50(1-e^-0.2x)</c:v>
                </c:pt>
                <c:pt idx="1">
                  <c:v>y1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ss_Brockway_2015!$E$60:$AX$60</c:f>
              <c:numCache>
                <c:formatCode>General</c:formatCode>
                <c:ptCount val="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</c:numCache>
            </c:numRef>
          </c:cat>
          <c:val>
            <c:numRef>
              <c:f>ss_Brockway_2015!$E$62:$AD$62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9.9006633466223737E-3</c:v>
                </c:pt>
                <c:pt idx="2">
                  <c:v>1.9605280423838412E-2</c:v>
                </c:pt>
                <c:pt idx="3">
                  <c:v>2.9117733207875637E-2</c:v>
                </c:pt>
                <c:pt idx="4">
                  <c:v>3.8441826806682122E-2</c:v>
                </c:pt>
                <c:pt idx="5">
                  <c:v>4.7581290982020248E-2</c:v>
                </c:pt>
                <c:pt idx="6">
                  <c:v>5.6539781641421261E-2</c:v>
                </c:pt>
                <c:pt idx="7">
                  <c:v>6.5320882300597072E-2</c:v>
                </c:pt>
                <c:pt idx="8">
                  <c:v>7.3928105516894327E-2</c:v>
                </c:pt>
                <c:pt idx="9">
                  <c:v>8.2364894294363999E-2</c:v>
                </c:pt>
                <c:pt idx="10">
                  <c:v>9.063462346100909E-2</c:v>
                </c:pt>
                <c:pt idx="11">
                  <c:v>9.8740601018760754E-2</c:v>
                </c:pt>
                <c:pt idx="12">
                  <c:v>0.10668606946672327</c:v>
                </c:pt>
                <c:pt idx="13">
                  <c:v>0.11447420709821687</c:v>
                </c:pt>
                <c:pt idx="14">
                  <c:v>0.12210812927213727</c:v>
                </c:pt>
                <c:pt idx="15">
                  <c:v>0.12959088965914106</c:v>
                </c:pt>
                <c:pt idx="16">
                  <c:v>0.13692548146315459</c:v>
                </c:pt>
                <c:pt idx="17">
                  <c:v>0.14411483861869517</c:v>
                </c:pt>
                <c:pt idx="18">
                  <c:v>0.15116183696448449</c:v>
                </c:pt>
                <c:pt idx="19">
                  <c:v>0.15806929539382208</c:v>
                </c:pt>
                <c:pt idx="20">
                  <c:v>0.16483997698218034</c:v>
                </c:pt>
                <c:pt idx="21">
                  <c:v>0.17147659009247163</c:v>
                </c:pt>
                <c:pt idx="22">
                  <c:v>0.17798178945842935</c:v>
                </c:pt>
                <c:pt idx="23">
                  <c:v>0.18435817724653702</c:v>
                </c:pt>
                <c:pt idx="24">
                  <c:v>0.19060830409692958</c:v>
                </c:pt>
                <c:pt idx="25">
                  <c:v>0.19673467014368329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4B-4C82-9209-BD3A2E1DE248}"/>
            </c:ext>
          </c:extLst>
        </c:ser>
        <c:ser>
          <c:idx val="1"/>
          <c:order val="1"/>
          <c:tx>
            <c:strRef>
              <c:f>ss_Brockway_2015!$C$63:$D$63</c:f>
              <c:strCache>
                <c:ptCount val="2"/>
                <c:pt idx="0">
                  <c:v>diesel train exergy efficiency, y = 50(1-e^-0.4x)</c:v>
                </c:pt>
                <c:pt idx="1">
                  <c:v>y2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ss_Brockway_2015!$E$60:$AX$60</c:f>
              <c:numCache>
                <c:formatCode>General</c:formatCode>
                <c:ptCount val="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</c:numCache>
            </c:numRef>
          </c:cat>
          <c:val>
            <c:numRef>
              <c:f>ss_Brockway_2015!$E$63:$AD$63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1.9605280423838412E-2</c:v>
                </c:pt>
                <c:pt idx="2">
                  <c:v>3.8441826806682122E-2</c:v>
                </c:pt>
                <c:pt idx="3">
                  <c:v>5.6539781641421261E-2</c:v>
                </c:pt>
                <c:pt idx="4">
                  <c:v>7.3928105516894327E-2</c:v>
                </c:pt>
                <c:pt idx="5">
                  <c:v>9.063462346100909E-2</c:v>
                </c:pt>
                <c:pt idx="6">
                  <c:v>0.10668606946672327</c:v>
                </c:pt>
                <c:pt idx="7">
                  <c:v>0.12210812927213727</c:v>
                </c:pt>
                <c:pt idx="8">
                  <c:v>0.13692548146315459</c:v>
                </c:pt>
                <c:pt idx="9">
                  <c:v>0.15116183696448449</c:v>
                </c:pt>
                <c:pt idx="10">
                  <c:v>0.16483997698218034</c:v>
                </c:pt>
                <c:pt idx="11">
                  <c:v>0.17798178945842935</c:v>
                </c:pt>
                <c:pt idx="12">
                  <c:v>0.19060830409692958</c:v>
                </c:pt>
                <c:pt idx="13">
                  <c:v>0.20273972601490281</c:v>
                </c:pt>
                <c:pt idx="14">
                  <c:v>0.21439546807559257</c:v>
                </c:pt>
                <c:pt idx="15">
                  <c:v>0.22559418195298681</c:v>
                </c:pt>
                <c:pt idx="16">
                  <c:v>0.23635378797847573</c:v>
                </c:pt>
                <c:pt idx="17">
                  <c:v>0.24669150381720523</c:v>
                </c:pt>
                <c:pt idx="18">
                  <c:v>0.25662387202001419</c:v>
                </c:pt>
                <c:pt idx="19">
                  <c:v>0.26616678649504538</c:v>
                </c:pt>
                <c:pt idx="20">
                  <c:v>0.27533551794138922</c:v>
                </c:pt>
                <c:pt idx="21">
                  <c:v>0.28414473828546016</c:v>
                </c:pt>
                <c:pt idx="22">
                  <c:v>0.29260854415920934</c:v>
                </c:pt>
                <c:pt idx="23">
                  <c:v>0.3007404794577429</c:v>
                </c:pt>
                <c:pt idx="24">
                  <c:v>0.30855355701244397</c:v>
                </c:pt>
                <c:pt idx="25">
                  <c:v>0.31606027941427883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B-4C82-9209-BD3A2E1DE248}"/>
            </c:ext>
          </c:extLst>
        </c:ser>
        <c:ser>
          <c:idx val="2"/>
          <c:order val="2"/>
          <c:tx>
            <c:strRef>
              <c:f>ss_Brockway_2015!$C$64:$D$64</c:f>
              <c:strCache>
                <c:ptCount val="2"/>
                <c:pt idx="0">
                  <c:v>diesel train exergy efficiency, y = 50(1-e^-0.6x)</c:v>
                </c:pt>
                <c:pt idx="1">
                  <c:v>y3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ss_Brockway_2015!$E$60:$AX$60</c:f>
              <c:numCache>
                <c:formatCode>General</c:formatCode>
                <c:ptCount val="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</c:numCache>
            </c:numRef>
          </c:cat>
          <c:val>
            <c:numRef>
              <c:f>ss_Brockway_2015!$E$64:$AD$64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2.9117733207875637E-2</c:v>
                </c:pt>
                <c:pt idx="2">
                  <c:v>5.6539781641421261E-2</c:v>
                </c:pt>
                <c:pt idx="3">
                  <c:v>8.2364894294363999E-2</c:v>
                </c:pt>
                <c:pt idx="4">
                  <c:v>0.10668606946672327</c:v>
                </c:pt>
                <c:pt idx="5">
                  <c:v>0.12959088965914106</c:v>
                </c:pt>
                <c:pt idx="6">
                  <c:v>0.15116183696448449</c:v>
                </c:pt>
                <c:pt idx="7">
                  <c:v>0.17147659009247163</c:v>
                </c:pt>
                <c:pt idx="8">
                  <c:v>0.19060830409692958</c:v>
                </c:pt>
                <c:pt idx="9">
                  <c:v>0.20862587381300518</c:v>
                </c:pt>
                <c:pt idx="10">
                  <c:v>0.22559418195298681</c:v>
                </c:pt>
                <c:pt idx="11">
                  <c:v>0.24157433275415041</c:v>
                </c:pt>
                <c:pt idx="12">
                  <c:v>0.25662387202001413</c:v>
                </c:pt>
                <c:pt idx="13">
                  <c:v>0.27079699434738824</c:v>
                </c:pt>
                <c:pt idx="14">
                  <c:v>0.28414473828546016</c:v>
                </c:pt>
                <c:pt idx="15">
                  <c:v>0.29671517012970039</c:v>
                </c:pt>
                <c:pt idx="16">
                  <c:v>0.30855355701244397</c:v>
                </c:pt>
                <c:pt idx="17">
                  <c:v>0.31970252991346082</c:v>
                </c:pt>
                <c:pt idx="18">
                  <c:v>0.3302022371775305</c:v>
                </c:pt>
                <c:pt idx="19">
                  <c:v>0.34009048909184808</c:v>
                </c:pt>
                <c:pt idx="20">
                  <c:v>0.34940289404389885</c:v>
                </c:pt>
                <c:pt idx="21">
                  <c:v>0.35817298675011477</c:v>
                </c:pt>
                <c:pt idx="22">
                  <c:v>0.36643234901707478</c:v>
                </c:pt>
                <c:pt idx="23">
                  <c:v>0.37421072347012169</c:v>
                </c:pt>
                <c:pt idx="24">
                  <c:v>0.3815361206589391</c:v>
                </c:pt>
                <c:pt idx="25">
                  <c:v>0.38843491992578516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4B-4C82-9209-BD3A2E1DE248}"/>
            </c:ext>
          </c:extLst>
        </c:ser>
        <c:ser>
          <c:idx val="3"/>
          <c:order val="3"/>
          <c:tx>
            <c:strRef>
              <c:f>ss_Brockway_2015!$C$66:$D$66</c:f>
              <c:strCache>
                <c:ptCount val="2"/>
                <c:pt idx="0">
                  <c:v>diesel train exergy efficiency, y = 50(1-e^-1.0x)</c:v>
                </c:pt>
                <c:pt idx="1">
                  <c:v>y5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ss_Brockway_2015!$E$60:$AX$60</c:f>
              <c:numCache>
                <c:formatCode>General</c:formatCode>
                <c:ptCount val="4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</c:numCache>
            </c:numRef>
          </c:cat>
          <c:val>
            <c:numRef>
              <c:f>ss_Brockway_2015!$E$66:$AD$66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4.7581290982020248E-2</c:v>
                </c:pt>
                <c:pt idx="2">
                  <c:v>9.063462346100909E-2</c:v>
                </c:pt>
                <c:pt idx="3">
                  <c:v>0.12959088965914106</c:v>
                </c:pt>
                <c:pt idx="4">
                  <c:v>0.16483997698218034</c:v>
                </c:pt>
                <c:pt idx="5">
                  <c:v>0.19673467014368329</c:v>
                </c:pt>
                <c:pt idx="6">
                  <c:v>0.22559418195298681</c:v>
                </c:pt>
                <c:pt idx="7">
                  <c:v>0.25170734810429524</c:v>
                </c:pt>
                <c:pt idx="8">
                  <c:v>0.27533551794138922</c:v>
                </c:pt>
                <c:pt idx="9">
                  <c:v>0.29671517012970045</c:v>
                </c:pt>
                <c:pt idx="10">
                  <c:v>0.31606027941427883</c:v>
                </c:pt>
                <c:pt idx="11">
                  <c:v>0.33356445815096025</c:v>
                </c:pt>
                <c:pt idx="12">
                  <c:v>0.34940289404389885</c:v>
                </c:pt>
                <c:pt idx="13">
                  <c:v>0.36373410348299373</c:v>
                </c:pt>
                <c:pt idx="14">
                  <c:v>0.37670151802919677</c:v>
                </c:pt>
                <c:pt idx="15">
                  <c:v>0.38843491992578516</c:v>
                </c:pt>
                <c:pt idx="16">
                  <c:v>0.39905174100267232</c:v>
                </c:pt>
                <c:pt idx="17">
                  <c:v>0.4086582379736326</c:v>
                </c:pt>
                <c:pt idx="18">
                  <c:v>0.41735055588920672</c:v>
                </c:pt>
                <c:pt idx="19">
                  <c:v>0.42521569038868245</c:v>
                </c:pt>
                <c:pt idx="20">
                  <c:v>0.43233235838169365</c:v>
                </c:pt>
                <c:pt idx="21">
                  <c:v>0.43877178587350907</c:v>
                </c:pt>
                <c:pt idx="22">
                  <c:v>0.444598420818833</c:v>
                </c:pt>
                <c:pt idx="23">
                  <c:v>0.44987057813859804</c:v>
                </c:pt>
                <c:pt idx="24">
                  <c:v>0.45464102335529377</c:v>
                </c:pt>
                <c:pt idx="25">
                  <c:v>0.45895750068805058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4B-4C82-9209-BD3A2E1DE248}"/>
            </c:ext>
          </c:extLst>
        </c:ser>
        <c:ser>
          <c:idx val="4"/>
          <c:order val="4"/>
          <c:tx>
            <c:strRef>
              <c:f>ss_Brockway_2015!$C$65:$D$65</c:f>
              <c:strCache>
                <c:ptCount val="2"/>
                <c:pt idx="0">
                  <c:v>diesel train exergy efficiency, y = 50(1-e^-0.8x)</c:v>
                </c:pt>
                <c:pt idx="1">
                  <c:v>y4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ss_Brockway_2015!$E$65:$AD$65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3.8441826806682122E-2</c:v>
                </c:pt>
                <c:pt idx="2">
                  <c:v>7.3928105516894327E-2</c:v>
                </c:pt>
                <c:pt idx="3">
                  <c:v>0.10668606946672327</c:v>
                </c:pt>
                <c:pt idx="4">
                  <c:v>0.13692548146315459</c:v>
                </c:pt>
                <c:pt idx="5">
                  <c:v>0.16483997698218034</c:v>
                </c:pt>
                <c:pt idx="6">
                  <c:v>0.19060830409692958</c:v>
                </c:pt>
                <c:pt idx="7">
                  <c:v>0.21439546807559257</c:v>
                </c:pt>
                <c:pt idx="8">
                  <c:v>0.23635378797847573</c:v>
                </c:pt>
                <c:pt idx="9">
                  <c:v>0.25662387202001419</c:v>
                </c:pt>
                <c:pt idx="10">
                  <c:v>0.27533551794138922</c:v>
                </c:pt>
                <c:pt idx="11">
                  <c:v>0.29260854415920934</c:v>
                </c:pt>
                <c:pt idx="12">
                  <c:v>0.30855355701244397</c:v>
                </c:pt>
                <c:pt idx="13">
                  <c:v>0.32327265902060992</c:v>
                </c:pt>
                <c:pt idx="14">
                  <c:v>0.33686010268848021</c:v>
                </c:pt>
                <c:pt idx="15">
                  <c:v>0.34940289404389901</c:v>
                </c:pt>
                <c:pt idx="16">
                  <c:v>0.36098134977340296</c:v>
                </c:pt>
                <c:pt idx="17">
                  <c:v>0.37166961152322209</c:v>
                </c:pt>
                <c:pt idx="18">
                  <c:v>0.38153612065893916</c:v>
                </c:pt>
                <c:pt idx="19">
                  <c:v>0.39064405652389261</c:v>
                </c:pt>
                <c:pt idx="20">
                  <c:v>0.39905174100267232</c:v>
                </c:pt>
                <c:pt idx="21">
                  <c:v>0.40681301198029501</c:v>
                </c:pt>
                <c:pt idx="22">
                  <c:v>0.41397756808847475</c:v>
                </c:pt>
                <c:pt idx="23">
                  <c:v>0.42059128694653963</c:v>
                </c:pt>
                <c:pt idx="24">
                  <c:v>0.42669651893482485</c:v>
                </c:pt>
                <c:pt idx="25">
                  <c:v>0.43233235838169365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4B-4C82-9209-BD3A2E1DE248}"/>
            </c:ext>
          </c:extLst>
        </c:ser>
        <c:ser>
          <c:idx val="6"/>
          <c:order val="5"/>
          <c:tx>
            <c:strRef>
              <c:f>ss_Brockway_2015!$C$69</c:f>
              <c:strCache>
                <c:ptCount val="1"/>
                <c:pt idx="0">
                  <c:v>linear plot y = 2.5mpg</c:v>
                </c:pt>
              </c:strCache>
            </c:strRef>
          </c:tx>
          <c:marker>
            <c:symbol val="none"/>
          </c:marker>
          <c:val>
            <c:numRef>
              <c:f>ss_Brockway_2015!$E$69:$O$69</c:f>
              <c:numCache>
                <c:formatCode>0%</c:formatCode>
                <c:ptCount val="1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4B-4C82-9209-BD3A2E1DE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306176"/>
        <c:axId val="298316544"/>
      </c:lineChart>
      <c:catAx>
        <c:axId val="29830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(car miles, US Gallons)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1654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98316544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9830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US train car</a:t>
            </a:r>
            <a:r>
              <a:rPr lang="en-GB" baseline="0"/>
              <a:t> fuel economy  mpUSg (train miles)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ss_Brockway_2015!$A$98</c:f>
              <c:strCache>
                <c:ptCount val="1"/>
                <c:pt idx="0">
                  <c:v>Rail, Class I (in freight service)</c:v>
                </c:pt>
              </c:strCache>
            </c:strRef>
          </c:tx>
          <c:marker>
            <c:symbol val="none"/>
          </c:marker>
          <c:cat>
            <c:numRef>
              <c:f>ss_Brockway_2015!$C$74:$BA$74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ss_Brockway_2015!$C$98:$BA$98</c:f>
              <c:numCache>
                <c:formatCode>#,##0.00</c:formatCode>
                <c:ptCount val="51"/>
                <c:pt idx="0" formatCode="0.00">
                  <c:v>0.11666185388391569</c:v>
                </c:pt>
                <c:pt idx="1">
                  <c:v>0.11677046306258912</c:v>
                </c:pt>
                <c:pt idx="2">
                  <c:v>0.11687907224126255</c:v>
                </c:pt>
                <c:pt idx="3">
                  <c:v>0.11698768141993598</c:v>
                </c:pt>
                <c:pt idx="4">
                  <c:v>0.11709629059860942</c:v>
                </c:pt>
                <c:pt idx="5" formatCode="0.00">
                  <c:v>0.11720489977728285</c:v>
                </c:pt>
                <c:pt idx="6">
                  <c:v>0.11785418780490103</c:v>
                </c:pt>
                <c:pt idx="7">
                  <c:v>0.11850347583251922</c:v>
                </c:pt>
                <c:pt idx="8">
                  <c:v>0.1191527638601374</c:v>
                </c:pt>
                <c:pt idx="9">
                  <c:v>0.11980205188775558</c:v>
                </c:pt>
                <c:pt idx="10" formatCode="0.00">
                  <c:v>0.12045133991537377</c:v>
                </c:pt>
                <c:pt idx="11">
                  <c:v>0.11840099536680818</c:v>
                </c:pt>
                <c:pt idx="12">
                  <c:v>0.11635065081824258</c:v>
                </c:pt>
                <c:pt idx="13">
                  <c:v>0.11430030626967699</c:v>
                </c:pt>
                <c:pt idx="14">
                  <c:v>0.1122499617211114</c:v>
                </c:pt>
                <c:pt idx="15" formatCode="0.00">
                  <c:v>0.1101996171725458</c:v>
                </c:pt>
                <c:pt idx="16">
                  <c:v>0.11008592324623336</c:v>
                </c:pt>
                <c:pt idx="17">
                  <c:v>0.10997222931992091</c:v>
                </c:pt>
                <c:pt idx="18">
                  <c:v>0.10985853539360847</c:v>
                </c:pt>
                <c:pt idx="19">
                  <c:v>0.10974484146729603</c:v>
                </c:pt>
                <c:pt idx="20" formatCode="0.00">
                  <c:v>0.1096311475409836</c:v>
                </c:pt>
                <c:pt idx="21">
                  <c:v>0.11002003057297981</c:v>
                </c:pt>
                <c:pt idx="22">
                  <c:v>0.11040891360497601</c:v>
                </c:pt>
                <c:pt idx="23">
                  <c:v>0.11079779663697222</c:v>
                </c:pt>
                <c:pt idx="24">
                  <c:v>0.11118667966896842</c:v>
                </c:pt>
                <c:pt idx="25" formatCode="0.00">
                  <c:v>0.11157556270096464</c:v>
                </c:pt>
                <c:pt idx="26">
                  <c:v>0.11196444573296084</c:v>
                </c:pt>
                <c:pt idx="27">
                  <c:v>0.11235332876495704</c:v>
                </c:pt>
                <c:pt idx="28">
                  <c:v>0.11274221179695325</c:v>
                </c:pt>
                <c:pt idx="29">
                  <c:v>0.11313109482894945</c:v>
                </c:pt>
                <c:pt idx="30" formatCode="0.00">
                  <c:v>0.12199036918138041</c:v>
                </c:pt>
                <c:pt idx="31" formatCode="0.00">
                  <c:v>0.12904335856847901</c:v>
                </c:pt>
                <c:pt idx="32" formatCode="0.00">
                  <c:v>0.12978369384359401</c:v>
                </c:pt>
                <c:pt idx="33" formatCode="0.00">
                  <c:v>0.13115284974093264</c:v>
                </c:pt>
                <c:pt idx="34" formatCode="0.00">
                  <c:v>0.13227354529094182</c:v>
                </c:pt>
                <c:pt idx="35" formatCode="0.00">
                  <c:v>0.13160919540229885</c:v>
                </c:pt>
                <c:pt idx="36" formatCode="0.00">
                  <c:v>0.13104219055602123</c:v>
                </c:pt>
                <c:pt idx="37" formatCode="0.00">
                  <c:v>0.13286713286713286</c:v>
                </c:pt>
                <c:pt idx="38" formatCode="0.00">
                  <c:v>0.13257047167178343</c:v>
                </c:pt>
                <c:pt idx="39" formatCode="0.00">
                  <c:v>0.13189771197846567</c:v>
                </c:pt>
                <c:pt idx="40" formatCode="0.00">
                  <c:v>0.13621621621621621</c:v>
                </c:pt>
                <c:pt idx="41" formatCode="0.00">
                  <c:v>0.13477088948787061</c:v>
                </c:pt>
                <c:pt idx="42" formatCode="0.00">
                  <c:v>0.13404825737265416</c:v>
                </c:pt>
                <c:pt idx="43" formatCode="0.00">
                  <c:v>0.13486670151594354</c:v>
                </c:pt>
                <c:pt idx="44" formatCode="0.00">
                  <c:v>0.13180586351318058</c:v>
                </c:pt>
                <c:pt idx="45" formatCode="0.00">
                  <c:v>0.13372376769155686</c:v>
                </c:pt>
                <c:pt idx="46" formatCode="0.00">
                  <c:v>0.13430343511450382</c:v>
                </c:pt>
                <c:pt idx="47" formatCode="0.00">
                  <c:v>0.13367799113737075</c:v>
                </c:pt>
                <c:pt idx="48" formatCode="0.00">
                  <c:v>0.13484302624806999</c:v>
                </c:pt>
                <c:pt idx="49" formatCode="0.00">
                  <c:v>0.13659147869674185</c:v>
                </c:pt>
                <c:pt idx="50" formatCode="0.00">
                  <c:v>0.13623354321694334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3-4BD3-9C95-93EE90128D6B}"/>
            </c:ext>
          </c:extLst>
        </c:ser>
        <c:ser>
          <c:idx val="1"/>
          <c:order val="1"/>
          <c:tx>
            <c:strRef>
              <c:f>ss_Brockway_2015!$A$99</c:f>
              <c:strCache>
                <c:ptCount val="1"/>
                <c:pt idx="0">
                  <c:v>Amtrak</c:v>
                </c:pt>
              </c:strCache>
            </c:strRef>
          </c:tx>
          <c:marker>
            <c:symbol val="none"/>
          </c:marker>
          <c:cat>
            <c:numRef>
              <c:f>ss_Brockway_2015!$C$74:$BA$74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ss_Brockway_2015!$C$99:$BA$99</c:f>
              <c:numCache>
                <c:formatCode>#,##0.00</c:formatCode>
                <c:ptCount val="51"/>
                <c:pt idx="0" formatCode="0.00">
                  <c:v>0.44</c:v>
                </c:pt>
                <c:pt idx="1">
                  <c:v>0.44</c:v>
                </c:pt>
                <c:pt idx="2">
                  <c:v>0.44</c:v>
                </c:pt>
                <c:pt idx="3">
                  <c:v>0.44</c:v>
                </c:pt>
                <c:pt idx="4">
                  <c:v>0.44</c:v>
                </c:pt>
                <c:pt idx="5" formatCode="0.00">
                  <c:v>0.44</c:v>
                </c:pt>
                <c:pt idx="6">
                  <c:v>0.44</c:v>
                </c:pt>
                <c:pt idx="7">
                  <c:v>0.44</c:v>
                </c:pt>
                <c:pt idx="8">
                  <c:v>0.44</c:v>
                </c:pt>
                <c:pt idx="9">
                  <c:v>0.44</c:v>
                </c:pt>
                <c:pt idx="10" formatCode="0.00">
                  <c:v>0.44</c:v>
                </c:pt>
                <c:pt idx="11">
                  <c:v>0.4409821488307028</c:v>
                </c:pt>
                <c:pt idx="12">
                  <c:v>0.4419642976614056</c:v>
                </c:pt>
                <c:pt idx="13">
                  <c:v>0.4429464464921084</c:v>
                </c:pt>
                <c:pt idx="14">
                  <c:v>0.4439285953228112</c:v>
                </c:pt>
                <c:pt idx="15" formatCode="0.00">
                  <c:v>0.444910744153514</c:v>
                </c:pt>
                <c:pt idx="16">
                  <c:v>0.44133764023602051</c:v>
                </c:pt>
                <c:pt idx="17">
                  <c:v>0.43776453631852702</c:v>
                </c:pt>
                <c:pt idx="18">
                  <c:v>0.43419143240103353</c:v>
                </c:pt>
                <c:pt idx="19">
                  <c:v>0.43061832848354004</c:v>
                </c:pt>
                <c:pt idx="20" formatCode="0.00">
                  <c:v>0.4270452245660466</c:v>
                </c:pt>
                <c:pt idx="21">
                  <c:v>0.4246707537435529</c:v>
                </c:pt>
                <c:pt idx="22">
                  <c:v>0.4222962829210592</c:v>
                </c:pt>
                <c:pt idx="23">
                  <c:v>0.41992181209856549</c:v>
                </c:pt>
                <c:pt idx="24">
                  <c:v>0.41754734127607179</c:v>
                </c:pt>
                <c:pt idx="25" formatCode="0.00">
                  <c:v>0.41517287045357804</c:v>
                </c:pt>
                <c:pt idx="26">
                  <c:v>0.41279839963108433</c:v>
                </c:pt>
                <c:pt idx="27">
                  <c:v>0.41042392880859063</c:v>
                </c:pt>
                <c:pt idx="28">
                  <c:v>0.40804945798609693</c:v>
                </c:pt>
                <c:pt idx="29">
                  <c:v>0.40567498716360323</c:v>
                </c:pt>
                <c:pt idx="30" formatCode="0.00">
                  <c:v>0.32257827429075409</c:v>
                </c:pt>
                <c:pt idx="31" formatCode="0.00">
                  <c:v>0.38007549245839511</c:v>
                </c:pt>
                <c:pt idx="32" formatCode="0.00">
                  <c:v>0.38038939785571174</c:v>
                </c:pt>
                <c:pt idx="33" formatCode="0.00">
                  <c:v>0.38713945488224399</c:v>
                </c:pt>
                <c:pt idx="34" formatCode="0.00">
                  <c:v>0.41664851825172133</c:v>
                </c:pt>
                <c:pt idx="35" formatCode="0.00">
                  <c:v>0.39866475917978067</c:v>
                </c:pt>
                <c:pt idx="36" formatCode="0.00">
                  <c:v>0.37531746778289904</c:v>
                </c:pt>
                <c:pt idx="37" formatCode="0.00">
                  <c:v>0.37384610470501806</c:v>
                </c:pt>
                <c:pt idx="38" formatCode="0.00">
                  <c:v>0.38266859008909038</c:v>
                </c:pt>
                <c:pt idx="39" formatCode="0.00">
                  <c:v>0.37819425964645503</c:v>
                </c:pt>
                <c:pt idx="40" formatCode="0.00">
                  <c:v>0.32843718931400534</c:v>
                </c:pt>
                <c:pt idx="41" formatCode="0.00">
                  <c:v>0.33265330613224531</c:v>
                </c:pt>
                <c:pt idx="42" formatCode="0.00">
                  <c:v>0.3927794263105836</c:v>
                </c:pt>
                <c:pt idx="43" formatCode="0.00">
                  <c:v>0.41943482337261828</c:v>
                </c:pt>
                <c:pt idx="44" formatCode="0.00">
                  <c:v>0.44816737454774264</c:v>
                </c:pt>
                <c:pt idx="45" formatCode="0.00">
                  <c:v>0.46114647450770946</c:v>
                </c:pt>
                <c:pt idx="46" formatCode="0.00">
                  <c:v>0.47676292206028786</c:v>
                </c:pt>
                <c:pt idx="47" formatCode="0.00">
                  <c:v>0.48541887117312627</c:v>
                </c:pt>
                <c:pt idx="48" formatCode="0.00">
                  <c:v>0.49145605148469335</c:v>
                </c:pt>
                <c:pt idx="49" formatCode="0.00">
                  <c:v>0.50063937467355879</c:v>
                </c:pt>
                <c:pt idx="50" formatCode="0.00">
                  <c:v>0.47914433337676526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03-4BD3-9C95-93EE90128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856704"/>
        <c:axId val="244858240"/>
      </c:lineChart>
      <c:catAx>
        <c:axId val="2448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485824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4485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(US)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4485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and</a:t>
            </a:r>
            <a:r>
              <a:rPr lang="en-US" baseline="0"/>
              <a:t> UK </a:t>
            </a:r>
            <a:r>
              <a:rPr lang="en-US"/>
              <a:t>train exergy efficiencies</a:t>
            </a:r>
            <a:r>
              <a:rPr lang="en-US" baseline="0"/>
              <a:t> 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ss_Brockway_2015!$B$34</c:f>
              <c:strCache>
                <c:ptCount val="1"/>
                <c:pt idx="0">
                  <c:v>US diesel train exergy efficiency, y = 50(1-e^-1.0x)</c:v>
                </c:pt>
              </c:strCache>
            </c:strRef>
          </c:tx>
          <c:marker>
            <c:symbol val="none"/>
          </c:marker>
          <c:cat>
            <c:numRef>
              <c:f>ss_Brockway_2015!$C$31:$BA$31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ss_Brockway_2015!$C$34:$BA$34</c:f>
              <c:numCache>
                <c:formatCode>0.00%</c:formatCode>
                <c:ptCount val="51"/>
                <c:pt idx="0">
                  <c:v>6.7077077689288223E-2</c:v>
                </c:pt>
                <c:pt idx="1">
                  <c:v>6.6713487019814222E-2</c:v>
                </c:pt>
                <c:pt idx="2">
                  <c:v>6.6350357883718347E-2</c:v>
                </c:pt>
                <c:pt idx="3">
                  <c:v>6.5987689529947158E-2</c:v>
                </c:pt>
                <c:pt idx="4">
                  <c:v>6.5625481208494818E-2</c:v>
                </c:pt>
                <c:pt idx="5">
                  <c:v>6.5263732170405653E-2</c:v>
                </c:pt>
                <c:pt idx="6">
                  <c:v>6.4925884649578047E-2</c:v>
                </c:pt>
                <c:pt idx="7">
                  <c:v>6.4576791150507629E-2</c:v>
                </c:pt>
                <c:pt idx="8">
                  <c:v>6.4215880767730549E-2</c:v>
                </c:pt>
                <c:pt idx="9">
                  <c:v>6.384254329590916E-2</c:v>
                </c:pt>
                <c:pt idx="10">
                  <c:v>6.3456125789696116E-2</c:v>
                </c:pt>
                <c:pt idx="11">
                  <c:v>6.1646447522097414E-2</c:v>
                </c:pt>
                <c:pt idx="12">
                  <c:v>5.9829890612761671E-2</c:v>
                </c:pt>
                <c:pt idx="13">
                  <c:v>5.8006431390431379E-2</c:v>
                </c:pt>
                <c:pt idx="14">
                  <c:v>5.6176046111382771E-2</c:v>
                </c:pt>
                <c:pt idx="15">
                  <c:v>5.4338710959233649E-2</c:v>
                </c:pt>
                <c:pt idx="16">
                  <c:v>5.4216754845095971E-2</c:v>
                </c:pt>
                <c:pt idx="17">
                  <c:v>5.4099139163732823E-2</c:v>
                </c:pt>
                <c:pt idx="18">
                  <c:v>5.3985643324557915E-2</c:v>
                </c:pt>
                <c:pt idx="19">
                  <c:v>5.3876061127857644E-2</c:v>
                </c:pt>
                <c:pt idx="20">
                  <c:v>5.3770199627212974E-2</c:v>
                </c:pt>
                <c:pt idx="21">
                  <c:v>5.3968912659094537E-2</c:v>
                </c:pt>
                <c:pt idx="22">
                  <c:v>5.4185126570698572E-2</c:v>
                </c:pt>
                <c:pt idx="23">
                  <c:v>5.4421201286494296E-2</c:v>
                </c:pt>
                <c:pt idx="24">
                  <c:v>5.4679943294006883E-2</c:v>
                </c:pt>
                <c:pt idx="25">
                  <c:v>5.4964716399641456E-2</c:v>
                </c:pt>
                <c:pt idx="26">
                  <c:v>5.5900981838399366E-2</c:v>
                </c:pt>
                <c:pt idx="27">
                  <c:v>5.6831723129831202E-2</c:v>
                </c:pt>
                <c:pt idx="28">
                  <c:v>5.7757097881743762E-2</c:v>
                </c:pt>
                <c:pt idx="29">
                  <c:v>5.8677243871570257E-2</c:v>
                </c:pt>
                <c:pt idx="30">
                  <c:v>5.9592282669929608E-2</c:v>
                </c:pt>
                <c:pt idx="31">
                  <c:v>6.2938578624950725E-2</c:v>
                </c:pt>
                <c:pt idx="32">
                  <c:v>6.3184339183241844E-2</c:v>
                </c:pt>
                <c:pt idx="33">
                  <c:v>6.380340839055304E-2</c:v>
                </c:pt>
                <c:pt idx="34">
                  <c:v>6.4064492573257192E-2</c:v>
                </c:pt>
                <c:pt idx="35">
                  <c:v>6.3458589807066923E-2</c:v>
                </c:pt>
                <c:pt idx="36">
                  <c:v>6.2940653997110296E-2</c:v>
                </c:pt>
                <c:pt idx="37">
                  <c:v>6.3815291612535796E-2</c:v>
                </c:pt>
                <c:pt idx="38">
                  <c:v>6.3722459076757998E-2</c:v>
                </c:pt>
                <c:pt idx="39">
                  <c:v>6.339482227597687E-2</c:v>
                </c:pt>
                <c:pt idx="40">
                  <c:v>6.516825479156646E-2</c:v>
                </c:pt>
                <c:pt idx="41">
                  <c:v>6.4644110263488985E-2</c:v>
                </c:pt>
                <c:pt idx="42">
                  <c:v>6.447070616216577E-2</c:v>
                </c:pt>
                <c:pt idx="43">
                  <c:v>6.4704370356909124E-2</c:v>
                </c:pt>
                <c:pt idx="44">
                  <c:v>6.3291901107972226E-2</c:v>
                </c:pt>
                <c:pt idx="45">
                  <c:v>6.4070984570670397E-2</c:v>
                </c:pt>
                <c:pt idx="46">
                  <c:v>6.4259700112311302E-2</c:v>
                </c:pt>
                <c:pt idx="47">
                  <c:v>6.4053228371673432E-2</c:v>
                </c:pt>
                <c:pt idx="48">
                  <c:v>6.4679499671211893E-2</c:v>
                </c:pt>
                <c:pt idx="49">
                  <c:v>6.5801649878592605E-2</c:v>
                </c:pt>
                <c:pt idx="50">
                  <c:v>6.54198701669782E-2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F-4D81-A95D-46FC2BDFD7BD}"/>
            </c:ext>
          </c:extLst>
        </c:ser>
        <c:ser>
          <c:idx val="1"/>
          <c:order val="1"/>
          <c:tx>
            <c:strRef>
              <c:f>ss_Brockway_2015!$B$39</c:f>
              <c:strCache>
                <c:ptCount val="1"/>
                <c:pt idx="0">
                  <c:v>UK diesel car exergy efficiency, y = 50(1-e^-0.065x)</c:v>
                </c:pt>
              </c:strCache>
            </c:strRef>
          </c:tx>
          <c:marker>
            <c:symbol val="none"/>
          </c:marker>
          <c:val>
            <c:numRef>
              <c:f>ss_Brockway_2015!$C$39:$BA$39</c:f>
              <c:numCache>
                <c:formatCode>0.00%</c:formatCode>
                <c:ptCount val="51"/>
                <c:pt idx="0">
                  <c:v>0.12073181102268958</c:v>
                </c:pt>
                <c:pt idx="1">
                  <c:v>0.12175875773055531</c:v>
                </c:pt>
                <c:pt idx="2">
                  <c:v>0.12278250151880689</c:v>
                </c:pt>
                <c:pt idx="3">
                  <c:v>0.12380305237695398</c:v>
                </c:pt>
                <c:pt idx="4">
                  <c:v>0.12482042026335013</c:v>
                </c:pt>
                <c:pt idx="5">
                  <c:v>0.12583461510529012</c:v>
                </c:pt>
                <c:pt idx="6">
                  <c:v>0.1268456467991067</c:v>
                </c:pt>
                <c:pt idx="7">
                  <c:v>0.12785352521026719</c:v>
                </c:pt>
                <c:pt idx="8">
                  <c:v>0.12885826017346971</c:v>
                </c:pt>
                <c:pt idx="9">
                  <c:v>0.12985986149273918</c:v>
                </c:pt>
                <c:pt idx="10">
                  <c:v>0.13085833894152291</c:v>
                </c:pt>
                <c:pt idx="11">
                  <c:v>0.13185370226278623</c:v>
                </c:pt>
                <c:pt idx="12">
                  <c:v>0.13284596116910716</c:v>
                </c:pt>
                <c:pt idx="13">
                  <c:v>0.13383512534277153</c:v>
                </c:pt>
                <c:pt idx="14">
                  <c:v>0.13482120443586729</c:v>
                </c:pt>
                <c:pt idx="15">
                  <c:v>0.13580420807037866</c:v>
                </c:pt>
                <c:pt idx="16">
                  <c:v>0.13678414583828016</c:v>
                </c:pt>
                <c:pt idx="17">
                  <c:v>0.13776102730163006</c:v>
                </c:pt>
                <c:pt idx="18">
                  <c:v>0.13873486199266391</c:v>
                </c:pt>
                <c:pt idx="19">
                  <c:v>0.13970565941388713</c:v>
                </c:pt>
                <c:pt idx="20">
                  <c:v>0.14067342903816815</c:v>
                </c:pt>
                <c:pt idx="21">
                  <c:v>0.1416381803088308</c:v>
                </c:pt>
                <c:pt idx="22">
                  <c:v>0.14259992263974625</c:v>
                </c:pt>
                <c:pt idx="23">
                  <c:v>0.13760236161659115</c:v>
                </c:pt>
                <c:pt idx="24">
                  <c:v>0.14290390242366796</c:v>
                </c:pt>
                <c:pt idx="25">
                  <c:v>0.14291386687121002</c:v>
                </c:pt>
                <c:pt idx="26">
                  <c:v>0.14538517247666036</c:v>
                </c:pt>
                <c:pt idx="27">
                  <c:v>0.15355751848509336</c:v>
                </c:pt>
                <c:pt idx="28">
                  <c:v>0.15351615268155092</c:v>
                </c:pt>
                <c:pt idx="29">
                  <c:v>0.16539241325515328</c:v>
                </c:pt>
                <c:pt idx="30">
                  <c:v>0.17278707540979707</c:v>
                </c:pt>
                <c:pt idx="31">
                  <c:v>0.17026140273888063</c:v>
                </c:pt>
                <c:pt idx="32">
                  <c:v>0.16543760997333873</c:v>
                </c:pt>
                <c:pt idx="33">
                  <c:v>0.17592306304945687</c:v>
                </c:pt>
                <c:pt idx="34">
                  <c:v>0.1796893403920688</c:v>
                </c:pt>
                <c:pt idx="35">
                  <c:v>0.17991716388220688</c:v>
                </c:pt>
                <c:pt idx="36">
                  <c:v>0.18631622235748591</c:v>
                </c:pt>
                <c:pt idx="37">
                  <c:v>0.18688072554442642</c:v>
                </c:pt>
                <c:pt idx="38">
                  <c:v>0.1929303201516159</c:v>
                </c:pt>
                <c:pt idx="39">
                  <c:v>0.18813423826924844</c:v>
                </c:pt>
                <c:pt idx="40">
                  <c:v>0.18756651184190457</c:v>
                </c:pt>
                <c:pt idx="41">
                  <c:v>0.18388677123808694</c:v>
                </c:pt>
                <c:pt idx="42">
                  <c:v>0.18606418009126252</c:v>
                </c:pt>
                <c:pt idx="43">
                  <c:v>0.18452362281145657</c:v>
                </c:pt>
                <c:pt idx="44">
                  <c:v>0.17423141294693409</c:v>
                </c:pt>
                <c:pt idx="45">
                  <c:v>0.19730534338267952</c:v>
                </c:pt>
                <c:pt idx="46">
                  <c:v>0.19636244807531658</c:v>
                </c:pt>
                <c:pt idx="47">
                  <c:v>0.18810900502396385</c:v>
                </c:pt>
                <c:pt idx="48">
                  <c:v>0.18488161293502209</c:v>
                </c:pt>
                <c:pt idx="49">
                  <c:v>0.18021209689895126</c:v>
                </c:pt>
                <c:pt idx="50">
                  <c:v>0.17983740996548245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F-4D81-A95D-46FC2BDFD7BD}"/>
            </c:ext>
          </c:extLst>
        </c:ser>
        <c:ser>
          <c:idx val="2"/>
          <c:order val="2"/>
          <c:tx>
            <c:strRef>
              <c:f>ss_Brockway_2015!$B$35</c:f>
              <c:strCache>
                <c:ptCount val="1"/>
                <c:pt idx="0">
                  <c:v>US steam train assumed 5% static eta efficiency = quarter of Uk diesel passenger train </c:v>
                </c:pt>
              </c:strCache>
            </c:strRef>
          </c:tx>
          <c:marker>
            <c:symbol val="none"/>
          </c:marker>
          <c:val>
            <c:numRef>
              <c:f>ss_Brockway_2015!$C$35:$W$35</c:f>
              <c:numCache>
                <c:formatCode>0.0%</c:formatCode>
                <c:ptCount val="21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2F-4D81-A95D-46FC2BDFD7BD}"/>
            </c:ext>
          </c:extLst>
        </c:ser>
        <c:ser>
          <c:idx val="3"/>
          <c:order val="3"/>
          <c:tx>
            <c:strRef>
              <c:f>ss_Brockway_2015!$B$41</c:f>
              <c:strCache>
                <c:ptCount val="1"/>
                <c:pt idx="0">
                  <c:v>UK steam train assumed exergy efficiency</c:v>
                </c:pt>
              </c:strCache>
            </c:strRef>
          </c:tx>
          <c:marker>
            <c:symbol val="none"/>
          </c:marker>
          <c:val>
            <c:numRef>
              <c:f>ss_Brockway_2015!$C$41:$BA$41</c:f>
              <c:numCache>
                <c:formatCode>0.00%</c:formatCode>
                <c:ptCount val="51"/>
                <c:pt idx="0">
                  <c:v>2.6091867706555017E-2</c:v>
                </c:pt>
                <c:pt idx="1">
                  <c:v>2.6233569133369643E-2</c:v>
                </c:pt>
                <c:pt idx="2">
                  <c:v>2.6373874464315591E-2</c:v>
                </c:pt>
                <c:pt idx="3">
                  <c:v>2.6512810940942516E-2</c:v>
                </c:pt>
                <c:pt idx="4">
                  <c:v>2.6650405015164989E-2</c:v>
                </c:pt>
                <c:pt idx="5">
                  <c:v>2.678668237948896E-2</c:v>
                </c:pt>
                <c:pt idx="6">
                  <c:v>2.6921667995805601E-2</c:v>
                </c:pt>
                <c:pt idx="7">
                  <c:v>2.7055386122833251E-2</c:v>
                </c:pt>
                <c:pt idx="8">
                  <c:v>2.7187860342282964E-2</c:v>
                </c:pt>
                <c:pt idx="9">
                  <c:v>2.7319113583818166E-2</c:v>
                </c:pt>
                <c:pt idx="10">
                  <c:v>2.7449168148874645E-2</c:v>
                </c:pt>
                <c:pt idx="11">
                  <c:v>2.7578045733402581E-2</c:v>
                </c:pt>
                <c:pt idx="12">
                  <c:v>2.770576744958874E-2</c:v>
                </c:pt>
                <c:pt idx="13">
                  <c:v>2.7832353846613211E-2</c:v>
                </c:pt>
                <c:pt idx="14">
                  <c:v>2.7957824930491714E-2</c:v>
                </c:pt>
                <c:pt idx="15">
                  <c:v>2.8082200183051357E-2</c:v>
                </c:pt>
                <c:pt idx="16">
                  <c:v>2.8205498580084989E-2</c:v>
                </c:pt>
                <c:pt idx="17">
                  <c:v>2.8327738608726248E-2</c:v>
                </c:pt>
                <c:pt idx="18">
                  <c:v>2.8448938284085311E-2</c:v>
                </c:pt>
                <c:pt idx="19">
                  <c:v>2.8569115165182637E-2</c:v>
                </c:pt>
                <c:pt idx="20">
                  <c:v>2.868828637021606E-2</c:v>
                </c:pt>
                <c:pt idx="21">
                  <c:v>2.868828637021606E-2</c:v>
                </c:pt>
                <c:pt idx="22">
                  <c:v>2.868828637021606E-2</c:v>
                </c:pt>
                <c:pt idx="23">
                  <c:v>2.868828637021606E-2</c:v>
                </c:pt>
                <c:pt idx="24">
                  <c:v>2.868828637021606E-2</c:v>
                </c:pt>
                <c:pt idx="25">
                  <c:v>2.868828637021606E-2</c:v>
                </c:pt>
                <c:pt idx="26">
                  <c:v>2.868828637021606E-2</c:v>
                </c:pt>
                <c:pt idx="27">
                  <c:v>2.868828637021606E-2</c:v>
                </c:pt>
                <c:pt idx="28">
                  <c:v>2.868828637021606E-2</c:v>
                </c:pt>
                <c:pt idx="29">
                  <c:v>2.868828637021606E-2</c:v>
                </c:pt>
                <c:pt idx="30">
                  <c:v>2.868828637021606E-2</c:v>
                </c:pt>
                <c:pt idx="31">
                  <c:v>2.868828637021606E-2</c:v>
                </c:pt>
                <c:pt idx="32">
                  <c:v>2.868828637021606E-2</c:v>
                </c:pt>
                <c:pt idx="33">
                  <c:v>2.868828637021606E-2</c:v>
                </c:pt>
                <c:pt idx="34">
                  <c:v>2.868828637021606E-2</c:v>
                </c:pt>
                <c:pt idx="35">
                  <c:v>2.868828637021606E-2</c:v>
                </c:pt>
                <c:pt idx="36">
                  <c:v>2.868828637021606E-2</c:v>
                </c:pt>
                <c:pt idx="37">
                  <c:v>2.868828637021606E-2</c:v>
                </c:pt>
                <c:pt idx="38">
                  <c:v>2.868828637021606E-2</c:v>
                </c:pt>
                <c:pt idx="39">
                  <c:v>2.868828637021606E-2</c:v>
                </c:pt>
                <c:pt idx="40">
                  <c:v>2.868828637021606E-2</c:v>
                </c:pt>
                <c:pt idx="41">
                  <c:v>2.868828637021606E-2</c:v>
                </c:pt>
                <c:pt idx="42">
                  <c:v>2.868828637021606E-2</c:v>
                </c:pt>
                <c:pt idx="43">
                  <c:v>2.868828637021606E-2</c:v>
                </c:pt>
                <c:pt idx="44">
                  <c:v>2.868828637021606E-2</c:v>
                </c:pt>
                <c:pt idx="45">
                  <c:v>2.868828637021606E-2</c:v>
                </c:pt>
                <c:pt idx="46">
                  <c:v>2.868828637021606E-2</c:v>
                </c:pt>
                <c:pt idx="47">
                  <c:v>2.868828637021606E-2</c:v>
                </c:pt>
                <c:pt idx="48">
                  <c:v>2.868828637021606E-2</c:v>
                </c:pt>
                <c:pt idx="49">
                  <c:v>2.868828637021606E-2</c:v>
                </c:pt>
                <c:pt idx="50">
                  <c:v>2.868828637021606E-2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2F-4D81-A95D-46FC2BDFD7BD}"/>
            </c:ext>
          </c:extLst>
        </c:ser>
        <c:ser>
          <c:idx val="4"/>
          <c:order val="4"/>
          <c:tx>
            <c:strRef>
              <c:f>ss_Brockway_2015!$B$40</c:f>
              <c:strCache>
                <c:ptCount val="1"/>
                <c:pt idx="0">
                  <c:v>UK electric car exergy efficiency, y = 50(1-e^-0.065x)</c:v>
                </c:pt>
              </c:strCache>
            </c:strRef>
          </c:tx>
          <c:marker>
            <c:symbol val="none"/>
          </c:marker>
          <c:val>
            <c:numRef>
              <c:f>ss_Brockway_2015!$C$40:$BA$40</c:f>
              <c:numCache>
                <c:formatCode>0.0%</c:formatCode>
                <c:ptCount val="51"/>
                <c:pt idx="0">
                  <c:v>0.14067342903816815</c:v>
                </c:pt>
                <c:pt idx="1">
                  <c:v>0.14067342903816815</c:v>
                </c:pt>
                <c:pt idx="2">
                  <c:v>0.14067342903816815</c:v>
                </c:pt>
                <c:pt idx="3">
                  <c:v>0.14067342903816815</c:v>
                </c:pt>
                <c:pt idx="4">
                  <c:v>0.14067342903816815</c:v>
                </c:pt>
                <c:pt idx="5">
                  <c:v>0.14067342903816815</c:v>
                </c:pt>
                <c:pt idx="6">
                  <c:v>0.14067342903816815</c:v>
                </c:pt>
                <c:pt idx="7">
                  <c:v>0.14067342903816815</c:v>
                </c:pt>
                <c:pt idx="8">
                  <c:v>0.14067342903816815</c:v>
                </c:pt>
                <c:pt idx="9">
                  <c:v>0.14067342903816815</c:v>
                </c:pt>
                <c:pt idx="10">
                  <c:v>0.14067342903816815</c:v>
                </c:pt>
                <c:pt idx="11">
                  <c:v>0.14067342903816815</c:v>
                </c:pt>
                <c:pt idx="12">
                  <c:v>0.14067342903816815</c:v>
                </c:pt>
                <c:pt idx="13">
                  <c:v>0.14067342903816815</c:v>
                </c:pt>
                <c:pt idx="14">
                  <c:v>0.14067342903816815</c:v>
                </c:pt>
                <c:pt idx="15">
                  <c:v>0.14067342903816815</c:v>
                </c:pt>
                <c:pt idx="16">
                  <c:v>0.14067342903816815</c:v>
                </c:pt>
                <c:pt idx="17">
                  <c:v>0.14067342903816815</c:v>
                </c:pt>
                <c:pt idx="18">
                  <c:v>0.14067342903816815</c:v>
                </c:pt>
                <c:pt idx="19">
                  <c:v>0.14067342903816815</c:v>
                </c:pt>
                <c:pt idx="20">
                  <c:v>0.14067342903816815</c:v>
                </c:pt>
                <c:pt idx="21">
                  <c:v>0.14067342903816815</c:v>
                </c:pt>
                <c:pt idx="22">
                  <c:v>0.14067342903816815</c:v>
                </c:pt>
                <c:pt idx="23">
                  <c:v>0.14768239911982473</c:v>
                </c:pt>
                <c:pt idx="24">
                  <c:v>0.14865212416176996</c:v>
                </c:pt>
                <c:pt idx="25">
                  <c:v>0.14610448803323134</c:v>
                </c:pt>
                <c:pt idx="26">
                  <c:v>0.14414621194598226</c:v>
                </c:pt>
                <c:pt idx="27">
                  <c:v>0.14314367399007127</c:v>
                </c:pt>
                <c:pt idx="28">
                  <c:v>0.13658921403315735</c:v>
                </c:pt>
                <c:pt idx="29">
                  <c:v>0.13960396197468478</c:v>
                </c:pt>
                <c:pt idx="30">
                  <c:v>0.13955854488776523</c:v>
                </c:pt>
                <c:pt idx="31">
                  <c:v>0.13791205607348778</c:v>
                </c:pt>
                <c:pt idx="32">
                  <c:v>0.13360626189714142</c:v>
                </c:pt>
                <c:pt idx="33">
                  <c:v>0.13320316243825478</c:v>
                </c:pt>
                <c:pt idx="34">
                  <c:v>0.13367178561669771</c:v>
                </c:pt>
                <c:pt idx="35">
                  <c:v>0.13623272258670707</c:v>
                </c:pt>
                <c:pt idx="36">
                  <c:v>0.13654042265341099</c:v>
                </c:pt>
                <c:pt idx="37">
                  <c:v>0.1372737144279749</c:v>
                </c:pt>
                <c:pt idx="38">
                  <c:v>0.13507815634263962</c:v>
                </c:pt>
                <c:pt idx="39">
                  <c:v>0.13782068413022949</c:v>
                </c:pt>
                <c:pt idx="40">
                  <c:v>0.13723763048411924</c:v>
                </c:pt>
                <c:pt idx="41">
                  <c:v>0.13525532807310203</c:v>
                </c:pt>
                <c:pt idx="42">
                  <c:v>0.1375946847721074</c:v>
                </c:pt>
                <c:pt idx="43">
                  <c:v>0.13540779879294898</c:v>
                </c:pt>
                <c:pt idx="44">
                  <c:v>0.13458098229477589</c:v>
                </c:pt>
                <c:pt idx="45">
                  <c:v>0.13359433870469944</c:v>
                </c:pt>
                <c:pt idx="46">
                  <c:v>0.13637466884116256</c:v>
                </c:pt>
                <c:pt idx="47">
                  <c:v>0.14317648575036585</c:v>
                </c:pt>
                <c:pt idx="48">
                  <c:v>0.14789560732927459</c:v>
                </c:pt>
                <c:pt idx="49">
                  <c:v>0.1444340238416145</c:v>
                </c:pt>
                <c:pt idx="50">
                  <c:v>0.14863299024222762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2F-4D81-A95D-46FC2BDF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216832"/>
        <c:axId val="298398848"/>
      </c:lineChart>
      <c:catAx>
        <c:axId val="29821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839884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98398848"/>
        <c:scaling>
          <c:orientation val="minMax"/>
          <c:max val="0.2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 (%)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9821683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405630323407117"/>
          <c:y val="0.21477055770444275"/>
          <c:w val="0.31946584066907879"/>
          <c:h val="0.6278011958964065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options for train exergy efficiency,</a:t>
            </a:r>
            <a:r>
              <a:rPr lang="en-GB" baseline="0"/>
              <a:t> needs to be 22% at 0.15mpg</a:t>
            </a:r>
            <a:endParaRPr lang="en-GB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ss_Brockway_2015!$C$61</c:f>
              <c:strCache>
                <c:ptCount val="1"/>
                <c:pt idx="0">
                  <c:v>electric train exergy efficiency, y = 80(1-e^-0.4x)</c:v>
                </c:pt>
              </c:strCache>
            </c:strRef>
          </c:tx>
          <c:spPr>
            <a:ln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ss_Brockway_2015!$E$61:$BB$61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7.6130065571232391E-2</c:v>
                </c:pt>
                <c:pt idx="2">
                  <c:v>0.14501539753761455</c:v>
                </c:pt>
                <c:pt idx="3">
                  <c:v>0.20734542345462573</c:v>
                </c:pt>
                <c:pt idx="4">
                  <c:v>0.26374396317148852</c:v>
                </c:pt>
                <c:pt idx="5">
                  <c:v>0.31477547222989327</c:v>
                </c:pt>
                <c:pt idx="6">
                  <c:v>0.36095069112477884</c:v>
                </c:pt>
                <c:pt idx="7">
                  <c:v>0.40273175696687241</c:v>
                </c:pt>
                <c:pt idx="8">
                  <c:v>0.44053682870622274</c:v>
                </c:pt>
                <c:pt idx="9">
                  <c:v>0.47474427220752069</c:v>
                </c:pt>
                <c:pt idx="10">
                  <c:v>0.50569644706284611</c:v>
                </c:pt>
                <c:pt idx="11">
                  <c:v>0.53370313304153638</c:v>
                </c:pt>
                <c:pt idx="12">
                  <c:v>0.55904463047023822</c:v>
                </c:pt>
                <c:pt idx="13">
                  <c:v>0.58197456557278993</c:v>
                </c:pt>
                <c:pt idx="14">
                  <c:v>0.6027224288467149</c:v>
                </c:pt>
                <c:pt idx="15">
                  <c:v>0.6214958718812561</c:v>
                </c:pt>
                <c:pt idx="16">
                  <c:v>0.63848278560427574</c:v>
                </c:pt>
                <c:pt idx="17">
                  <c:v>0.65385318075781229</c:v>
                </c:pt>
                <c:pt idx="18">
                  <c:v>0.66776088942273082</c:v>
                </c:pt>
                <c:pt idx="19">
                  <c:v>0.68034510462189191</c:v>
                </c:pt>
                <c:pt idx="20">
                  <c:v>0.69173177341070979</c:v>
                </c:pt>
                <c:pt idx="21">
                  <c:v>0.70203485739761451</c:v>
                </c:pt>
                <c:pt idx="22">
                  <c:v>0.71135747331013288</c:v>
                </c:pt>
                <c:pt idx="23">
                  <c:v>0.71979292502175696</c:v>
                </c:pt>
                <c:pt idx="24">
                  <c:v>0.72742563736846999</c:v>
                </c:pt>
                <c:pt idx="25">
                  <c:v>0.73433200110088093</c:v>
                </c:pt>
                <c:pt idx="26">
                  <c:v>0.74058113742853293</c:v>
                </c:pt>
                <c:pt idx="27">
                  <c:v>0.74623558980820026</c:v>
                </c:pt>
                <c:pt idx="28">
                  <c:v>0.75135194989982568</c:v>
                </c:pt>
                <c:pt idx="29">
                  <c:v>0.75598142395487411</c:v>
                </c:pt>
                <c:pt idx="30">
                  <c:v>0.76017034530570882</c:v>
                </c:pt>
                <c:pt idx="31">
                  <c:v>0.7639606380851538</c:v>
                </c:pt>
                <c:pt idx="32">
                  <c:v>0.76739023681730711</c:v>
                </c:pt>
                <c:pt idx="33">
                  <c:v>0.77049346607900804</c:v>
                </c:pt>
                <c:pt idx="34">
                  <c:v>0.7733013840317392</c:v>
                </c:pt>
                <c:pt idx="35">
                  <c:v>0.77584209326214515</c:v>
                </c:pt>
                <c:pt idx="36">
                  <c:v>0.77814102204216595</c:v>
                </c:pt>
                <c:pt idx="37">
                  <c:v>0.78022117882372855</c:v>
                </c:pt>
                <c:pt idx="38">
                  <c:v>0.7821033825150675</c:v>
                </c:pt>
                <c:pt idx="39">
                  <c:v>0.78380647084335653</c:v>
                </c:pt>
                <c:pt idx="40">
                  <c:v>0.78534748888901262</c:v>
                </c:pt>
                <c:pt idx="41">
                  <c:v>0.786741859678591</c:v>
                </c:pt>
                <c:pt idx="42">
                  <c:v>0.78800353854361793</c:v>
                </c:pt>
                <c:pt idx="43">
                  <c:v>0.78914515279023933</c:v>
                </c:pt>
                <c:pt idx="44">
                  <c:v>0.79017812807754528</c:v>
                </c:pt>
                <c:pt idx="45">
                  <c:v>0.79111280276940621</c:v>
                </c:pt>
                <c:pt idx="46">
                  <c:v>0.79195853140429318</c:v>
                </c:pt>
                <c:pt idx="47">
                  <c:v>0.79272377831864338</c:v>
                </c:pt>
                <c:pt idx="48">
                  <c:v>0.79341620236078403</c:v>
                </c:pt>
                <c:pt idx="49">
                  <c:v>0.79404273354326049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1-4E54-B63D-96EFAA9AE9A5}"/>
            </c:ext>
          </c:extLst>
        </c:ser>
        <c:ser>
          <c:idx val="0"/>
          <c:order val="1"/>
          <c:tx>
            <c:strRef>
              <c:f>ss_Brockway_2015!$C$62</c:f>
              <c:strCache>
                <c:ptCount val="1"/>
                <c:pt idx="0">
                  <c:v>diesel train exergy efficiency, y = 50(1-e^-0.2x)</c:v>
                </c:pt>
              </c:strCache>
            </c:strRef>
          </c:tx>
          <c:spPr>
            <a:ln>
              <a:solidFill>
                <a:srgbClr val="7030A0"/>
              </a:solidFill>
              <a:prstDash val="solid"/>
            </a:ln>
          </c:spPr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ss_Brockway_2015!$E$62:$BB$62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9.9006633466223737E-3</c:v>
                </c:pt>
                <c:pt idx="2">
                  <c:v>1.9605280423838412E-2</c:v>
                </c:pt>
                <c:pt idx="3">
                  <c:v>2.9117733207875637E-2</c:v>
                </c:pt>
                <c:pt idx="4">
                  <c:v>3.8441826806682122E-2</c:v>
                </c:pt>
                <c:pt idx="5">
                  <c:v>4.7581290982020248E-2</c:v>
                </c:pt>
                <c:pt idx="6">
                  <c:v>5.6539781641421261E-2</c:v>
                </c:pt>
                <c:pt idx="7">
                  <c:v>6.5320882300597072E-2</c:v>
                </c:pt>
                <c:pt idx="8">
                  <c:v>7.3928105516894327E-2</c:v>
                </c:pt>
                <c:pt idx="9">
                  <c:v>8.2364894294363999E-2</c:v>
                </c:pt>
                <c:pt idx="10">
                  <c:v>9.063462346100909E-2</c:v>
                </c:pt>
                <c:pt idx="11">
                  <c:v>9.8740601018760754E-2</c:v>
                </c:pt>
                <c:pt idx="12">
                  <c:v>0.10668606946672327</c:v>
                </c:pt>
                <c:pt idx="13">
                  <c:v>0.11447420709821687</c:v>
                </c:pt>
                <c:pt idx="14">
                  <c:v>0.12210812927213727</c:v>
                </c:pt>
                <c:pt idx="15">
                  <c:v>0.12959088965914106</c:v>
                </c:pt>
                <c:pt idx="16">
                  <c:v>0.13692548146315459</c:v>
                </c:pt>
                <c:pt idx="17">
                  <c:v>0.14411483861869517</c:v>
                </c:pt>
                <c:pt idx="18">
                  <c:v>0.15116183696448449</c:v>
                </c:pt>
                <c:pt idx="19">
                  <c:v>0.15806929539382208</c:v>
                </c:pt>
                <c:pt idx="20">
                  <c:v>0.16483997698218034</c:v>
                </c:pt>
                <c:pt idx="21">
                  <c:v>0.17147659009247163</c:v>
                </c:pt>
                <c:pt idx="22">
                  <c:v>0.17798178945842935</c:v>
                </c:pt>
                <c:pt idx="23">
                  <c:v>0.18435817724653702</c:v>
                </c:pt>
                <c:pt idx="24">
                  <c:v>0.19060830409692958</c:v>
                </c:pt>
                <c:pt idx="25">
                  <c:v>0.19673467014368329</c:v>
                </c:pt>
                <c:pt idx="26">
                  <c:v>0.20273972601490281</c:v>
                </c:pt>
                <c:pt idx="27">
                  <c:v>0.20862587381300518</c:v>
                </c:pt>
                <c:pt idx="28">
                  <c:v>0.21439546807559257</c:v>
                </c:pt>
                <c:pt idx="29">
                  <c:v>0.22005081671729898</c:v>
                </c:pt>
                <c:pt idx="30">
                  <c:v>0.22559418195298681</c:v>
                </c:pt>
                <c:pt idx="31">
                  <c:v>0.23102778120266276</c:v>
                </c:pt>
                <c:pt idx="32">
                  <c:v>0.23635378797847573</c:v>
                </c:pt>
                <c:pt idx="33">
                  <c:v>0.24157433275415041</c:v>
                </c:pt>
                <c:pt idx="34">
                  <c:v>0.24669150381720523</c:v>
                </c:pt>
                <c:pt idx="35">
                  <c:v>0.25170734810429529</c:v>
                </c:pt>
                <c:pt idx="36">
                  <c:v>0.25662387202001419</c:v>
                </c:pt>
                <c:pt idx="37">
                  <c:v>0.26144304223948284</c:v>
                </c:pt>
                <c:pt idx="38">
                  <c:v>0.26616678649504538</c:v>
                </c:pt>
                <c:pt idx="39">
                  <c:v>0.27079699434738824</c:v>
                </c:pt>
                <c:pt idx="40">
                  <c:v>0.27533551794138922</c:v>
                </c:pt>
                <c:pt idx="41">
                  <c:v>0.27978417274700035</c:v>
                </c:pt>
                <c:pt idx="42">
                  <c:v>0.28414473828546016</c:v>
                </c:pt>
                <c:pt idx="43">
                  <c:v>0.28841895884112556</c:v>
                </c:pt>
                <c:pt idx="44">
                  <c:v>0.29260854415920934</c:v>
                </c:pt>
                <c:pt idx="45">
                  <c:v>0.29671517012970045</c:v>
                </c:pt>
                <c:pt idx="46">
                  <c:v>0.3007404794577429</c:v>
                </c:pt>
                <c:pt idx="47">
                  <c:v>0.30468608232073946</c:v>
                </c:pt>
                <c:pt idx="48">
                  <c:v>0.30855355701244397</c:v>
                </c:pt>
                <c:pt idx="49">
                  <c:v>0.31234445057430027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1-4E54-B63D-96EFAA9AE9A5}"/>
            </c:ext>
          </c:extLst>
        </c:ser>
        <c:ser>
          <c:idx val="1"/>
          <c:order val="2"/>
          <c:tx>
            <c:strRef>
              <c:f>ss_Brockway_2015!$C$63</c:f>
              <c:strCache>
                <c:ptCount val="1"/>
                <c:pt idx="0">
                  <c:v>diesel train exergy efficiency, y = 50(1-e^-0.4x)</c:v>
                </c:pt>
              </c:strCache>
            </c:strRef>
          </c:tx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ss_Brockway_2015!$E$63:$BB$63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1.9605280423838412E-2</c:v>
                </c:pt>
                <c:pt idx="2">
                  <c:v>3.8441826806682122E-2</c:v>
                </c:pt>
                <c:pt idx="3">
                  <c:v>5.6539781641421261E-2</c:v>
                </c:pt>
                <c:pt idx="4">
                  <c:v>7.3928105516894327E-2</c:v>
                </c:pt>
                <c:pt idx="5">
                  <c:v>9.063462346100909E-2</c:v>
                </c:pt>
                <c:pt idx="6">
                  <c:v>0.10668606946672327</c:v>
                </c:pt>
                <c:pt idx="7">
                  <c:v>0.12210812927213727</c:v>
                </c:pt>
                <c:pt idx="8">
                  <c:v>0.13692548146315459</c:v>
                </c:pt>
                <c:pt idx="9">
                  <c:v>0.15116183696448449</c:v>
                </c:pt>
                <c:pt idx="10">
                  <c:v>0.16483997698218034</c:v>
                </c:pt>
                <c:pt idx="11">
                  <c:v>0.17798178945842935</c:v>
                </c:pt>
                <c:pt idx="12">
                  <c:v>0.19060830409692958</c:v>
                </c:pt>
                <c:pt idx="13">
                  <c:v>0.20273972601490281</c:v>
                </c:pt>
                <c:pt idx="14">
                  <c:v>0.21439546807559257</c:v>
                </c:pt>
                <c:pt idx="15">
                  <c:v>0.22559418195298681</c:v>
                </c:pt>
                <c:pt idx="16">
                  <c:v>0.23635378797847573</c:v>
                </c:pt>
                <c:pt idx="17">
                  <c:v>0.24669150381720523</c:v>
                </c:pt>
                <c:pt idx="18">
                  <c:v>0.25662387202001419</c:v>
                </c:pt>
                <c:pt idx="19">
                  <c:v>0.26616678649504538</c:v>
                </c:pt>
                <c:pt idx="20">
                  <c:v>0.27533551794138922</c:v>
                </c:pt>
                <c:pt idx="21">
                  <c:v>0.28414473828546016</c:v>
                </c:pt>
                <c:pt idx="22">
                  <c:v>0.29260854415920934</c:v>
                </c:pt>
                <c:pt idx="23">
                  <c:v>0.3007404794577429</c:v>
                </c:pt>
                <c:pt idx="24">
                  <c:v>0.30855355701244397</c:v>
                </c:pt>
                <c:pt idx="25">
                  <c:v>0.31606027941427883</c:v>
                </c:pt>
                <c:pt idx="26">
                  <c:v>0.32327265902060992</c:v>
                </c:pt>
                <c:pt idx="27">
                  <c:v>0.3302022371775305</c:v>
                </c:pt>
                <c:pt idx="28">
                  <c:v>0.33686010268848021</c:v>
                </c:pt>
                <c:pt idx="29">
                  <c:v>0.34325690955869737</c:v>
                </c:pt>
                <c:pt idx="30">
                  <c:v>0.34940289404389901</c:v>
                </c:pt>
                <c:pt idx="31">
                  <c:v>0.35530789103047478</c:v>
                </c:pt>
                <c:pt idx="32">
                  <c:v>0.36098134977340296</c:v>
                </c:pt>
                <c:pt idx="33">
                  <c:v>0.36643234901707478</c:v>
                </c:pt>
                <c:pt idx="34">
                  <c:v>0.37166961152322209</c:v>
                </c:pt>
                <c:pt idx="35">
                  <c:v>0.37670151802919677</c:v>
                </c:pt>
                <c:pt idx="36">
                  <c:v>0.38153612065893916</c:v>
                </c:pt>
                <c:pt idx="37">
                  <c:v>0.38618115580809365</c:v>
                </c:pt>
                <c:pt idx="38">
                  <c:v>0.39064405652389261</c:v>
                </c:pt>
                <c:pt idx="39">
                  <c:v>0.39493196439961764</c:v>
                </c:pt>
                <c:pt idx="40">
                  <c:v>0.39905174100267232</c:v>
                </c:pt>
                <c:pt idx="41">
                  <c:v>0.40300997885455403</c:v>
                </c:pt>
                <c:pt idx="42">
                  <c:v>0.40681301198029501</c:v>
                </c:pt>
                <c:pt idx="43">
                  <c:v>0.41046692604425339</c:v>
                </c:pt>
                <c:pt idx="44">
                  <c:v>0.41397756808847475</c:v>
                </c:pt>
                <c:pt idx="45">
                  <c:v>0.41735055588920672</c:v>
                </c:pt>
                <c:pt idx="46">
                  <c:v>0.42059128694653963</c:v>
                </c:pt>
                <c:pt idx="47">
                  <c:v>0.42370494712155804</c:v>
                </c:pt>
                <c:pt idx="48">
                  <c:v>0.42669651893482485</c:v>
                </c:pt>
                <c:pt idx="49">
                  <c:v>0.42957078953947753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1-4E54-B63D-96EFAA9AE9A5}"/>
            </c:ext>
          </c:extLst>
        </c:ser>
        <c:ser>
          <c:idx val="3"/>
          <c:order val="3"/>
          <c:tx>
            <c:strRef>
              <c:f>ss_Brockway_2015!$C$64</c:f>
              <c:strCache>
                <c:ptCount val="1"/>
                <c:pt idx="0">
                  <c:v>diesel train exergy efficiency, y = 50(1-e^-0.6x)</c:v>
                </c:pt>
              </c:strCache>
            </c:strRef>
          </c:tx>
          <c:spPr>
            <a:ln>
              <a:solidFill>
                <a:schemeClr val="bg2">
                  <a:lumMod val="25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ss_Brockway_2015!$E$64:$BB$64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2.9117733207875637E-2</c:v>
                </c:pt>
                <c:pt idx="2">
                  <c:v>5.6539781641421261E-2</c:v>
                </c:pt>
                <c:pt idx="3">
                  <c:v>8.2364894294363999E-2</c:v>
                </c:pt>
                <c:pt idx="4">
                  <c:v>0.10668606946672327</c:v>
                </c:pt>
                <c:pt idx="5">
                  <c:v>0.12959088965914106</c:v>
                </c:pt>
                <c:pt idx="6">
                  <c:v>0.15116183696448449</c:v>
                </c:pt>
                <c:pt idx="7">
                  <c:v>0.17147659009247163</c:v>
                </c:pt>
                <c:pt idx="8">
                  <c:v>0.19060830409692958</c:v>
                </c:pt>
                <c:pt idx="9">
                  <c:v>0.20862587381300518</c:v>
                </c:pt>
                <c:pt idx="10">
                  <c:v>0.22559418195298681</c:v>
                </c:pt>
                <c:pt idx="11">
                  <c:v>0.24157433275415041</c:v>
                </c:pt>
                <c:pt idx="12">
                  <c:v>0.25662387202001413</c:v>
                </c:pt>
                <c:pt idx="13">
                  <c:v>0.27079699434738824</c:v>
                </c:pt>
                <c:pt idx="14">
                  <c:v>0.28414473828546016</c:v>
                </c:pt>
                <c:pt idx="15">
                  <c:v>0.29671517012970039</c:v>
                </c:pt>
                <c:pt idx="16">
                  <c:v>0.30855355701244397</c:v>
                </c:pt>
                <c:pt idx="17">
                  <c:v>0.31970252991346082</c:v>
                </c:pt>
                <c:pt idx="18">
                  <c:v>0.3302022371775305</c:v>
                </c:pt>
                <c:pt idx="19">
                  <c:v>0.34009048909184808</c:v>
                </c:pt>
                <c:pt idx="20">
                  <c:v>0.34940289404389885</c:v>
                </c:pt>
                <c:pt idx="21">
                  <c:v>0.35817298675011477</c:v>
                </c:pt>
                <c:pt idx="22">
                  <c:v>0.36643234901707478</c:v>
                </c:pt>
                <c:pt idx="23">
                  <c:v>0.37421072347012169</c:v>
                </c:pt>
                <c:pt idx="24">
                  <c:v>0.3815361206589391</c:v>
                </c:pt>
                <c:pt idx="25">
                  <c:v>0.38843491992578516</c:v>
                </c:pt>
                <c:pt idx="26">
                  <c:v>0.39493196439961764</c:v>
                </c:pt>
                <c:pt idx="27">
                  <c:v>0.40105065045819266</c:v>
                </c:pt>
                <c:pt idx="28">
                  <c:v>0.40681301198029501</c:v>
                </c:pt>
                <c:pt idx="29">
                  <c:v>0.4122397996915016</c:v>
                </c:pt>
                <c:pt idx="30">
                  <c:v>0.41735055588920672</c:v>
                </c:pt>
                <c:pt idx="31">
                  <c:v>0.42216368481600131</c:v>
                </c:pt>
                <c:pt idx="32">
                  <c:v>0.42669651893482485</c:v>
                </c:pt>
                <c:pt idx="33">
                  <c:v>0.43096538134455359</c:v>
                </c:pt>
                <c:pt idx="34">
                  <c:v>0.43498564456078703</c:v>
                </c:pt>
                <c:pt idx="35">
                  <c:v>0.43877178587350907</c:v>
                </c:pt>
                <c:pt idx="36">
                  <c:v>0.44233743948096882</c:v>
                </c:pt>
                <c:pt idx="37">
                  <c:v>0.445695445587521</c:v>
                </c:pt>
                <c:pt idx="38">
                  <c:v>0.44885789664223125</c:v>
                </c:pt>
                <c:pt idx="39">
                  <c:v>0.45183618088475347</c:v>
                </c:pt>
                <c:pt idx="40">
                  <c:v>0.45464102335529377</c:v>
                </c:pt>
                <c:pt idx="41">
                  <c:v>0.45728252451633933</c:v>
                </c:pt>
                <c:pt idx="42">
                  <c:v>0.45977019662523377</c:v>
                </c:pt>
                <c:pt idx="43">
                  <c:v>0.46211299798857725</c:v>
                </c:pt>
                <c:pt idx="44">
                  <c:v>0.46431936522180695</c:v>
                </c:pt>
                <c:pt idx="45">
                  <c:v>0.46639724363012514</c:v>
                </c:pt>
                <c:pt idx="46">
                  <c:v>0.46835411582017961</c:v>
                </c:pt>
                <c:pt idx="47">
                  <c:v>0.47019702864553031</c:v>
                </c:pt>
                <c:pt idx="48">
                  <c:v>0.47193261858293312</c:v>
                </c:pt>
                <c:pt idx="49">
                  <c:v>0.47356713563082481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1-4E54-B63D-96EFAA9AE9A5}"/>
            </c:ext>
          </c:extLst>
        </c:ser>
        <c:ser>
          <c:idx val="4"/>
          <c:order val="4"/>
          <c:tx>
            <c:strRef>
              <c:f>ss_Brockway_2015!$C$65</c:f>
              <c:strCache>
                <c:ptCount val="1"/>
                <c:pt idx="0">
                  <c:v>diesel train exergy efficiency, y = 50(1-e^-0.8x)</c:v>
                </c:pt>
              </c:strCache>
            </c:strRef>
          </c:tx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ss_Brockway_2015!$E$65:$BB$65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3.8441826806682122E-2</c:v>
                </c:pt>
                <c:pt idx="2">
                  <c:v>7.3928105516894327E-2</c:v>
                </c:pt>
                <c:pt idx="3">
                  <c:v>0.10668606946672327</c:v>
                </c:pt>
                <c:pt idx="4">
                  <c:v>0.13692548146315459</c:v>
                </c:pt>
                <c:pt idx="5">
                  <c:v>0.16483997698218034</c:v>
                </c:pt>
                <c:pt idx="6">
                  <c:v>0.19060830409692958</c:v>
                </c:pt>
                <c:pt idx="7">
                  <c:v>0.21439546807559257</c:v>
                </c:pt>
                <c:pt idx="8">
                  <c:v>0.23635378797847573</c:v>
                </c:pt>
                <c:pt idx="9">
                  <c:v>0.25662387202001419</c:v>
                </c:pt>
                <c:pt idx="10">
                  <c:v>0.27533551794138922</c:v>
                </c:pt>
                <c:pt idx="11">
                  <c:v>0.29260854415920934</c:v>
                </c:pt>
                <c:pt idx="12">
                  <c:v>0.30855355701244397</c:v>
                </c:pt>
                <c:pt idx="13">
                  <c:v>0.32327265902060992</c:v>
                </c:pt>
                <c:pt idx="14">
                  <c:v>0.33686010268848021</c:v>
                </c:pt>
                <c:pt idx="15">
                  <c:v>0.34940289404389901</c:v>
                </c:pt>
                <c:pt idx="16">
                  <c:v>0.36098134977340296</c:v>
                </c:pt>
                <c:pt idx="17">
                  <c:v>0.37166961152322209</c:v>
                </c:pt>
                <c:pt idx="18">
                  <c:v>0.38153612065893916</c:v>
                </c:pt>
                <c:pt idx="19">
                  <c:v>0.39064405652389261</c:v>
                </c:pt>
                <c:pt idx="20">
                  <c:v>0.39905174100267232</c:v>
                </c:pt>
                <c:pt idx="21">
                  <c:v>0.40681301198029501</c:v>
                </c:pt>
                <c:pt idx="22">
                  <c:v>0.41397756808847475</c:v>
                </c:pt>
                <c:pt idx="23">
                  <c:v>0.42059128694653963</c:v>
                </c:pt>
                <c:pt idx="24">
                  <c:v>0.42669651893482485</c:v>
                </c:pt>
                <c:pt idx="25">
                  <c:v>0.43233235838169365</c:v>
                </c:pt>
                <c:pt idx="26">
                  <c:v>0.43753489390070877</c:v>
                </c:pt>
                <c:pt idx="27">
                  <c:v>0.44233743948096882</c:v>
                </c:pt>
                <c:pt idx="28">
                  <c:v>0.44677074781037357</c:v>
                </c:pt>
                <c:pt idx="29">
                  <c:v>0.45086320719781925</c:v>
                </c:pt>
                <c:pt idx="30">
                  <c:v>0.45464102335529377</c:v>
                </c:pt>
                <c:pt idx="31">
                  <c:v>0.45812838720390203</c:v>
                </c:pt>
                <c:pt idx="32">
                  <c:v>0.46134762977835014</c:v>
                </c:pt>
                <c:pt idx="33">
                  <c:v>0.46431936522180695</c:v>
                </c:pt>
                <c:pt idx="34">
                  <c:v>0.46706262278679861</c:v>
                </c:pt>
                <c:pt idx="35">
                  <c:v>0.46959496868739103</c:v>
                </c:pt>
                <c:pt idx="36">
                  <c:v>0.47193261858293317</c:v>
                </c:pt>
                <c:pt idx="37">
                  <c:v>0.4740905414136371</c:v>
                </c:pt>
                <c:pt idx="38">
                  <c:v>0.47608255525290083</c:v>
                </c:pt>
                <c:pt idx="39">
                  <c:v>0.47792141579015357</c:v>
                </c:pt>
                <c:pt idx="40">
                  <c:v>0.47961889801081692</c:v>
                </c:pt>
                <c:pt idx="41">
                  <c:v>0.48118587159641196</c:v>
                </c:pt>
                <c:pt idx="42">
                  <c:v>0.48263237052763075</c:v>
                </c:pt>
                <c:pt idx="43">
                  <c:v>0.48396765733606961</c:v>
                </c:pt>
                <c:pt idx="44">
                  <c:v>0.48520028241605401</c:v>
                </c:pt>
                <c:pt idx="45">
                  <c:v>0.48633813877635373</c:v>
                </c:pt>
                <c:pt idx="46">
                  <c:v>0.48738851258238641</c:v>
                </c:pt>
                <c:pt idx="47">
                  <c:v>0.4883581298125515</c:v>
                </c:pt>
                <c:pt idx="48">
                  <c:v>0.48925319932745504</c:v>
                </c:pt>
                <c:pt idx="49">
                  <c:v>0.49007945262781488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C1-4E54-B63D-96EFAA9AE9A5}"/>
            </c:ext>
          </c:extLst>
        </c:ser>
        <c:ser>
          <c:idx val="5"/>
          <c:order val="5"/>
          <c:tx>
            <c:strRef>
              <c:f>ss_Brockway_2015!$C$66</c:f>
              <c:strCache>
                <c:ptCount val="1"/>
                <c:pt idx="0">
                  <c:v>diesel train exergy efficiency, y = 50(1-e^-1.0x)</c:v>
                </c:pt>
              </c:strCache>
            </c:strRef>
          </c:tx>
          <c:marker>
            <c:symbol val="none"/>
          </c:marker>
          <c:xVal>
            <c:numRef>
              <c:f>ss_Brockway_2015!$E$60:$BB$60</c:f>
              <c:numCache>
                <c:formatCode>General</c:formatCode>
                <c:ptCount val="5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</c:numCache>
            </c:numRef>
          </c:xVal>
          <c:yVal>
            <c:numRef>
              <c:f>ss_Brockway_2015!$E$66:$BB$66</c:f>
              <c:numCache>
                <c:formatCode>0.00%</c:formatCode>
                <c:ptCount val="50"/>
                <c:pt idx="0" formatCode="General">
                  <c:v>0</c:v>
                </c:pt>
                <c:pt idx="1">
                  <c:v>4.7581290982020248E-2</c:v>
                </c:pt>
                <c:pt idx="2">
                  <c:v>9.063462346100909E-2</c:v>
                </c:pt>
                <c:pt idx="3">
                  <c:v>0.12959088965914106</c:v>
                </c:pt>
                <c:pt idx="4">
                  <c:v>0.16483997698218034</c:v>
                </c:pt>
                <c:pt idx="5">
                  <c:v>0.19673467014368329</c:v>
                </c:pt>
                <c:pt idx="6">
                  <c:v>0.22559418195298681</c:v>
                </c:pt>
                <c:pt idx="7">
                  <c:v>0.25170734810429524</c:v>
                </c:pt>
                <c:pt idx="8">
                  <c:v>0.27533551794138922</c:v>
                </c:pt>
                <c:pt idx="9">
                  <c:v>0.29671517012970045</c:v>
                </c:pt>
                <c:pt idx="10">
                  <c:v>0.31606027941427883</c:v>
                </c:pt>
                <c:pt idx="11">
                  <c:v>0.33356445815096025</c:v>
                </c:pt>
                <c:pt idx="12">
                  <c:v>0.34940289404389885</c:v>
                </c:pt>
                <c:pt idx="13">
                  <c:v>0.36373410348299373</c:v>
                </c:pt>
                <c:pt idx="14">
                  <c:v>0.37670151802919677</c:v>
                </c:pt>
                <c:pt idx="15">
                  <c:v>0.38843491992578516</c:v>
                </c:pt>
                <c:pt idx="16">
                  <c:v>0.39905174100267232</c:v>
                </c:pt>
                <c:pt idx="17">
                  <c:v>0.4086582379736326</c:v>
                </c:pt>
                <c:pt idx="18">
                  <c:v>0.41735055588920672</c:v>
                </c:pt>
                <c:pt idx="19">
                  <c:v>0.42521569038868245</c:v>
                </c:pt>
                <c:pt idx="20">
                  <c:v>0.43233235838169365</c:v>
                </c:pt>
                <c:pt idx="21">
                  <c:v>0.43877178587350907</c:v>
                </c:pt>
                <c:pt idx="22">
                  <c:v>0.444598420818833</c:v>
                </c:pt>
                <c:pt idx="23">
                  <c:v>0.44987057813859804</c:v>
                </c:pt>
                <c:pt idx="24">
                  <c:v>0.45464102335529377</c:v>
                </c:pt>
                <c:pt idx="25">
                  <c:v>0.45895750068805058</c:v>
                </c:pt>
                <c:pt idx="26">
                  <c:v>0.46286321089283305</c:v>
                </c:pt>
                <c:pt idx="27">
                  <c:v>0.46639724363012514</c:v>
                </c:pt>
                <c:pt idx="28">
                  <c:v>0.46959496868739103</c:v>
                </c:pt>
                <c:pt idx="29">
                  <c:v>0.47248838997179637</c:v>
                </c:pt>
                <c:pt idx="30">
                  <c:v>0.47510646581606797</c:v>
                </c:pt>
                <c:pt idx="31">
                  <c:v>0.4774753988032211</c:v>
                </c:pt>
                <c:pt idx="32">
                  <c:v>0.47961889801081692</c:v>
                </c:pt>
                <c:pt idx="33">
                  <c:v>0.48155841629938001</c:v>
                </c:pt>
                <c:pt idx="34">
                  <c:v>0.48331336501983702</c:v>
                </c:pt>
                <c:pt idx="35">
                  <c:v>0.48490130828884076</c:v>
                </c:pt>
                <c:pt idx="36">
                  <c:v>0.48633813877635373</c:v>
                </c:pt>
                <c:pt idx="37">
                  <c:v>0.48763823676483026</c:v>
                </c:pt>
                <c:pt idx="38">
                  <c:v>0.48881461407191718</c:v>
                </c:pt>
                <c:pt idx="39">
                  <c:v>0.48987904427709789</c:v>
                </c:pt>
                <c:pt idx="40">
                  <c:v>0.49084218055563289</c:v>
                </c:pt>
                <c:pt idx="41">
                  <c:v>0.49171366229911939</c:v>
                </c:pt>
                <c:pt idx="42">
                  <c:v>0.49250221158976115</c:v>
                </c:pt>
                <c:pt idx="43">
                  <c:v>0.49321572049389956</c:v>
                </c:pt>
                <c:pt idx="44">
                  <c:v>0.49386133004846577</c:v>
                </c:pt>
                <c:pt idx="45">
                  <c:v>0.49444550173087892</c:v>
                </c:pt>
                <c:pt idx="46">
                  <c:v>0.49497408212768318</c:v>
                </c:pt>
                <c:pt idx="47">
                  <c:v>0.49545236144915206</c:v>
                </c:pt>
                <c:pt idx="48">
                  <c:v>0.49588512647548993</c:v>
                </c:pt>
                <c:pt idx="49">
                  <c:v>0.49627670846453781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59-4BF1-A0F4-E39D951C1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38016"/>
        <c:axId val="298522112"/>
      </c:scatterChart>
      <c:valAx>
        <c:axId val="298438016"/>
        <c:scaling>
          <c:orientation val="minMax"/>
          <c:max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(train miles, US Gallons)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522112"/>
        <c:crosses val="autoZero"/>
        <c:crossBetween val="midCat"/>
      </c:valAx>
      <c:valAx>
        <c:axId val="298522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 f-u exergy efficiency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9843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GB"/>
              <a:t>US train car fuel economy  mpUSg (car miles)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ss_Brockway_2014!$A$95</c:f>
              <c:strCache>
                <c:ptCount val="1"/>
                <c:pt idx="0">
                  <c:v>Rail, Class I (in freight service)</c:v>
                </c:pt>
              </c:strCache>
            </c:strRef>
          </c:tx>
          <c:marker>
            <c:symbol val="none"/>
          </c:marker>
          <c:cat>
            <c:numRef>
              <c:f>ss_Brockway_2014!$C$75:$BA$75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ss_Brockway_2014!$C$95:$BA$95</c:f>
              <c:numCache>
                <c:formatCode>#,##0.00</c:formatCode>
                <c:ptCount val="51"/>
                <c:pt idx="0" formatCode="0.00">
                  <c:v>8.134565405717586</c:v>
                </c:pt>
                <c:pt idx="1">
                  <c:v>8.1410598969571417</c:v>
                </c:pt>
                <c:pt idx="2">
                  <c:v>8.1475543881966974</c:v>
                </c:pt>
                <c:pt idx="3">
                  <c:v>8.1540488794362531</c:v>
                </c:pt>
                <c:pt idx="4">
                  <c:v>8.1605433706758088</c:v>
                </c:pt>
                <c:pt idx="5" formatCode="0.00">
                  <c:v>8.1670378619153681</c:v>
                </c:pt>
                <c:pt idx="6">
                  <c:v>8.2199490483475266</c:v>
                </c:pt>
                <c:pt idx="7">
                  <c:v>8.2728602347796851</c:v>
                </c:pt>
                <c:pt idx="8">
                  <c:v>8.3257714212118437</c:v>
                </c:pt>
                <c:pt idx="9">
                  <c:v>8.3786826076440022</c:v>
                </c:pt>
                <c:pt idx="10" formatCode="0.00">
                  <c:v>8.4315937940761643</c:v>
                </c:pt>
                <c:pt idx="11">
                  <c:v>8.2577716171586619</c:v>
                </c:pt>
                <c:pt idx="12">
                  <c:v>8.0839494402411596</c:v>
                </c:pt>
                <c:pt idx="13">
                  <c:v>7.9101272633236572</c:v>
                </c:pt>
                <c:pt idx="14">
                  <c:v>7.7363050864061549</c:v>
                </c:pt>
                <c:pt idx="15" formatCode="0.00">
                  <c:v>7.5624829094886517</c:v>
                </c:pt>
                <c:pt idx="16">
                  <c:v>7.5498326390663308</c:v>
                </c:pt>
                <c:pt idx="17">
                  <c:v>7.53718236864401</c:v>
                </c:pt>
                <c:pt idx="18">
                  <c:v>7.5245320982216892</c:v>
                </c:pt>
                <c:pt idx="19">
                  <c:v>7.5118818277993684</c:v>
                </c:pt>
                <c:pt idx="20" formatCode="0.00">
                  <c:v>7.4992315573770494</c:v>
                </c:pt>
                <c:pt idx="21">
                  <c:v>7.601957593168521</c:v>
                </c:pt>
                <c:pt idx="22">
                  <c:v>7.7046836289599927</c:v>
                </c:pt>
                <c:pt idx="23">
                  <c:v>7.8074096647514644</c:v>
                </c:pt>
                <c:pt idx="24">
                  <c:v>7.910135700542936</c:v>
                </c:pt>
                <c:pt idx="25" formatCode="0.00">
                  <c:v>8.0128617363344059</c:v>
                </c:pt>
                <c:pt idx="26">
                  <c:v>8.1155877721258776</c:v>
                </c:pt>
                <c:pt idx="27">
                  <c:v>8.2183138079173492</c:v>
                </c:pt>
                <c:pt idx="28">
                  <c:v>8.3210398437088209</c:v>
                </c:pt>
                <c:pt idx="29">
                  <c:v>8.4237658795002925</c:v>
                </c:pt>
                <c:pt idx="30" formatCode="0.00">
                  <c:v>8.3977528089887645</c:v>
                </c:pt>
                <c:pt idx="31" formatCode="0.00">
                  <c:v>8.8189951823812809</c:v>
                </c:pt>
                <c:pt idx="32" formatCode="0.00">
                  <c:v>8.694841930116473</c:v>
                </c:pt>
                <c:pt idx="33" formatCode="0.00">
                  <c:v>8.7056347150259068</c:v>
                </c:pt>
                <c:pt idx="34" formatCode="0.00">
                  <c:v>8.5437912417516504</c:v>
                </c:pt>
                <c:pt idx="35" formatCode="0.00">
                  <c:v>8.730747126436782</c:v>
                </c:pt>
                <c:pt idx="36" formatCode="0.00">
                  <c:v>8.8614138027381948</c:v>
                </c:pt>
                <c:pt idx="37" formatCode="0.00">
                  <c:v>8.8559440559440556</c:v>
                </c:pt>
                <c:pt idx="38" formatCode="0.00">
                  <c:v>9.1144292492324865</c:v>
                </c:pt>
                <c:pt idx="39" formatCode="0.00">
                  <c:v>9.1119784656796767</c:v>
                </c:pt>
                <c:pt idx="40" formatCode="0.00">
                  <c:v>9.3486486486486484</c:v>
                </c:pt>
                <c:pt idx="41" formatCode="0.00">
                  <c:v>9.2299191374663074</c:v>
                </c:pt>
                <c:pt idx="42" formatCode="0.00">
                  <c:v>9.2975871313672922</c:v>
                </c:pt>
                <c:pt idx="43" formatCode="0.00">
                  <c:v>9.2929952953476214</c:v>
                </c:pt>
                <c:pt idx="44" formatCode="0.00">
                  <c:v>9.1330376940133036</c:v>
                </c:pt>
                <c:pt idx="45" formatCode="0.00">
                  <c:v>9.202537823328452</c:v>
                </c:pt>
                <c:pt idx="46" formatCode="0.00">
                  <c:v>9.2927003816793885</c:v>
                </c:pt>
                <c:pt idx="47" formatCode="0.00">
                  <c:v>9.4007877892663707</c:v>
                </c:pt>
                <c:pt idx="48" formatCode="0.00">
                  <c:v>9.5795162120432327</c:v>
                </c:pt>
                <c:pt idx="49" formatCode="0.00">
                  <c:v>10.061090225563909</c:v>
                </c:pt>
                <c:pt idx="50" formatCode="0.00">
                  <c:v>10.172009158557527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4-4363-9584-CD0065B009BE}"/>
            </c:ext>
          </c:extLst>
        </c:ser>
        <c:ser>
          <c:idx val="1"/>
          <c:order val="1"/>
          <c:tx>
            <c:strRef>
              <c:f>ss_Brockway_2014!$A$96</c:f>
              <c:strCache>
                <c:ptCount val="1"/>
                <c:pt idx="0">
                  <c:v>Amtrak</c:v>
                </c:pt>
              </c:strCache>
            </c:strRef>
          </c:tx>
          <c:marker>
            <c:symbol val="none"/>
          </c:marker>
          <c:cat>
            <c:numRef>
              <c:f>ss_Brockway_2014!$C$75:$BA$75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ss_Brockway_2014!$C$96:$BA$96</c:f>
              <c:numCache>
                <c:formatCode>#,##0.00</c:formatCode>
                <c:ptCount val="51"/>
                <c:pt idx="0" formatCode="0.00">
                  <c:v>3.75</c:v>
                </c:pt>
                <c:pt idx="1">
                  <c:v>3.75</c:v>
                </c:pt>
                <c:pt idx="2">
                  <c:v>3.75</c:v>
                </c:pt>
                <c:pt idx="3">
                  <c:v>3.75</c:v>
                </c:pt>
                <c:pt idx="4">
                  <c:v>3.75</c:v>
                </c:pt>
                <c:pt idx="5" formatCode="0.00">
                  <c:v>3.75</c:v>
                </c:pt>
                <c:pt idx="6">
                  <c:v>3.75</c:v>
                </c:pt>
                <c:pt idx="7">
                  <c:v>3.75</c:v>
                </c:pt>
                <c:pt idx="8">
                  <c:v>3.75</c:v>
                </c:pt>
                <c:pt idx="9">
                  <c:v>3.75</c:v>
                </c:pt>
                <c:pt idx="10" formatCode="0.00">
                  <c:v>3.75</c:v>
                </c:pt>
                <c:pt idx="11">
                  <c:v>3.7504161218055936</c:v>
                </c:pt>
                <c:pt idx="12">
                  <c:v>3.7508322436111872</c:v>
                </c:pt>
                <c:pt idx="13">
                  <c:v>3.7512483654167808</c:v>
                </c:pt>
                <c:pt idx="14">
                  <c:v>3.7516644872223743</c:v>
                </c:pt>
                <c:pt idx="15" formatCode="0.00">
                  <c:v>3.7520806090279679</c:v>
                </c:pt>
                <c:pt idx="16">
                  <c:v>3.6707020057091806</c:v>
                </c:pt>
                <c:pt idx="17">
                  <c:v>3.5893234023903933</c:v>
                </c:pt>
                <c:pt idx="18">
                  <c:v>3.5079447990716059</c:v>
                </c:pt>
                <c:pt idx="19">
                  <c:v>3.4265661957528186</c:v>
                </c:pt>
                <c:pt idx="20" formatCode="0.00">
                  <c:v>3.3451875924340317</c:v>
                </c:pt>
                <c:pt idx="21">
                  <c:v>3.3708726771728794</c:v>
                </c:pt>
                <c:pt idx="22">
                  <c:v>3.3965577619117271</c:v>
                </c:pt>
                <c:pt idx="23">
                  <c:v>3.4222428466505748</c:v>
                </c:pt>
                <c:pt idx="24">
                  <c:v>3.4479279313894224</c:v>
                </c:pt>
                <c:pt idx="25" formatCode="0.00">
                  <c:v>3.4736130161282692</c:v>
                </c:pt>
                <c:pt idx="26">
                  <c:v>3.4992981008671169</c:v>
                </c:pt>
                <c:pt idx="27">
                  <c:v>3.5249831856059646</c:v>
                </c:pt>
                <c:pt idx="28">
                  <c:v>3.5506682703448122</c:v>
                </c:pt>
                <c:pt idx="29">
                  <c:v>3.5763533550836599</c:v>
                </c:pt>
                <c:pt idx="30" formatCode="0.00">
                  <c:v>3.3399799766394129</c:v>
                </c:pt>
                <c:pt idx="31" formatCode="0.00">
                  <c:v>3.4989302688081665</c:v>
                </c:pt>
                <c:pt idx="32" formatCode="0.00">
                  <c:v>3.4346925041677498</c:v>
                </c:pt>
                <c:pt idx="33" formatCode="0.00">
                  <c:v>3.3515215665519982</c:v>
                </c:pt>
                <c:pt idx="34" formatCode="0.00">
                  <c:v>3.7253279278977436</c:v>
                </c:pt>
                <c:pt idx="35" formatCode="0.00">
                  <c:v>3.6378159275154984</c:v>
                </c:pt>
                <c:pt idx="36" formatCode="0.00">
                  <c:v>3.4529207036026714</c:v>
                </c:pt>
                <c:pt idx="37" formatCode="0.00">
                  <c:v>3.3646149423451623</c:v>
                </c:pt>
                <c:pt idx="38" formatCode="0.00">
                  <c:v>3.6179575790241274</c:v>
                </c:pt>
                <c:pt idx="39" formatCode="0.00">
                  <c:v>3.8041893176202244</c:v>
                </c:pt>
                <c:pt idx="40" formatCode="0.00">
                  <c:v>3.4532824476443991</c:v>
                </c:pt>
                <c:pt idx="41" formatCode="0.00">
                  <c:v>3.4928597143885756</c:v>
                </c:pt>
                <c:pt idx="42" formatCode="0.00">
                  <c:v>3.9174579624134522</c:v>
                </c:pt>
                <c:pt idx="43" formatCode="0.00">
                  <c:v>3.7635773340461967</c:v>
                </c:pt>
                <c:pt idx="44" formatCode="0.00">
                  <c:v>3.7306905773163441</c:v>
                </c:pt>
                <c:pt idx="45" formatCode="0.00">
                  <c:v>3.3945504373484168</c:v>
                </c:pt>
                <c:pt idx="46" formatCode="0.00">
                  <c:v>3.4962614284421112</c:v>
                </c:pt>
                <c:pt idx="47" formatCode="0.00">
                  <c:v>3.502887529816884</c:v>
                </c:pt>
                <c:pt idx="48" formatCode="0.00">
                  <c:v>3.5177906843114894</c:v>
                </c:pt>
                <c:pt idx="49" formatCode="0.00">
                  <c:v>3.728445869279398</c:v>
                </c:pt>
                <c:pt idx="50" formatCode="0.00">
                  <c:v>3.8433829357128229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4-4363-9584-CD0065B009BE}"/>
            </c:ext>
          </c:extLst>
        </c:ser>
        <c:ser>
          <c:idx val="2"/>
          <c:order val="2"/>
          <c:tx>
            <c:strRef>
              <c:f>ss_Brockway_2014!$A$97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cat>
            <c:numRef>
              <c:f>ss_Brockway_2014!$C$75:$BA$75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ss_Brockway_2014!$C$97:$BA$97</c:f>
              <c:numCache>
                <c:formatCode>0.00</c:formatCode>
                <c:ptCount val="51"/>
                <c:pt idx="0">
                  <c:v>7.4980127641313903</c:v>
                </c:pt>
                <c:pt idx="1">
                  <c:v>7.5291433398223901</c:v>
                </c:pt>
                <c:pt idx="2">
                  <c:v>7.5602321799605354</c:v>
                </c:pt>
                <c:pt idx="3">
                  <c:v>7.5912793684194542</c:v>
                </c:pt>
                <c:pt idx="4">
                  <c:v>7.6222849888481825</c:v>
                </c:pt>
                <c:pt idx="5">
                  <c:v>7.6532491246719179</c:v>
                </c:pt>
                <c:pt idx="6">
                  <c:v>7.7553951229657887</c:v>
                </c:pt>
                <c:pt idx="7">
                  <c:v>7.8610356209038583</c:v>
                </c:pt>
                <c:pt idx="8">
                  <c:v>7.9703530639042608</c:v>
                </c:pt>
                <c:pt idx="9">
                  <c:v>8.0835428227934081</c:v>
                </c:pt>
                <c:pt idx="10">
                  <c:v>8.2008143590757108</c:v>
                </c:pt>
                <c:pt idx="11">
                  <c:v>8.0594865732634169</c:v>
                </c:pt>
                <c:pt idx="12">
                  <c:v>7.9180910080459794</c:v>
                </c:pt>
                <c:pt idx="13">
                  <c:v>7.7766276146522078</c:v>
                </c:pt>
                <c:pt idx="14">
                  <c:v>7.6350963442641078</c:v>
                </c:pt>
                <c:pt idx="15">
                  <c:v>7.493497148016826</c:v>
                </c:pt>
                <c:pt idx="16">
                  <c:v>7.4792414894366059</c:v>
                </c:pt>
                <c:pt idx="17">
                  <c:v>7.4653583233935672</c:v>
                </c:pt>
                <c:pt idx="18">
                  <c:v>7.4518332386284225</c:v>
                </c:pt>
                <c:pt idx="19">
                  <c:v>7.4386525578210527</c:v>
                </c:pt>
                <c:pt idx="20">
                  <c:v>7.4258032914551775</c:v>
                </c:pt>
                <c:pt idx="21">
                  <c:v>7.5065281331533598</c:v>
                </c:pt>
                <c:pt idx="22">
                  <c:v>7.5942450914571626</c:v>
                </c:pt>
                <c:pt idx="23">
                  <c:v>7.6899037416248754</c:v>
                </c:pt>
                <c:pt idx="24">
                  <c:v>7.7946337564474195</c:v>
                </c:pt>
                <c:pt idx="25">
                  <c:v>7.9097897283834993</c:v>
                </c:pt>
                <c:pt idx="26">
                  <c:v>7.9793367022038009</c:v>
                </c:pt>
                <c:pt idx="27">
                  <c:v>8.0486843993970982</c:v>
                </c:pt>
                <c:pt idx="28">
                  <c:v>8.1178336752348716</c:v>
                </c:pt>
                <c:pt idx="29">
                  <c:v>8.1867853801012966</c:v>
                </c:pt>
                <c:pt idx="30">
                  <c:v>8.2555403595281049</c:v>
                </c:pt>
                <c:pt idx="31">
                  <c:v>8.6601174437836121</c:v>
                </c:pt>
                <c:pt idx="32">
                  <c:v>8.5429010437409882</c:v>
                </c:pt>
                <c:pt idx="33">
                  <c:v>8.5533421548216371</c:v>
                </c:pt>
                <c:pt idx="34">
                  <c:v>8.4286714022815161</c:v>
                </c:pt>
                <c:pt idx="35">
                  <c:v>8.6159245581215327</c:v>
                </c:pt>
                <c:pt idx="36">
                  <c:v>8.7432609044094374</c:v>
                </c:pt>
                <c:pt idx="37">
                  <c:v>8.7275388281812951</c:v>
                </c:pt>
                <c:pt idx="38">
                  <c:v>8.9852480201069547</c:v>
                </c:pt>
                <c:pt idx="39">
                  <c:v>8.9865678505794406</c:v>
                </c:pt>
                <c:pt idx="40">
                  <c:v>9.1836071255098535</c:v>
                </c:pt>
                <c:pt idx="41">
                  <c:v>9.0673122383104943</c:v>
                </c:pt>
                <c:pt idx="42">
                  <c:v>9.1615686617737158</c:v>
                </c:pt>
                <c:pt idx="43">
                  <c:v>9.1683797855407185</c:v>
                </c:pt>
                <c:pt idx="44">
                  <c:v>9.025346503606146</c:v>
                </c:pt>
                <c:pt idx="45">
                  <c:v>9.0939648110305367</c:v>
                </c:pt>
                <c:pt idx="46">
                  <c:v>9.1901383003975745</c:v>
                </c:pt>
                <c:pt idx="47">
                  <c:v>9.2921530766969163</c:v>
                </c:pt>
                <c:pt idx="48">
                  <c:v>9.4612567495622457</c:v>
                </c:pt>
                <c:pt idx="49">
                  <c:v>9.9140031399669777</c:v>
                </c:pt>
                <c:pt idx="50">
                  <c:v>10.03597194877886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4-4363-9584-CD0065B0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223872"/>
        <c:axId val="298237952"/>
      </c:lineChart>
      <c:catAx>
        <c:axId val="29822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8237952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98237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train</a:t>
                </a:r>
                <a:r>
                  <a:rPr lang="en-GB" baseline="0"/>
                  <a:t> car fuel economy (mpUSg)</a:t>
                </a:r>
                <a:endParaRPr lang="en-GB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982238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Options for log scale of US train exergy efficiency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ss_Brockway_2014!$C$63:$D$63</c:f>
              <c:strCache>
                <c:ptCount val="2"/>
                <c:pt idx="0">
                  <c:v>diesel car exergy efficiency, y = 50(1-e^-0.075x)</c:v>
                </c:pt>
                <c:pt idx="1">
                  <c:v>y1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ss_Brockway_2014!$E$62:$AX$62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cat>
          <c:val>
            <c:numRef>
              <c:f>ss_Brockway_2014!$E$63:$AD$63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6.0952284539719341E-2</c:v>
                </c:pt>
                <c:pt idx="2">
                  <c:v>0.11447420709821687</c:v>
                </c:pt>
                <c:pt idx="3">
                  <c:v>0.16147156275091767</c:v>
                </c:pt>
                <c:pt idx="4">
                  <c:v>0.20273972601490281</c:v>
                </c:pt>
                <c:pt idx="5">
                  <c:v>0.23897711161949198</c:v>
                </c:pt>
                <c:pt idx="6">
                  <c:v>0.27079699434738824</c:v>
                </c:pt>
                <c:pt idx="7">
                  <c:v>0.29873788798318202</c:v>
                </c:pt>
                <c:pt idx="8">
                  <c:v>0.32327265902060992</c:v>
                </c:pt>
                <c:pt idx="9">
                  <c:v>0.34481652936725754</c:v>
                </c:pt>
                <c:pt idx="10">
                  <c:v>0.36373410348299373</c:v>
                </c:pt>
                <c:pt idx="11">
                  <c:v>0.38034553887812272</c:v>
                </c:pt>
                <c:pt idx="12">
                  <c:v>0.39493196439961764</c:v>
                </c:pt>
                <c:pt idx="13">
                  <c:v>0.40774023800350534</c:v>
                </c:pt>
                <c:pt idx="14">
                  <c:v>0.41898712453305964</c:v>
                </c:pt>
                <c:pt idx="15">
                  <c:v>0.42886296420674325</c:v>
                </c:pt>
                <c:pt idx="16">
                  <c:v>0.43753489390070877</c:v>
                </c:pt>
                <c:pt idx="17">
                  <c:v>0.44514967574224429</c:v>
                </c:pt>
                <c:pt idx="18">
                  <c:v>0.45183618088475347</c:v>
                </c:pt>
                <c:pt idx="19">
                  <c:v>0.45770757049921768</c:v>
                </c:pt>
                <c:pt idx="20">
                  <c:v>0.46286321089283305</c:v>
                </c:pt>
                <c:pt idx="21">
                  <c:v>0.46739035516593624</c:v>
                </c:pt>
                <c:pt idx="22">
                  <c:v>0.47136561986726633</c:v>
                </c:pt>
                <c:pt idx="23">
                  <c:v>0.47485628163820409</c:v>
                </c:pt>
                <c:pt idx="24">
                  <c:v>0.47792141579015357</c:v>
                </c:pt>
                <c:pt idx="25">
                  <c:v>0.48061289608413899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E-4EAC-9699-2BE7DC1E76B1}"/>
            </c:ext>
          </c:extLst>
        </c:ser>
        <c:ser>
          <c:idx val="1"/>
          <c:order val="1"/>
          <c:tx>
            <c:strRef>
              <c:f>ss_Brockway_2014!$C$64:$D$64</c:f>
              <c:strCache>
                <c:ptCount val="2"/>
                <c:pt idx="0">
                  <c:v>train exergy efficiency y = 10log (mpUSg) car miles</c:v>
                </c:pt>
                <c:pt idx="1">
                  <c:v>y2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ss_Brockway_2014!$E$62:$AX$62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cat>
          <c:val>
            <c:numRef>
              <c:f>ss_Brockway_2014!$E$64:$AD$64</c:f>
              <c:numCache>
                <c:formatCode>0.0%</c:formatCode>
                <c:ptCount val="26"/>
                <c:pt idx="0" formatCode="General">
                  <c:v>0</c:v>
                </c:pt>
                <c:pt idx="1">
                  <c:v>3.0102999566398121E-2</c:v>
                </c:pt>
                <c:pt idx="2">
                  <c:v>6.0205999132796242E-2</c:v>
                </c:pt>
                <c:pt idx="3">
                  <c:v>7.7815125038364366E-2</c:v>
                </c:pt>
                <c:pt idx="4">
                  <c:v>9.0308998699194357E-2</c:v>
                </c:pt>
                <c:pt idx="5">
                  <c:v>0.1</c:v>
                </c:pt>
                <c:pt idx="6">
                  <c:v>0.10791812460476249</c:v>
                </c:pt>
                <c:pt idx="7">
                  <c:v>0.1146128035678238</c:v>
                </c:pt>
                <c:pt idx="8">
                  <c:v>0.12041199826559248</c:v>
                </c:pt>
                <c:pt idx="9">
                  <c:v>0.12552725051033062</c:v>
                </c:pt>
                <c:pt idx="10">
                  <c:v>0.13010299956639812</c:v>
                </c:pt>
                <c:pt idx="11">
                  <c:v>0.13424226808222062</c:v>
                </c:pt>
                <c:pt idx="12">
                  <c:v>0.13802112417116061</c:v>
                </c:pt>
                <c:pt idx="13">
                  <c:v>0.14149733479708179</c:v>
                </c:pt>
                <c:pt idx="14">
                  <c:v>0.14471580313422192</c:v>
                </c:pt>
                <c:pt idx="15">
                  <c:v>0.14771212547196624</c:v>
                </c:pt>
                <c:pt idx="16">
                  <c:v>0.1505149978319906</c:v>
                </c:pt>
                <c:pt idx="17">
                  <c:v>0.15314789170422552</c:v>
                </c:pt>
                <c:pt idx="18">
                  <c:v>0.15563025007672873</c:v>
                </c:pt>
                <c:pt idx="19">
                  <c:v>0.157978359661681</c:v>
                </c:pt>
                <c:pt idx="20">
                  <c:v>0.16020599913279621</c:v>
                </c:pt>
                <c:pt idx="21">
                  <c:v>0.16232492903979004</c:v>
                </c:pt>
                <c:pt idx="22">
                  <c:v>0.16434526764861876</c:v>
                </c:pt>
                <c:pt idx="23">
                  <c:v>0.16627578316815739</c:v>
                </c:pt>
                <c:pt idx="24">
                  <c:v>0.16812412373755872</c:v>
                </c:pt>
                <c:pt idx="25">
                  <c:v>0.16989700043360187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E-4EAC-9699-2BE7DC1E76B1}"/>
            </c:ext>
          </c:extLst>
        </c:ser>
        <c:ser>
          <c:idx val="2"/>
          <c:order val="2"/>
          <c:tx>
            <c:strRef>
              <c:f>ss_Brockway_2014!$C$65:$D$65</c:f>
              <c:strCache>
                <c:ptCount val="2"/>
                <c:pt idx="0">
                  <c:v>train exergy efficiency y =10log (10mpUSg) car miles</c:v>
                </c:pt>
                <c:pt idx="1">
                  <c:v>y3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ss_Brockway_2014!$E$62:$AX$62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cat>
          <c:val>
            <c:numRef>
              <c:f>ss_Brockway_2014!$E$65:$AD$65</c:f>
              <c:numCache>
                <c:formatCode>0.0%</c:formatCode>
                <c:ptCount val="26"/>
                <c:pt idx="0" formatCode="General">
                  <c:v>0</c:v>
                </c:pt>
                <c:pt idx="1">
                  <c:v>0.13010299956639812</c:v>
                </c:pt>
                <c:pt idx="2">
                  <c:v>0.16020599913279621</c:v>
                </c:pt>
                <c:pt idx="3">
                  <c:v>0.17781512503836436</c:v>
                </c:pt>
                <c:pt idx="4">
                  <c:v>0.19030899869919435</c:v>
                </c:pt>
                <c:pt idx="5">
                  <c:v>0.2</c:v>
                </c:pt>
                <c:pt idx="6">
                  <c:v>0.20791812460476247</c:v>
                </c:pt>
                <c:pt idx="7">
                  <c:v>0.21461280356782381</c:v>
                </c:pt>
                <c:pt idx="8">
                  <c:v>0.22041199826559246</c:v>
                </c:pt>
                <c:pt idx="9">
                  <c:v>0.22552725051033062</c:v>
                </c:pt>
                <c:pt idx="10">
                  <c:v>0.23010299956639813</c:v>
                </c:pt>
                <c:pt idx="11">
                  <c:v>0.23424226808222062</c:v>
                </c:pt>
                <c:pt idx="12">
                  <c:v>0.23802112417116061</c:v>
                </c:pt>
                <c:pt idx="13">
                  <c:v>0.2414973347970818</c:v>
                </c:pt>
                <c:pt idx="14">
                  <c:v>0.24471580313422195</c:v>
                </c:pt>
                <c:pt idx="15">
                  <c:v>0.24771212547196625</c:v>
                </c:pt>
                <c:pt idx="16">
                  <c:v>0.2505149978319906</c:v>
                </c:pt>
                <c:pt idx="17">
                  <c:v>0.25314789170422553</c:v>
                </c:pt>
                <c:pt idx="18">
                  <c:v>0.25563025007672874</c:v>
                </c:pt>
                <c:pt idx="19">
                  <c:v>0.25797835966168103</c:v>
                </c:pt>
                <c:pt idx="20">
                  <c:v>0.26020599913279624</c:v>
                </c:pt>
                <c:pt idx="21">
                  <c:v>0.26232492903979004</c:v>
                </c:pt>
                <c:pt idx="22">
                  <c:v>0.26434526764861876</c:v>
                </c:pt>
                <c:pt idx="23">
                  <c:v>0.26627578316815742</c:v>
                </c:pt>
                <c:pt idx="24">
                  <c:v>0.26812412373755873</c:v>
                </c:pt>
                <c:pt idx="25">
                  <c:v>0.26989700043360187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E-4EAC-9699-2BE7DC1E76B1}"/>
            </c:ext>
          </c:extLst>
        </c:ser>
        <c:ser>
          <c:idx val="3"/>
          <c:order val="3"/>
          <c:tx>
            <c:strRef>
              <c:f>ss_Brockway_2014!$C$67:$D$67</c:f>
              <c:strCache>
                <c:ptCount val="2"/>
                <c:pt idx="0">
                  <c:v>train exergy efficiency y =10log (20mpUSg) car miles</c:v>
                </c:pt>
                <c:pt idx="1">
                  <c:v>y5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ss_Brockway_2014!$E$62:$AX$62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cat>
          <c:val>
            <c:numRef>
              <c:f>ss_Brockway_2014!$E$67:$AD$67</c:f>
              <c:numCache>
                <c:formatCode>0.0%</c:formatCode>
                <c:ptCount val="26"/>
                <c:pt idx="0" formatCode="General">
                  <c:v>0</c:v>
                </c:pt>
                <c:pt idx="1">
                  <c:v>0.16020599913279621</c:v>
                </c:pt>
                <c:pt idx="2">
                  <c:v>0.19030899869919435</c:v>
                </c:pt>
                <c:pt idx="3">
                  <c:v>0.20791812460476247</c:v>
                </c:pt>
                <c:pt idx="4">
                  <c:v>0.22041199826559246</c:v>
                </c:pt>
                <c:pt idx="5">
                  <c:v>0.23010299956639813</c:v>
                </c:pt>
                <c:pt idx="6">
                  <c:v>0.23802112417116061</c:v>
                </c:pt>
                <c:pt idx="7">
                  <c:v>0.24471580313422195</c:v>
                </c:pt>
                <c:pt idx="8">
                  <c:v>0.2505149978319906</c:v>
                </c:pt>
                <c:pt idx="9">
                  <c:v>0.25563025007672874</c:v>
                </c:pt>
                <c:pt idx="10">
                  <c:v>0.26020599913279624</c:v>
                </c:pt>
                <c:pt idx="11">
                  <c:v>0.26434526764861876</c:v>
                </c:pt>
                <c:pt idx="12">
                  <c:v>0.26812412373755873</c:v>
                </c:pt>
                <c:pt idx="13">
                  <c:v>0.27160033436347991</c:v>
                </c:pt>
                <c:pt idx="14">
                  <c:v>0.27481880270062004</c:v>
                </c:pt>
                <c:pt idx="15">
                  <c:v>0.27781512503836436</c:v>
                </c:pt>
                <c:pt idx="16">
                  <c:v>0.28061799739838872</c:v>
                </c:pt>
                <c:pt idx="17">
                  <c:v>0.28325089127062364</c:v>
                </c:pt>
                <c:pt idx="18">
                  <c:v>0.28573324964312685</c:v>
                </c:pt>
                <c:pt idx="19">
                  <c:v>0.28808135922807915</c:v>
                </c:pt>
                <c:pt idx="20">
                  <c:v>0.29030899869919435</c:v>
                </c:pt>
                <c:pt idx="21">
                  <c:v>0.29242792860618816</c:v>
                </c:pt>
                <c:pt idx="22">
                  <c:v>0.29444826721501688</c:v>
                </c:pt>
                <c:pt idx="23">
                  <c:v>0.29637878273455553</c:v>
                </c:pt>
                <c:pt idx="24">
                  <c:v>0.29822712330395684</c:v>
                </c:pt>
                <c:pt idx="25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6E-4EAC-9699-2BE7DC1E76B1}"/>
            </c:ext>
          </c:extLst>
        </c:ser>
        <c:ser>
          <c:idx val="4"/>
          <c:order val="4"/>
          <c:tx>
            <c:strRef>
              <c:f>ss_Brockway_2014!$C$66:$D$66</c:f>
              <c:strCache>
                <c:ptCount val="2"/>
                <c:pt idx="0">
                  <c:v>train exergy efficiency y =10log (15mpUSg) car miles</c:v>
                </c:pt>
                <c:pt idx="1">
                  <c:v>y4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ss_Brockway_2014!$E$66:$AD$66</c:f>
              <c:numCache>
                <c:formatCode>0.0%</c:formatCode>
                <c:ptCount val="26"/>
                <c:pt idx="0" formatCode="General">
                  <c:v>0</c:v>
                </c:pt>
                <c:pt idx="1">
                  <c:v>0.14771212547196624</c:v>
                </c:pt>
                <c:pt idx="2">
                  <c:v>0.17781512503836436</c:v>
                </c:pt>
                <c:pt idx="3">
                  <c:v>0.19542425094393248</c:v>
                </c:pt>
                <c:pt idx="4">
                  <c:v>0.20791812460476247</c:v>
                </c:pt>
                <c:pt idx="5">
                  <c:v>0.21760912590556813</c:v>
                </c:pt>
                <c:pt idx="6">
                  <c:v>0.22552725051033062</c:v>
                </c:pt>
                <c:pt idx="7">
                  <c:v>0.23222192947339193</c:v>
                </c:pt>
                <c:pt idx="8">
                  <c:v>0.23802112417116061</c:v>
                </c:pt>
                <c:pt idx="9">
                  <c:v>0.24313637641589875</c:v>
                </c:pt>
                <c:pt idx="10">
                  <c:v>0.24771212547196625</c:v>
                </c:pt>
                <c:pt idx="11">
                  <c:v>0.25185139398778877</c:v>
                </c:pt>
                <c:pt idx="12">
                  <c:v>0.25563025007672874</c:v>
                </c:pt>
                <c:pt idx="13">
                  <c:v>0.25910646070264992</c:v>
                </c:pt>
                <c:pt idx="14">
                  <c:v>0.26232492903979004</c:v>
                </c:pt>
                <c:pt idx="15">
                  <c:v>0.26532125137753437</c:v>
                </c:pt>
                <c:pt idx="16">
                  <c:v>0.26812412373755873</c:v>
                </c:pt>
                <c:pt idx="17">
                  <c:v>0.27075701760979365</c:v>
                </c:pt>
                <c:pt idx="18">
                  <c:v>0.27323937598229686</c:v>
                </c:pt>
                <c:pt idx="19">
                  <c:v>0.27558748556724916</c:v>
                </c:pt>
                <c:pt idx="20">
                  <c:v>0.27781512503836436</c:v>
                </c:pt>
                <c:pt idx="21">
                  <c:v>0.27993405494535817</c:v>
                </c:pt>
                <c:pt idx="22">
                  <c:v>0.28195439355418689</c:v>
                </c:pt>
                <c:pt idx="23">
                  <c:v>0.28388490907372554</c:v>
                </c:pt>
                <c:pt idx="24">
                  <c:v>0.28573324964312685</c:v>
                </c:pt>
                <c:pt idx="25">
                  <c:v>0.28750612633917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6E-4EAC-9699-2BE7DC1E76B1}"/>
            </c:ext>
          </c:extLst>
        </c:ser>
        <c:ser>
          <c:idx val="5"/>
          <c:order val="5"/>
          <c:tx>
            <c:strRef>
              <c:f>ss_Brockway_2014!$C$68:$D$68</c:f>
              <c:strCache>
                <c:ptCount val="2"/>
                <c:pt idx="0">
                  <c:v>train exergy efficiency y =19.5log (1.5mpUSg) car miles</c:v>
                </c:pt>
                <c:pt idx="1">
                  <c:v>y6</c:v>
                </c:pt>
              </c:strCache>
            </c:strRef>
          </c:tx>
          <c:marker>
            <c:symbol val="none"/>
          </c:marker>
          <c:val>
            <c:numRef>
              <c:f>ss_Brockway_2014!$E$68:$AD$68</c:f>
              <c:numCache>
                <c:formatCode>0.0%</c:formatCode>
                <c:ptCount val="26"/>
                <c:pt idx="0">
                  <c:v>0</c:v>
                </c:pt>
                <c:pt idx="1">
                  <c:v>9.3038644670334167E-2</c:v>
                </c:pt>
                <c:pt idx="2">
                  <c:v>0.15173949382481053</c:v>
                </c:pt>
                <c:pt idx="3">
                  <c:v>0.18607728934066833</c:v>
                </c:pt>
                <c:pt idx="4">
                  <c:v>0.21044034297928685</c:v>
                </c:pt>
                <c:pt idx="5">
                  <c:v>0.22933779551585787</c:v>
                </c:pt>
                <c:pt idx="6">
                  <c:v>0.24477813849514468</c:v>
                </c:pt>
                <c:pt idx="7">
                  <c:v>0.25783276247311426</c:v>
                </c:pt>
                <c:pt idx="8">
                  <c:v>0.2691411921337632</c:v>
                </c:pt>
                <c:pt idx="9">
                  <c:v>0.27911593401100254</c:v>
                </c:pt>
                <c:pt idx="10">
                  <c:v>0.28803864467033419</c:v>
                </c:pt>
                <c:pt idx="11">
                  <c:v>0.29611021827618805</c:v>
                </c:pt>
                <c:pt idx="12">
                  <c:v>0.30347898764962106</c:v>
                </c:pt>
                <c:pt idx="13">
                  <c:v>0.31025759837016731</c:v>
                </c:pt>
                <c:pt idx="14">
                  <c:v>0.31653361162759064</c:v>
                </c:pt>
                <c:pt idx="15">
                  <c:v>0.32237644018619199</c:v>
                </c:pt>
                <c:pt idx="16">
                  <c:v>0.32784204128823952</c:v>
                </c:pt>
                <c:pt idx="17">
                  <c:v>0.33297618433909754</c:v>
                </c:pt>
                <c:pt idx="18">
                  <c:v>0.33781678316547892</c:v>
                </c:pt>
                <c:pt idx="19">
                  <c:v>0.34239559685613585</c:v>
                </c:pt>
                <c:pt idx="20">
                  <c:v>0.34673949382481051</c:v>
                </c:pt>
                <c:pt idx="21">
                  <c:v>0.35087140714344839</c:v>
                </c:pt>
                <c:pt idx="22">
                  <c:v>0.35481106743066443</c:v>
                </c:pt>
                <c:pt idx="23">
                  <c:v>0.35857557269376478</c:v>
                </c:pt>
                <c:pt idx="24">
                  <c:v>0.36217983680409738</c:v>
                </c:pt>
                <c:pt idx="25">
                  <c:v>0.3656369463613815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6E-4EAC-9699-2BE7DC1E76B1}"/>
            </c:ext>
          </c:extLst>
        </c:ser>
        <c:ser>
          <c:idx val="6"/>
          <c:order val="6"/>
          <c:tx>
            <c:strRef>
              <c:f>ss_Brockway_2014!$C$70</c:f>
              <c:strCache>
                <c:ptCount val="1"/>
                <c:pt idx="0">
                  <c:v>linear plot y = 2.5mpg</c:v>
                </c:pt>
              </c:strCache>
            </c:strRef>
          </c:tx>
          <c:marker>
            <c:symbol val="none"/>
          </c:marker>
          <c:val>
            <c:numRef>
              <c:f>ss_Brockway_2014!$E$70:$O$70</c:f>
              <c:numCache>
                <c:formatCode>0%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6E-4EAC-9699-2BE7DC1E7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306176"/>
        <c:axId val="298316544"/>
      </c:lineChart>
      <c:catAx>
        <c:axId val="29830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(car miles, US Gallons)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316544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298316544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9830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US train car</a:t>
            </a:r>
            <a:r>
              <a:rPr lang="en-GB" baseline="0"/>
              <a:t> fuel economy  mpUSg (train miles)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ss_Brockway_2014!$A$99</c:f>
              <c:strCache>
                <c:ptCount val="1"/>
                <c:pt idx="0">
                  <c:v>Rail, Class I (in freight service)</c:v>
                </c:pt>
              </c:strCache>
            </c:strRef>
          </c:tx>
          <c:marker>
            <c:symbol val="none"/>
          </c:marker>
          <c:cat>
            <c:numRef>
              <c:f>ss_Brockway_2014!$C$75:$BA$75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ss_Brockway_2014!$C$99:$BA$99</c:f>
              <c:numCache>
                <c:formatCode>#,##0.00</c:formatCode>
                <c:ptCount val="51"/>
                <c:pt idx="0" formatCode="0.00">
                  <c:v>0.11666185388391569</c:v>
                </c:pt>
                <c:pt idx="1">
                  <c:v>0.11677046306258912</c:v>
                </c:pt>
                <c:pt idx="2">
                  <c:v>0.11687907224126255</c:v>
                </c:pt>
                <c:pt idx="3">
                  <c:v>0.11698768141993598</c:v>
                </c:pt>
                <c:pt idx="4">
                  <c:v>0.11709629059860942</c:v>
                </c:pt>
                <c:pt idx="5" formatCode="0.00">
                  <c:v>0.11720489977728285</c:v>
                </c:pt>
                <c:pt idx="6">
                  <c:v>0.11785418780490103</c:v>
                </c:pt>
                <c:pt idx="7">
                  <c:v>0.11850347583251922</c:v>
                </c:pt>
                <c:pt idx="8">
                  <c:v>0.1191527638601374</c:v>
                </c:pt>
                <c:pt idx="9">
                  <c:v>0.11980205188775558</c:v>
                </c:pt>
                <c:pt idx="10" formatCode="0.00">
                  <c:v>0.12045133991537377</c:v>
                </c:pt>
                <c:pt idx="11">
                  <c:v>0.11840099536680818</c:v>
                </c:pt>
                <c:pt idx="12">
                  <c:v>0.11635065081824258</c:v>
                </c:pt>
                <c:pt idx="13">
                  <c:v>0.11430030626967699</c:v>
                </c:pt>
                <c:pt idx="14">
                  <c:v>0.1122499617211114</c:v>
                </c:pt>
                <c:pt idx="15" formatCode="0.00">
                  <c:v>0.1101996171725458</c:v>
                </c:pt>
                <c:pt idx="16">
                  <c:v>0.11008592324623336</c:v>
                </c:pt>
                <c:pt idx="17">
                  <c:v>0.10997222931992091</c:v>
                </c:pt>
                <c:pt idx="18">
                  <c:v>0.10985853539360847</c:v>
                </c:pt>
                <c:pt idx="19">
                  <c:v>0.10974484146729603</c:v>
                </c:pt>
                <c:pt idx="20" formatCode="0.00">
                  <c:v>0.1096311475409836</c:v>
                </c:pt>
                <c:pt idx="21">
                  <c:v>0.11002003057297981</c:v>
                </c:pt>
                <c:pt idx="22">
                  <c:v>0.11040891360497601</c:v>
                </c:pt>
                <c:pt idx="23">
                  <c:v>0.11079779663697222</c:v>
                </c:pt>
                <c:pt idx="24">
                  <c:v>0.11118667966896842</c:v>
                </c:pt>
                <c:pt idx="25" formatCode="0.00">
                  <c:v>0.11157556270096464</c:v>
                </c:pt>
                <c:pt idx="26">
                  <c:v>0.11196444573296084</c:v>
                </c:pt>
                <c:pt idx="27">
                  <c:v>0.11235332876495704</c:v>
                </c:pt>
                <c:pt idx="28">
                  <c:v>0.11274221179695325</c:v>
                </c:pt>
                <c:pt idx="29">
                  <c:v>0.11313109482894945</c:v>
                </c:pt>
                <c:pt idx="30" formatCode="0.00">
                  <c:v>0.12199036918138041</c:v>
                </c:pt>
                <c:pt idx="31" formatCode="0.00">
                  <c:v>0.12904335856847901</c:v>
                </c:pt>
                <c:pt idx="32" formatCode="0.00">
                  <c:v>0.12978369384359401</c:v>
                </c:pt>
                <c:pt idx="33" formatCode="0.00">
                  <c:v>0.13115284974093264</c:v>
                </c:pt>
                <c:pt idx="34" formatCode="0.00">
                  <c:v>0.13227354529094182</c:v>
                </c:pt>
                <c:pt idx="35" formatCode="0.00">
                  <c:v>0.13160919540229885</c:v>
                </c:pt>
                <c:pt idx="36" formatCode="0.00">
                  <c:v>0.13104219055602123</c:v>
                </c:pt>
                <c:pt idx="37" formatCode="0.00">
                  <c:v>0.13286713286713286</c:v>
                </c:pt>
                <c:pt idx="38" formatCode="0.00">
                  <c:v>0.13257047167178343</c:v>
                </c:pt>
                <c:pt idx="39" formatCode="0.00">
                  <c:v>0.13189771197846567</c:v>
                </c:pt>
                <c:pt idx="40" formatCode="0.00">
                  <c:v>0.13621621621621621</c:v>
                </c:pt>
                <c:pt idx="41" formatCode="0.00">
                  <c:v>0.13477088948787061</c:v>
                </c:pt>
                <c:pt idx="42" formatCode="0.00">
                  <c:v>0.13404825737265416</c:v>
                </c:pt>
                <c:pt idx="43" formatCode="0.00">
                  <c:v>0.13486670151594354</c:v>
                </c:pt>
                <c:pt idx="44" formatCode="0.00">
                  <c:v>0.13180586351318058</c:v>
                </c:pt>
                <c:pt idx="45" formatCode="0.00">
                  <c:v>0.13372376769155686</c:v>
                </c:pt>
                <c:pt idx="46" formatCode="0.00">
                  <c:v>0.13430343511450382</c:v>
                </c:pt>
                <c:pt idx="47" formatCode="0.00">
                  <c:v>0.13367799113737075</c:v>
                </c:pt>
                <c:pt idx="48" formatCode="0.00">
                  <c:v>0.13484302624806999</c:v>
                </c:pt>
                <c:pt idx="49" formatCode="0.00">
                  <c:v>0.13659147869674185</c:v>
                </c:pt>
                <c:pt idx="50" formatCode="0.00">
                  <c:v>0.13623354321694334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4-466F-89B1-0B30E6A6D527}"/>
            </c:ext>
          </c:extLst>
        </c:ser>
        <c:ser>
          <c:idx val="1"/>
          <c:order val="1"/>
          <c:tx>
            <c:strRef>
              <c:f>ss_Brockway_2014!$A$100</c:f>
              <c:strCache>
                <c:ptCount val="1"/>
                <c:pt idx="0">
                  <c:v>Amtrak</c:v>
                </c:pt>
              </c:strCache>
            </c:strRef>
          </c:tx>
          <c:marker>
            <c:symbol val="none"/>
          </c:marker>
          <c:cat>
            <c:numRef>
              <c:f>ss_Brockway_2014!$C$75:$BA$75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ss_Brockway_2014!$C$100:$BA$100</c:f>
              <c:numCache>
                <c:formatCode>#,##0.00</c:formatCode>
                <c:ptCount val="51"/>
                <c:pt idx="0" formatCode="0.00">
                  <c:v>0.44</c:v>
                </c:pt>
                <c:pt idx="1">
                  <c:v>0.44</c:v>
                </c:pt>
                <c:pt idx="2">
                  <c:v>0.44</c:v>
                </c:pt>
                <c:pt idx="3">
                  <c:v>0.44</c:v>
                </c:pt>
                <c:pt idx="4">
                  <c:v>0.44</c:v>
                </c:pt>
                <c:pt idx="5" formatCode="0.00">
                  <c:v>0.44</c:v>
                </c:pt>
                <c:pt idx="6">
                  <c:v>0.44</c:v>
                </c:pt>
                <c:pt idx="7">
                  <c:v>0.44</c:v>
                </c:pt>
                <c:pt idx="8">
                  <c:v>0.44</c:v>
                </c:pt>
                <c:pt idx="9">
                  <c:v>0.44</c:v>
                </c:pt>
                <c:pt idx="10" formatCode="0.00">
                  <c:v>0.44</c:v>
                </c:pt>
                <c:pt idx="11">
                  <c:v>0.4409821488307028</c:v>
                </c:pt>
                <c:pt idx="12">
                  <c:v>0.4419642976614056</c:v>
                </c:pt>
                <c:pt idx="13">
                  <c:v>0.4429464464921084</c:v>
                </c:pt>
                <c:pt idx="14">
                  <c:v>0.4439285953228112</c:v>
                </c:pt>
                <c:pt idx="15" formatCode="0.00">
                  <c:v>0.444910744153514</c:v>
                </c:pt>
                <c:pt idx="16">
                  <c:v>0.44133764023602051</c:v>
                </c:pt>
                <c:pt idx="17">
                  <c:v>0.43776453631852702</c:v>
                </c:pt>
                <c:pt idx="18">
                  <c:v>0.43419143240103353</c:v>
                </c:pt>
                <c:pt idx="19">
                  <c:v>0.43061832848354004</c:v>
                </c:pt>
                <c:pt idx="20" formatCode="0.00">
                  <c:v>0.4270452245660466</c:v>
                </c:pt>
                <c:pt idx="21">
                  <c:v>0.4246707537435529</c:v>
                </c:pt>
                <c:pt idx="22">
                  <c:v>0.4222962829210592</c:v>
                </c:pt>
                <c:pt idx="23">
                  <c:v>0.41992181209856549</c:v>
                </c:pt>
                <c:pt idx="24">
                  <c:v>0.41754734127607179</c:v>
                </c:pt>
                <c:pt idx="25" formatCode="0.00">
                  <c:v>0.41517287045357804</c:v>
                </c:pt>
                <c:pt idx="26">
                  <c:v>0.41279839963108433</c:v>
                </c:pt>
                <c:pt idx="27">
                  <c:v>0.41042392880859063</c:v>
                </c:pt>
                <c:pt idx="28">
                  <c:v>0.40804945798609693</c:v>
                </c:pt>
                <c:pt idx="29">
                  <c:v>0.40567498716360323</c:v>
                </c:pt>
                <c:pt idx="30" formatCode="0.00">
                  <c:v>0.36617720674119808</c:v>
                </c:pt>
                <c:pt idx="31" formatCode="0.00">
                  <c:v>0.38007549245839511</c:v>
                </c:pt>
                <c:pt idx="32" formatCode="0.00">
                  <c:v>0.38038939785571174</c:v>
                </c:pt>
                <c:pt idx="33" formatCode="0.00">
                  <c:v>0.38713945488224399</c:v>
                </c:pt>
                <c:pt idx="34" formatCode="0.00">
                  <c:v>0.41664851825172133</c:v>
                </c:pt>
                <c:pt idx="35" formatCode="0.00">
                  <c:v>0.39866475917978067</c:v>
                </c:pt>
                <c:pt idx="36" formatCode="0.00">
                  <c:v>0.37531746778289904</c:v>
                </c:pt>
                <c:pt idx="37" formatCode="0.00">
                  <c:v>0.37384610470501806</c:v>
                </c:pt>
                <c:pt idx="38" formatCode="0.00">
                  <c:v>0.38266859008909038</c:v>
                </c:pt>
                <c:pt idx="39" formatCode="0.00">
                  <c:v>0.37819425964645503</c:v>
                </c:pt>
                <c:pt idx="40" formatCode="0.00">
                  <c:v>0.32843718931400534</c:v>
                </c:pt>
                <c:pt idx="41" formatCode="0.00">
                  <c:v>0.33265330613224531</c:v>
                </c:pt>
                <c:pt idx="42" formatCode="0.00">
                  <c:v>0.3927794263105836</c:v>
                </c:pt>
                <c:pt idx="43" formatCode="0.00">
                  <c:v>0.41943482337261828</c:v>
                </c:pt>
                <c:pt idx="44" formatCode="0.00">
                  <c:v>0.44816737454774264</c:v>
                </c:pt>
                <c:pt idx="45" formatCode="0.00">
                  <c:v>0.46114647450770946</c:v>
                </c:pt>
                <c:pt idx="46" formatCode="0.00">
                  <c:v>0.47676292206028786</c:v>
                </c:pt>
                <c:pt idx="47" formatCode="0.00">
                  <c:v>0.48541887117312627</c:v>
                </c:pt>
                <c:pt idx="48" formatCode="0.00">
                  <c:v>0.49145605148469335</c:v>
                </c:pt>
                <c:pt idx="49" formatCode="0.00">
                  <c:v>0.50063937467355879</c:v>
                </c:pt>
                <c:pt idx="50" formatCode="0.00">
                  <c:v>0.48205141905550658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4-466F-89B1-0B30E6A6D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856704"/>
        <c:axId val="244858240"/>
      </c:lineChart>
      <c:catAx>
        <c:axId val="2448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485824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44858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(US)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4485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US and</a:t>
            </a:r>
            <a:r>
              <a:rPr lang="en-US" baseline="0"/>
              <a:t> UK </a:t>
            </a:r>
            <a:r>
              <a:rPr lang="en-US"/>
              <a:t>train exergy efficiencies</a:t>
            </a:r>
            <a:r>
              <a:rPr lang="en-US" baseline="0"/>
              <a:t> 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ss_Brockway_2014!$B$34</c:f>
              <c:strCache>
                <c:ptCount val="1"/>
                <c:pt idx="0">
                  <c:v>US diesel car exergy efficiency, y = 50(1-e^-0.065x)</c:v>
                </c:pt>
              </c:strCache>
            </c:strRef>
          </c:tx>
          <c:marker>
            <c:symbol val="none"/>
          </c:marker>
          <c:cat>
            <c:numRef>
              <c:f>ss_Brockway_2014!$C$31:$BA$31</c:f>
              <c:numCache>
                <c:formatCode>General</c:formatCode>
                <c:ptCount val="51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</c:numCache>
            </c:numRef>
          </c:cat>
          <c:val>
            <c:numRef>
              <c:f>ss_Brockway_2014!$C$34:$BA$34</c:f>
              <c:numCache>
                <c:formatCode>0.00%</c:formatCode>
                <c:ptCount val="51"/>
                <c:pt idx="0">
                  <c:v>0.19288039370881982</c:v>
                </c:pt>
                <c:pt idx="1">
                  <c:v>0.19350121804161508</c:v>
                </c:pt>
                <c:pt idx="2">
                  <c:v>0.19411995762071077</c:v>
                </c:pt>
                <c:pt idx="3">
                  <c:v>0.19473662167256406</c:v>
                </c:pt>
                <c:pt idx="4">
                  <c:v>0.19535121937363836</c:v>
                </c:pt>
                <c:pt idx="5">
                  <c:v>0.19596375985072137</c:v>
                </c:pt>
                <c:pt idx="6">
                  <c:v>0.19797571881146009</c:v>
                </c:pt>
                <c:pt idx="7">
                  <c:v>0.2000425044664941</c:v>
                </c:pt>
                <c:pt idx="8">
                  <c:v>0.20216633805593648</c:v>
                </c:pt>
                <c:pt idx="9">
                  <c:v>0.2043495586906672</c:v>
                </c:pt>
                <c:pt idx="10">
                  <c:v>0.2065946309147223</c:v>
                </c:pt>
                <c:pt idx="11">
                  <c:v>0.20388690141513494</c:v>
                </c:pt>
                <c:pt idx="12">
                  <c:v>0.20115286666634227</c:v>
                </c:pt>
                <c:pt idx="13">
                  <c:v>0.19839225863211352</c:v>
                </c:pt>
                <c:pt idx="14">
                  <c:v>0.19560480642055217</c:v>
                </c:pt>
                <c:pt idx="15">
                  <c:v>0.19279023625236966</c:v>
                </c:pt>
                <c:pt idx="16">
                  <c:v>0.19250543828552136</c:v>
                </c:pt>
                <c:pt idx="17">
                  <c:v>0.19222782817212825</c:v>
                </c:pt>
                <c:pt idx="18">
                  <c:v>0.19195713729695768</c:v>
                </c:pt>
                <c:pt idx="19">
                  <c:v>0.19169311025914598</c:v>
                </c:pt>
                <c:pt idx="20">
                  <c:v>0.19143550406981152</c:v>
                </c:pt>
                <c:pt idx="21">
                  <c:v>0.19305033706353819</c:v>
                </c:pt>
                <c:pt idx="22">
                  <c:v>0.1947954622321646</c:v>
                </c:pt>
                <c:pt idx="23">
                  <c:v>0.19668727917290824</c:v>
                </c:pt>
                <c:pt idx="24">
                  <c:v>0.19874505360060785</c:v>
                </c:pt>
                <c:pt idx="25">
                  <c:v>0.20099157026788539</c:v>
                </c:pt>
                <c:pt idx="26">
                  <c:v>0.20234020323088775</c:v>
                </c:pt>
                <c:pt idx="27">
                  <c:v>0.20367891516943756</c:v>
                </c:pt>
                <c:pt idx="28">
                  <c:v>0.20500780170516342</c:v>
                </c:pt>
                <c:pt idx="29">
                  <c:v>0.20632695733569062</c:v>
                </c:pt>
                <c:pt idx="30">
                  <c:v>0.2076364754501196</c:v>
                </c:pt>
                <c:pt idx="31">
                  <c:v>0.21522469535030969</c:v>
                </c:pt>
                <c:pt idx="32">
                  <c:v>0.21304668684909817</c:v>
                </c:pt>
                <c:pt idx="33">
                  <c:v>0.21324136802141594</c:v>
                </c:pt>
                <c:pt idx="34">
                  <c:v>0.21090815011958092</c:v>
                </c:pt>
                <c:pt idx="35">
                  <c:v>0.21440549155571995</c:v>
                </c:pt>
                <c:pt idx="36">
                  <c:v>0.2167595624357801</c:v>
                </c:pt>
                <c:pt idx="37">
                  <c:v>0.21646996118039291</c:v>
                </c:pt>
                <c:pt idx="38">
                  <c:v>0.22117984252512474</c:v>
                </c:pt>
                <c:pt idx="39">
                  <c:v>0.22120376119624247</c:v>
                </c:pt>
                <c:pt idx="40">
                  <c:v>0.22475169012304869</c:v>
                </c:pt>
                <c:pt idx="41">
                  <c:v>0.2226631581617895</c:v>
                </c:pt>
                <c:pt idx="42">
                  <c:v>0.22435711433236713</c:v>
                </c:pt>
                <c:pt idx="43">
                  <c:v>0.2244791207804766</c:v>
                </c:pt>
                <c:pt idx="44">
                  <c:v>0.22190561354538998</c:v>
                </c:pt>
                <c:pt idx="45">
                  <c:v>0.22314320534315119</c:v>
                </c:pt>
                <c:pt idx="46">
                  <c:v>0.22486851548877815</c:v>
                </c:pt>
                <c:pt idx="47">
                  <c:v>0.22668686611549049</c:v>
                </c:pt>
                <c:pt idx="48">
                  <c:v>0.22967460238703302</c:v>
                </c:pt>
                <c:pt idx="49">
                  <c:v>0.23751396140188605</c:v>
                </c:pt>
                <c:pt idx="50">
                  <c:v>0.23958671628816608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C-4EA2-B69A-108937BA9E09}"/>
            </c:ext>
          </c:extLst>
        </c:ser>
        <c:ser>
          <c:idx val="1"/>
          <c:order val="1"/>
          <c:tx>
            <c:strRef>
              <c:f>ss_Brockway_2014!$B$41</c:f>
              <c:strCache>
                <c:ptCount val="1"/>
                <c:pt idx="0">
                  <c:v>UK diesel car exergy efficiency, y = 50(1-e^-0.065x)</c:v>
                </c:pt>
              </c:strCache>
            </c:strRef>
          </c:tx>
          <c:marker>
            <c:symbol val="none"/>
          </c:marker>
          <c:val>
            <c:numRef>
              <c:f>ss_Brockway_2014!$C$41:$BA$41</c:f>
              <c:numCache>
                <c:formatCode>0.00%</c:formatCode>
                <c:ptCount val="51"/>
                <c:pt idx="0">
                  <c:v>0.12073181102268958</c:v>
                </c:pt>
                <c:pt idx="1">
                  <c:v>0.12175875773055531</c:v>
                </c:pt>
                <c:pt idx="2">
                  <c:v>0.12278250151880689</c:v>
                </c:pt>
                <c:pt idx="3">
                  <c:v>0.12380305237695398</c:v>
                </c:pt>
                <c:pt idx="4">
                  <c:v>0.12482042026335013</c:v>
                </c:pt>
                <c:pt idx="5">
                  <c:v>0.12583461510529012</c:v>
                </c:pt>
                <c:pt idx="6">
                  <c:v>0.1268456467991067</c:v>
                </c:pt>
                <c:pt idx="7">
                  <c:v>0.12785352521026719</c:v>
                </c:pt>
                <c:pt idx="8">
                  <c:v>0.12885826017346971</c:v>
                </c:pt>
                <c:pt idx="9">
                  <c:v>0.12985986149273918</c:v>
                </c:pt>
                <c:pt idx="10">
                  <c:v>0.13085833894152291</c:v>
                </c:pt>
                <c:pt idx="11">
                  <c:v>0.13185370226278623</c:v>
                </c:pt>
                <c:pt idx="12">
                  <c:v>0.13284596116910716</c:v>
                </c:pt>
                <c:pt idx="13">
                  <c:v>0.13383512534277153</c:v>
                </c:pt>
                <c:pt idx="14">
                  <c:v>0.13482120443586729</c:v>
                </c:pt>
                <c:pt idx="15">
                  <c:v>0.13580420807037866</c:v>
                </c:pt>
                <c:pt idx="16">
                  <c:v>0.13678414583828016</c:v>
                </c:pt>
                <c:pt idx="17">
                  <c:v>0.13776102730163006</c:v>
                </c:pt>
                <c:pt idx="18">
                  <c:v>0.13873486199266391</c:v>
                </c:pt>
                <c:pt idx="19">
                  <c:v>0.13970565941388713</c:v>
                </c:pt>
                <c:pt idx="20">
                  <c:v>0.14067342903816815</c:v>
                </c:pt>
                <c:pt idx="21">
                  <c:v>0.1416381803088308</c:v>
                </c:pt>
                <c:pt idx="22">
                  <c:v>0.14259992263974625</c:v>
                </c:pt>
                <c:pt idx="23">
                  <c:v>0.13760236161659115</c:v>
                </c:pt>
                <c:pt idx="24">
                  <c:v>0.14290390242366796</c:v>
                </c:pt>
                <c:pt idx="25">
                  <c:v>0.14291386687121002</c:v>
                </c:pt>
                <c:pt idx="26">
                  <c:v>0.14538517247666036</c:v>
                </c:pt>
                <c:pt idx="27">
                  <c:v>0.15355751848509336</c:v>
                </c:pt>
                <c:pt idx="28">
                  <c:v>0.15351615268155092</c:v>
                </c:pt>
                <c:pt idx="29">
                  <c:v>0.16539241325515328</c:v>
                </c:pt>
                <c:pt idx="30">
                  <c:v>0.17278707540979707</c:v>
                </c:pt>
                <c:pt idx="31">
                  <c:v>0.17026140273888063</c:v>
                </c:pt>
                <c:pt idx="32">
                  <c:v>0.16543760997333873</c:v>
                </c:pt>
                <c:pt idx="33">
                  <c:v>0.17592306304945687</c:v>
                </c:pt>
                <c:pt idx="34">
                  <c:v>0.1796893403920688</c:v>
                </c:pt>
                <c:pt idx="35">
                  <c:v>0.17991716388220688</c:v>
                </c:pt>
                <c:pt idx="36">
                  <c:v>0.18631622235748591</c:v>
                </c:pt>
                <c:pt idx="37">
                  <c:v>0.18688072554442642</c:v>
                </c:pt>
                <c:pt idx="38">
                  <c:v>0.1929303201516159</c:v>
                </c:pt>
                <c:pt idx="39">
                  <c:v>0.18813423826924844</c:v>
                </c:pt>
                <c:pt idx="40">
                  <c:v>0.18756651184190457</c:v>
                </c:pt>
                <c:pt idx="41">
                  <c:v>0.18388677123808694</c:v>
                </c:pt>
                <c:pt idx="42">
                  <c:v>0.18606418009126252</c:v>
                </c:pt>
                <c:pt idx="43">
                  <c:v>0.18452362281145657</c:v>
                </c:pt>
                <c:pt idx="44">
                  <c:v>0.17423141294693409</c:v>
                </c:pt>
                <c:pt idx="45">
                  <c:v>0.19730534338267952</c:v>
                </c:pt>
                <c:pt idx="46">
                  <c:v>0.19636244807531658</c:v>
                </c:pt>
                <c:pt idx="47">
                  <c:v>0.18810900502396385</c:v>
                </c:pt>
                <c:pt idx="48">
                  <c:v>0.18488161293502209</c:v>
                </c:pt>
                <c:pt idx="49">
                  <c:v>0.18021209689895126</c:v>
                </c:pt>
                <c:pt idx="50">
                  <c:v>0.17983740996548245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C-4EA2-B69A-108937BA9E09}"/>
            </c:ext>
          </c:extLst>
        </c:ser>
        <c:ser>
          <c:idx val="2"/>
          <c:order val="2"/>
          <c:tx>
            <c:strRef>
              <c:f>ss_Brockway_2014!$B$35</c:f>
              <c:strCache>
                <c:ptCount val="1"/>
                <c:pt idx="0">
                  <c:v>US steam train assumed exergy efficiency</c:v>
                </c:pt>
              </c:strCache>
            </c:strRef>
          </c:tx>
          <c:marker>
            <c:symbol val="none"/>
          </c:marker>
          <c:val>
            <c:numRef>
              <c:f>ss_Brockway_2014!$C$35:$W$35</c:f>
              <c:numCache>
                <c:formatCode>0.0%</c:formatCode>
                <c:ptCount val="21"/>
                <c:pt idx="0">
                  <c:v>3.2789666930499374E-2</c:v>
                </c:pt>
                <c:pt idx="1">
                  <c:v>3.2895207067074564E-2</c:v>
                </c:pt>
                <c:pt idx="2">
                  <c:v>3.3000392795520833E-2</c:v>
                </c:pt>
                <c:pt idx="3">
                  <c:v>3.3105225684335896E-2</c:v>
                </c:pt>
                <c:pt idx="4">
                  <c:v>3.3209707293518527E-2</c:v>
                </c:pt>
                <c:pt idx="5">
                  <c:v>3.3313839174622634E-2</c:v>
                </c:pt>
                <c:pt idx="6">
                  <c:v>3.3655872197948217E-2</c:v>
                </c:pt>
                <c:pt idx="7">
                  <c:v>3.4007225759303997E-2</c:v>
                </c:pt>
                <c:pt idx="8">
                  <c:v>3.4368277469509205E-2</c:v>
                </c:pt>
                <c:pt idx="9">
                  <c:v>3.4739424977413426E-2</c:v>
                </c:pt>
                <c:pt idx="10">
                  <c:v>3.5121087255502795E-2</c:v>
                </c:pt>
                <c:pt idx="11">
                  <c:v>3.4660773240572942E-2</c:v>
                </c:pt>
                <c:pt idx="12">
                  <c:v>3.4195987333278187E-2</c:v>
                </c:pt>
                <c:pt idx="13">
                  <c:v>3.3726683967459301E-2</c:v>
                </c:pt>
                <c:pt idx="14">
                  <c:v>3.3252817091493872E-2</c:v>
                </c:pt>
                <c:pt idx="15">
                  <c:v>3.2774340162902843E-2</c:v>
                </c:pt>
                <c:pt idx="16">
                  <c:v>3.2725924508538631E-2</c:v>
                </c:pt>
                <c:pt idx="17">
                  <c:v>3.2678730789261805E-2</c:v>
                </c:pt>
                <c:pt idx="18">
                  <c:v>3.2632713340482809E-2</c:v>
                </c:pt>
                <c:pt idx="19">
                  <c:v>3.2587828744054817E-2</c:v>
                </c:pt>
                <c:pt idx="20">
                  <c:v>3.2544035691867965E-2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C-4EA2-B69A-108937BA9E09}"/>
            </c:ext>
          </c:extLst>
        </c:ser>
        <c:ser>
          <c:idx val="3"/>
          <c:order val="3"/>
          <c:tx>
            <c:strRef>
              <c:f>ss_Brockway_2014!$B$43</c:f>
              <c:strCache>
                <c:ptCount val="1"/>
                <c:pt idx="0">
                  <c:v>UK steam train assumed exergy efficiency</c:v>
                </c:pt>
              </c:strCache>
            </c:strRef>
          </c:tx>
          <c:marker>
            <c:symbol val="none"/>
          </c:marker>
          <c:val>
            <c:numRef>
              <c:f>ss_Brockway_2014!$C$43:$BA$43</c:f>
              <c:numCache>
                <c:formatCode>0.00%</c:formatCode>
                <c:ptCount val="51"/>
                <c:pt idx="0">
                  <c:v>2.6091867706555017E-2</c:v>
                </c:pt>
                <c:pt idx="1">
                  <c:v>2.6233569133369643E-2</c:v>
                </c:pt>
                <c:pt idx="2">
                  <c:v>2.6373874464315591E-2</c:v>
                </c:pt>
                <c:pt idx="3">
                  <c:v>2.6512810940942516E-2</c:v>
                </c:pt>
                <c:pt idx="4">
                  <c:v>2.6650405015164989E-2</c:v>
                </c:pt>
                <c:pt idx="5">
                  <c:v>2.678668237948896E-2</c:v>
                </c:pt>
                <c:pt idx="6">
                  <c:v>2.6921667995805601E-2</c:v>
                </c:pt>
                <c:pt idx="7">
                  <c:v>2.7055386122833251E-2</c:v>
                </c:pt>
                <c:pt idx="8">
                  <c:v>2.7187860342282964E-2</c:v>
                </c:pt>
                <c:pt idx="9">
                  <c:v>2.7319113583818166E-2</c:v>
                </c:pt>
                <c:pt idx="10">
                  <c:v>2.7449168148874645E-2</c:v>
                </c:pt>
                <c:pt idx="11">
                  <c:v>2.7578045733402581E-2</c:v>
                </c:pt>
                <c:pt idx="12">
                  <c:v>2.770576744958874E-2</c:v>
                </c:pt>
                <c:pt idx="13">
                  <c:v>2.7832353846613211E-2</c:v>
                </c:pt>
                <c:pt idx="14">
                  <c:v>2.7957824930491714E-2</c:v>
                </c:pt>
                <c:pt idx="15">
                  <c:v>2.8082200183051357E-2</c:v>
                </c:pt>
                <c:pt idx="16">
                  <c:v>2.8205498580084989E-2</c:v>
                </c:pt>
                <c:pt idx="17">
                  <c:v>2.8327738608726248E-2</c:v>
                </c:pt>
                <c:pt idx="18">
                  <c:v>2.8448938284085311E-2</c:v>
                </c:pt>
                <c:pt idx="19">
                  <c:v>2.8569115165182637E-2</c:v>
                </c:pt>
                <c:pt idx="20">
                  <c:v>2.868828637021606E-2</c:v>
                </c:pt>
                <c:pt idx="21">
                  <c:v>2.868828637021606E-2</c:v>
                </c:pt>
                <c:pt idx="22">
                  <c:v>2.868828637021606E-2</c:v>
                </c:pt>
                <c:pt idx="23">
                  <c:v>2.868828637021606E-2</c:v>
                </c:pt>
                <c:pt idx="24">
                  <c:v>2.868828637021606E-2</c:v>
                </c:pt>
                <c:pt idx="25">
                  <c:v>2.868828637021606E-2</c:v>
                </c:pt>
                <c:pt idx="26">
                  <c:v>2.868828637021606E-2</c:v>
                </c:pt>
                <c:pt idx="27">
                  <c:v>2.868828637021606E-2</c:v>
                </c:pt>
                <c:pt idx="28">
                  <c:v>2.868828637021606E-2</c:v>
                </c:pt>
                <c:pt idx="29">
                  <c:v>2.868828637021606E-2</c:v>
                </c:pt>
                <c:pt idx="30">
                  <c:v>2.868828637021606E-2</c:v>
                </c:pt>
                <c:pt idx="31">
                  <c:v>2.868828637021606E-2</c:v>
                </c:pt>
                <c:pt idx="32">
                  <c:v>2.868828637021606E-2</c:v>
                </c:pt>
                <c:pt idx="33">
                  <c:v>2.868828637021606E-2</c:v>
                </c:pt>
                <c:pt idx="34">
                  <c:v>2.868828637021606E-2</c:v>
                </c:pt>
                <c:pt idx="35">
                  <c:v>2.868828637021606E-2</c:v>
                </c:pt>
                <c:pt idx="36">
                  <c:v>2.868828637021606E-2</c:v>
                </c:pt>
                <c:pt idx="37">
                  <c:v>2.868828637021606E-2</c:v>
                </c:pt>
                <c:pt idx="38">
                  <c:v>2.868828637021606E-2</c:v>
                </c:pt>
                <c:pt idx="39">
                  <c:v>2.868828637021606E-2</c:v>
                </c:pt>
                <c:pt idx="40">
                  <c:v>2.868828637021606E-2</c:v>
                </c:pt>
                <c:pt idx="41">
                  <c:v>2.868828637021606E-2</c:v>
                </c:pt>
                <c:pt idx="42">
                  <c:v>2.868828637021606E-2</c:v>
                </c:pt>
                <c:pt idx="43">
                  <c:v>2.868828637021606E-2</c:v>
                </c:pt>
                <c:pt idx="44">
                  <c:v>2.868828637021606E-2</c:v>
                </c:pt>
                <c:pt idx="45">
                  <c:v>2.868828637021606E-2</c:v>
                </c:pt>
                <c:pt idx="46">
                  <c:v>2.868828637021606E-2</c:v>
                </c:pt>
                <c:pt idx="47">
                  <c:v>2.868828637021606E-2</c:v>
                </c:pt>
                <c:pt idx="48">
                  <c:v>2.868828637021606E-2</c:v>
                </c:pt>
                <c:pt idx="49">
                  <c:v>2.868828637021606E-2</c:v>
                </c:pt>
                <c:pt idx="50">
                  <c:v>2.868828637021606E-2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C-4EA2-B69A-108937BA9E09}"/>
            </c:ext>
          </c:extLst>
        </c:ser>
        <c:ser>
          <c:idx val="4"/>
          <c:order val="4"/>
          <c:tx>
            <c:strRef>
              <c:f>ss_Brockway_2014!$B$42</c:f>
              <c:strCache>
                <c:ptCount val="1"/>
                <c:pt idx="0">
                  <c:v>UK electric car exergy efficiency, y = 50(1-e^-0.065x)</c:v>
                </c:pt>
              </c:strCache>
            </c:strRef>
          </c:tx>
          <c:marker>
            <c:symbol val="none"/>
          </c:marker>
          <c:val>
            <c:numRef>
              <c:f>ss_Brockway_2014!$C$42:$BA$42</c:f>
              <c:numCache>
                <c:formatCode>0.0%</c:formatCode>
                <c:ptCount val="51"/>
                <c:pt idx="0">
                  <c:v>0.14067342903816815</c:v>
                </c:pt>
                <c:pt idx="1">
                  <c:v>0.14067342903816815</c:v>
                </c:pt>
                <c:pt idx="2">
                  <c:v>0.14067342903816815</c:v>
                </c:pt>
                <c:pt idx="3">
                  <c:v>0.14067342903816815</c:v>
                </c:pt>
                <c:pt idx="4">
                  <c:v>0.14067342903816815</c:v>
                </c:pt>
                <c:pt idx="5">
                  <c:v>0.14067342903816815</c:v>
                </c:pt>
                <c:pt idx="6">
                  <c:v>0.14067342903816815</c:v>
                </c:pt>
                <c:pt idx="7">
                  <c:v>0.14067342903816815</c:v>
                </c:pt>
                <c:pt idx="8">
                  <c:v>0.14067342903816815</c:v>
                </c:pt>
                <c:pt idx="9">
                  <c:v>0.14067342903816815</c:v>
                </c:pt>
                <c:pt idx="10">
                  <c:v>0.14067342903816815</c:v>
                </c:pt>
                <c:pt idx="11">
                  <c:v>0.14067342903816815</c:v>
                </c:pt>
                <c:pt idx="12">
                  <c:v>0.14067342903816815</c:v>
                </c:pt>
                <c:pt idx="13">
                  <c:v>0.14067342903816815</c:v>
                </c:pt>
                <c:pt idx="14">
                  <c:v>0.14067342903816815</c:v>
                </c:pt>
                <c:pt idx="15">
                  <c:v>0.14067342903816815</c:v>
                </c:pt>
                <c:pt idx="16">
                  <c:v>0.14067342903816815</c:v>
                </c:pt>
                <c:pt idx="17">
                  <c:v>0.14067342903816815</c:v>
                </c:pt>
                <c:pt idx="18">
                  <c:v>0.14067342903816815</c:v>
                </c:pt>
                <c:pt idx="19">
                  <c:v>0.14067342903816815</c:v>
                </c:pt>
                <c:pt idx="20">
                  <c:v>0.14067342903816815</c:v>
                </c:pt>
                <c:pt idx="21">
                  <c:v>0.14067342903816815</c:v>
                </c:pt>
                <c:pt idx="22">
                  <c:v>0.14067342903816815</c:v>
                </c:pt>
                <c:pt idx="23">
                  <c:v>0.14768239911982473</c:v>
                </c:pt>
                <c:pt idx="24">
                  <c:v>0.14865212416176996</c:v>
                </c:pt>
                <c:pt idx="25">
                  <c:v>0.14610448803323134</c:v>
                </c:pt>
                <c:pt idx="26">
                  <c:v>0.14414621194598226</c:v>
                </c:pt>
                <c:pt idx="27">
                  <c:v>0.14314367399007127</c:v>
                </c:pt>
                <c:pt idx="28">
                  <c:v>0.13658921403315735</c:v>
                </c:pt>
                <c:pt idx="29">
                  <c:v>0.13960396197468478</c:v>
                </c:pt>
                <c:pt idx="30">
                  <c:v>0.13955854488776523</c:v>
                </c:pt>
                <c:pt idx="31">
                  <c:v>0.13791205607348778</c:v>
                </c:pt>
                <c:pt idx="32">
                  <c:v>0.13360626189714142</c:v>
                </c:pt>
                <c:pt idx="33">
                  <c:v>0.13320316243825478</c:v>
                </c:pt>
                <c:pt idx="34">
                  <c:v>0.13367178561669771</c:v>
                </c:pt>
                <c:pt idx="35">
                  <c:v>0.13623272258670707</c:v>
                </c:pt>
                <c:pt idx="36">
                  <c:v>0.13654042265341099</c:v>
                </c:pt>
                <c:pt idx="37">
                  <c:v>0.1372737144279749</c:v>
                </c:pt>
                <c:pt idx="38">
                  <c:v>0.13507815634263962</c:v>
                </c:pt>
                <c:pt idx="39">
                  <c:v>0.13782068413022949</c:v>
                </c:pt>
                <c:pt idx="40">
                  <c:v>0.13723763048411924</c:v>
                </c:pt>
                <c:pt idx="41">
                  <c:v>0.13525532807310203</c:v>
                </c:pt>
                <c:pt idx="42">
                  <c:v>0.1375946847721074</c:v>
                </c:pt>
                <c:pt idx="43">
                  <c:v>0.13540779879294898</c:v>
                </c:pt>
                <c:pt idx="44">
                  <c:v>0.13458098229477589</c:v>
                </c:pt>
                <c:pt idx="45">
                  <c:v>0.13359433870469944</c:v>
                </c:pt>
                <c:pt idx="46">
                  <c:v>0.13637466884116256</c:v>
                </c:pt>
                <c:pt idx="47">
                  <c:v>0.14317648575036585</c:v>
                </c:pt>
                <c:pt idx="48">
                  <c:v>0.14789560732927459</c:v>
                </c:pt>
                <c:pt idx="49">
                  <c:v>0.1444340238416145</c:v>
                </c:pt>
                <c:pt idx="50">
                  <c:v>0.14863299024222762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AC-4EA2-B69A-108937BA9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216832"/>
        <c:axId val="298398848"/>
      </c:lineChart>
      <c:catAx>
        <c:axId val="29821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839884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98398848"/>
        <c:scaling>
          <c:orientation val="minMax"/>
          <c:max val="0.25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 (%)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crossAx val="29821683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66405630323407117"/>
          <c:y val="0.21477055770444275"/>
          <c:w val="0.31946584066907879"/>
          <c:h val="0.62780119589640659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US vs UK train exergy efficiency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6"/>
          <c:order val="0"/>
          <c:tx>
            <c:strRef>
              <c:f>ss_Brockway_2014!$C$70</c:f>
              <c:strCache>
                <c:ptCount val="1"/>
                <c:pt idx="0">
                  <c:v>linear plot y = 2.5mpg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xVal>
            <c:numRef>
              <c:f>ss_Brockway_2014!$E$62:$AD$62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xVal>
          <c:yVal>
            <c:numRef>
              <c:f>ss_Brockway_2014!$E$70:$AD$70</c:f>
              <c:numCache>
                <c:formatCode>0%</c:formatCode>
                <c:ptCount val="2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25" formatCode="General">
                  <c:v>36.5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1-4714-929C-ECBADFD8F5F4}"/>
            </c:ext>
          </c:extLst>
        </c:ser>
        <c:ser>
          <c:idx val="0"/>
          <c:order val="1"/>
          <c:tx>
            <c:strRef>
              <c:f>ss_Brockway_2014!$B$34</c:f>
              <c:strCache>
                <c:ptCount val="1"/>
                <c:pt idx="0">
                  <c:v>US diesel car exergy efficiency, y = 50(1-e^-0.065x)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xVal>
            <c:numRef>
              <c:f>ss_Brockway_2014!$C$33:$BA$33</c:f>
              <c:numCache>
                <c:formatCode>0.00</c:formatCode>
                <c:ptCount val="51"/>
                <c:pt idx="0">
                  <c:v>7.4980127641313903</c:v>
                </c:pt>
                <c:pt idx="1">
                  <c:v>7.5291433398223901</c:v>
                </c:pt>
                <c:pt idx="2">
                  <c:v>7.5602321799605354</c:v>
                </c:pt>
                <c:pt idx="3">
                  <c:v>7.5912793684194542</c:v>
                </c:pt>
                <c:pt idx="4">
                  <c:v>7.6222849888481825</c:v>
                </c:pt>
                <c:pt idx="5">
                  <c:v>7.6532491246719179</c:v>
                </c:pt>
                <c:pt idx="6">
                  <c:v>7.7553951229657887</c:v>
                </c:pt>
                <c:pt idx="7">
                  <c:v>7.8610356209038583</c:v>
                </c:pt>
                <c:pt idx="8">
                  <c:v>7.9703530639042608</c:v>
                </c:pt>
                <c:pt idx="9">
                  <c:v>8.0835428227934081</c:v>
                </c:pt>
                <c:pt idx="10">
                  <c:v>8.2008143590757108</c:v>
                </c:pt>
                <c:pt idx="11">
                  <c:v>8.0594865732634169</c:v>
                </c:pt>
                <c:pt idx="12">
                  <c:v>7.9180910080459794</c:v>
                </c:pt>
                <c:pt idx="13">
                  <c:v>7.7766276146522078</c:v>
                </c:pt>
                <c:pt idx="14">
                  <c:v>7.6350963442641078</c:v>
                </c:pt>
                <c:pt idx="15">
                  <c:v>7.493497148016826</c:v>
                </c:pt>
                <c:pt idx="16">
                  <c:v>7.4792414894366059</c:v>
                </c:pt>
                <c:pt idx="17">
                  <c:v>7.4653583233935672</c:v>
                </c:pt>
                <c:pt idx="18">
                  <c:v>7.4518332386284225</c:v>
                </c:pt>
                <c:pt idx="19">
                  <c:v>7.4386525578210527</c:v>
                </c:pt>
                <c:pt idx="20">
                  <c:v>7.4258032914551775</c:v>
                </c:pt>
                <c:pt idx="21">
                  <c:v>7.5065281331533598</c:v>
                </c:pt>
                <c:pt idx="22">
                  <c:v>7.5942450914571626</c:v>
                </c:pt>
                <c:pt idx="23">
                  <c:v>7.6899037416248754</c:v>
                </c:pt>
                <c:pt idx="24">
                  <c:v>7.7946337564474195</c:v>
                </c:pt>
                <c:pt idx="25">
                  <c:v>7.9097897283834993</c:v>
                </c:pt>
                <c:pt idx="26">
                  <c:v>7.9793367022038009</c:v>
                </c:pt>
                <c:pt idx="27">
                  <c:v>8.0486843993970982</c:v>
                </c:pt>
                <c:pt idx="28">
                  <c:v>8.1178336752348716</c:v>
                </c:pt>
                <c:pt idx="29">
                  <c:v>8.1867853801012966</c:v>
                </c:pt>
                <c:pt idx="30">
                  <c:v>8.2555403595281049</c:v>
                </c:pt>
                <c:pt idx="31">
                  <c:v>8.6601174437836121</c:v>
                </c:pt>
                <c:pt idx="32">
                  <c:v>8.5429010437409882</c:v>
                </c:pt>
                <c:pt idx="33">
                  <c:v>8.5533421548216371</c:v>
                </c:pt>
                <c:pt idx="34">
                  <c:v>8.4286714022815161</c:v>
                </c:pt>
                <c:pt idx="35">
                  <c:v>8.6159245581215327</c:v>
                </c:pt>
                <c:pt idx="36">
                  <c:v>8.7432609044094374</c:v>
                </c:pt>
                <c:pt idx="37">
                  <c:v>8.7275388281812951</c:v>
                </c:pt>
                <c:pt idx="38">
                  <c:v>8.9852480201069547</c:v>
                </c:pt>
                <c:pt idx="39">
                  <c:v>8.9865678505794406</c:v>
                </c:pt>
                <c:pt idx="40">
                  <c:v>9.1836071255098535</c:v>
                </c:pt>
                <c:pt idx="41">
                  <c:v>9.0673122383104943</c:v>
                </c:pt>
                <c:pt idx="42">
                  <c:v>9.1615686617737158</c:v>
                </c:pt>
                <c:pt idx="43">
                  <c:v>9.1683797855407185</c:v>
                </c:pt>
                <c:pt idx="44">
                  <c:v>9.025346503606146</c:v>
                </c:pt>
                <c:pt idx="45">
                  <c:v>9.0939648110305367</c:v>
                </c:pt>
                <c:pt idx="46">
                  <c:v>9.1901383003975745</c:v>
                </c:pt>
                <c:pt idx="47">
                  <c:v>9.2921530766969163</c:v>
                </c:pt>
                <c:pt idx="48">
                  <c:v>9.4612567495622457</c:v>
                </c:pt>
                <c:pt idx="49">
                  <c:v>9.9140031399669777</c:v>
                </c:pt>
                <c:pt idx="50">
                  <c:v>10.03597194877886</c:v>
                </c:pt>
              </c:numCache>
            </c:numRef>
          </c:xVal>
          <c:yVal>
            <c:numRef>
              <c:f>ss_Brockway_2014!$C$34:$BA$34</c:f>
              <c:numCache>
                <c:formatCode>0.00%</c:formatCode>
                <c:ptCount val="51"/>
                <c:pt idx="0">
                  <c:v>0.19288039370881982</c:v>
                </c:pt>
                <c:pt idx="1">
                  <c:v>0.19350121804161508</c:v>
                </c:pt>
                <c:pt idx="2">
                  <c:v>0.19411995762071077</c:v>
                </c:pt>
                <c:pt idx="3">
                  <c:v>0.19473662167256406</c:v>
                </c:pt>
                <c:pt idx="4">
                  <c:v>0.19535121937363836</c:v>
                </c:pt>
                <c:pt idx="5">
                  <c:v>0.19596375985072137</c:v>
                </c:pt>
                <c:pt idx="6">
                  <c:v>0.19797571881146009</c:v>
                </c:pt>
                <c:pt idx="7">
                  <c:v>0.2000425044664941</c:v>
                </c:pt>
                <c:pt idx="8">
                  <c:v>0.20216633805593648</c:v>
                </c:pt>
                <c:pt idx="9">
                  <c:v>0.2043495586906672</c:v>
                </c:pt>
                <c:pt idx="10">
                  <c:v>0.2065946309147223</c:v>
                </c:pt>
                <c:pt idx="11">
                  <c:v>0.20388690141513494</c:v>
                </c:pt>
                <c:pt idx="12">
                  <c:v>0.20115286666634227</c:v>
                </c:pt>
                <c:pt idx="13">
                  <c:v>0.19839225863211352</c:v>
                </c:pt>
                <c:pt idx="14">
                  <c:v>0.19560480642055217</c:v>
                </c:pt>
                <c:pt idx="15">
                  <c:v>0.19279023625236966</c:v>
                </c:pt>
                <c:pt idx="16">
                  <c:v>0.19250543828552136</c:v>
                </c:pt>
                <c:pt idx="17">
                  <c:v>0.19222782817212825</c:v>
                </c:pt>
                <c:pt idx="18">
                  <c:v>0.19195713729695768</c:v>
                </c:pt>
                <c:pt idx="19">
                  <c:v>0.19169311025914598</c:v>
                </c:pt>
                <c:pt idx="20">
                  <c:v>0.19143550406981152</c:v>
                </c:pt>
                <c:pt idx="21">
                  <c:v>0.19305033706353819</c:v>
                </c:pt>
                <c:pt idx="22">
                  <c:v>0.1947954622321646</c:v>
                </c:pt>
                <c:pt idx="23">
                  <c:v>0.19668727917290824</c:v>
                </c:pt>
                <c:pt idx="24">
                  <c:v>0.19874505360060785</c:v>
                </c:pt>
                <c:pt idx="25">
                  <c:v>0.20099157026788539</c:v>
                </c:pt>
                <c:pt idx="26">
                  <c:v>0.20234020323088775</c:v>
                </c:pt>
                <c:pt idx="27">
                  <c:v>0.20367891516943756</c:v>
                </c:pt>
                <c:pt idx="28">
                  <c:v>0.20500780170516342</c:v>
                </c:pt>
                <c:pt idx="29">
                  <c:v>0.20632695733569062</c:v>
                </c:pt>
                <c:pt idx="30">
                  <c:v>0.2076364754501196</c:v>
                </c:pt>
                <c:pt idx="31">
                  <c:v>0.21522469535030969</c:v>
                </c:pt>
                <c:pt idx="32">
                  <c:v>0.21304668684909817</c:v>
                </c:pt>
                <c:pt idx="33">
                  <c:v>0.21324136802141594</c:v>
                </c:pt>
                <c:pt idx="34">
                  <c:v>0.21090815011958092</c:v>
                </c:pt>
                <c:pt idx="35">
                  <c:v>0.21440549155571995</c:v>
                </c:pt>
                <c:pt idx="36">
                  <c:v>0.2167595624357801</c:v>
                </c:pt>
                <c:pt idx="37">
                  <c:v>0.21646996118039291</c:v>
                </c:pt>
                <c:pt idx="38">
                  <c:v>0.22117984252512474</c:v>
                </c:pt>
                <c:pt idx="39">
                  <c:v>0.22120376119624247</c:v>
                </c:pt>
                <c:pt idx="40">
                  <c:v>0.22475169012304869</c:v>
                </c:pt>
                <c:pt idx="41">
                  <c:v>0.2226631581617895</c:v>
                </c:pt>
                <c:pt idx="42">
                  <c:v>0.22435711433236713</c:v>
                </c:pt>
                <c:pt idx="43">
                  <c:v>0.2244791207804766</c:v>
                </c:pt>
                <c:pt idx="44">
                  <c:v>0.22190561354538998</c:v>
                </c:pt>
                <c:pt idx="45">
                  <c:v>0.22314320534315119</c:v>
                </c:pt>
                <c:pt idx="46">
                  <c:v>0.22486851548877815</c:v>
                </c:pt>
                <c:pt idx="47">
                  <c:v>0.22668686611549049</c:v>
                </c:pt>
                <c:pt idx="48">
                  <c:v>0.22967460238703302</c:v>
                </c:pt>
                <c:pt idx="49">
                  <c:v>0.23751396140188605</c:v>
                </c:pt>
                <c:pt idx="50">
                  <c:v>0.23958671628816608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71-4714-929C-ECBADFD8F5F4}"/>
            </c:ext>
          </c:extLst>
        </c:ser>
        <c:ser>
          <c:idx val="1"/>
          <c:order val="2"/>
          <c:tx>
            <c:strRef>
              <c:f>ss_Brockway_2014!$B$41</c:f>
              <c:strCache>
                <c:ptCount val="1"/>
                <c:pt idx="0">
                  <c:v>UK diesel car exergy efficiency, y = 50(1-e^-0.065x)</c:v>
                </c:pt>
              </c:strCache>
            </c:strRef>
          </c:tx>
          <c:spPr>
            <a:ln w="28575">
              <a:noFill/>
            </a:ln>
          </c:spPr>
          <c:marker>
            <c:spPr>
              <a:noFill/>
            </c:spPr>
          </c:marker>
          <c:xVal>
            <c:numRef>
              <c:f>ss_Brockway_2014!$C$40:$BA$40</c:f>
              <c:numCache>
                <c:formatCode>0.00</c:formatCode>
                <c:ptCount val="51"/>
                <c:pt idx="0">
                  <c:v>4.165</c:v>
                </c:pt>
                <c:pt idx="1">
                  <c:v>4.2066499999999998</c:v>
                </c:pt>
                <c:pt idx="2">
                  <c:v>4.2482999999999995</c:v>
                </c:pt>
                <c:pt idx="3">
                  <c:v>4.2899500000000002</c:v>
                </c:pt>
                <c:pt idx="4">
                  <c:v>4.3315999999999999</c:v>
                </c:pt>
                <c:pt idx="5">
                  <c:v>4.3732499999999996</c:v>
                </c:pt>
                <c:pt idx="6">
                  <c:v>4.4148999999999994</c:v>
                </c:pt>
                <c:pt idx="7">
                  <c:v>4.4565499999999991</c:v>
                </c:pt>
                <c:pt idx="8">
                  <c:v>4.4981999999999998</c:v>
                </c:pt>
                <c:pt idx="9">
                  <c:v>4.5398500000000004</c:v>
                </c:pt>
                <c:pt idx="10">
                  <c:v>4.5815000000000001</c:v>
                </c:pt>
                <c:pt idx="11">
                  <c:v>4.6231499999999999</c:v>
                </c:pt>
                <c:pt idx="12">
                  <c:v>4.6647999999999996</c:v>
                </c:pt>
                <c:pt idx="13">
                  <c:v>4.7064500000000002</c:v>
                </c:pt>
                <c:pt idx="14">
                  <c:v>4.7481</c:v>
                </c:pt>
                <c:pt idx="15">
                  <c:v>4.7897499999999997</c:v>
                </c:pt>
                <c:pt idx="16">
                  <c:v>4.8313999999999995</c:v>
                </c:pt>
                <c:pt idx="17">
                  <c:v>4.8730499999999992</c:v>
                </c:pt>
                <c:pt idx="18">
                  <c:v>4.9146999999999998</c:v>
                </c:pt>
                <c:pt idx="19">
                  <c:v>4.9563499999999996</c:v>
                </c:pt>
                <c:pt idx="20">
                  <c:v>4.9979999999999993</c:v>
                </c:pt>
                <c:pt idx="21">
                  <c:v>5.03965</c:v>
                </c:pt>
                <c:pt idx="22">
                  <c:v>5.0812999999999997</c:v>
                </c:pt>
                <c:pt idx="23">
                  <c:v>4.86627632559426</c:v>
                </c:pt>
                <c:pt idx="24">
                  <c:v>5.0944915031583378</c:v>
                </c:pt>
                <c:pt idx="25">
                  <c:v>5.0949241412059072</c:v>
                </c:pt>
                <c:pt idx="26">
                  <c:v>5.2026595308875958</c:v>
                </c:pt>
                <c:pt idx="27">
                  <c:v>5.5652583288452684</c:v>
                </c:pt>
                <c:pt idx="28">
                  <c:v>5.5633979154302917</c:v>
                </c:pt>
                <c:pt idx="29">
                  <c:v>6.1084831985657058</c:v>
                </c:pt>
                <c:pt idx="30">
                  <c:v>6.4594892137302651</c:v>
                </c:pt>
                <c:pt idx="31">
                  <c:v>6.3385599581834713</c:v>
                </c:pt>
                <c:pt idx="32">
                  <c:v>6.1106007484541376</c:v>
                </c:pt>
                <c:pt idx="33">
                  <c:v>6.6111829866750478</c:v>
                </c:pt>
                <c:pt idx="34">
                  <c:v>6.7956759206425117</c:v>
                </c:pt>
                <c:pt idx="35">
                  <c:v>6.8069182717779988</c:v>
                </c:pt>
                <c:pt idx="36">
                  <c:v>7.1266267937111891</c:v>
                </c:pt>
                <c:pt idx="37">
                  <c:v>7.1552018447101498</c:v>
                </c:pt>
                <c:pt idx="38">
                  <c:v>7.4653387573723373</c:v>
                </c:pt>
                <c:pt idx="39">
                  <c:v>7.2188742681426223</c:v>
                </c:pt>
                <c:pt idx="40">
                  <c:v>7.1899988171170595</c:v>
                </c:pt>
                <c:pt idx="41">
                  <c:v>7.0043425669071864</c:v>
                </c:pt>
                <c:pt idx="42">
                  <c:v>7.1138882077266556</c:v>
                </c:pt>
                <c:pt idx="43">
                  <c:v>7.036289611314813</c:v>
                </c:pt>
                <c:pt idx="44">
                  <c:v>6.5291402860209402</c:v>
                </c:pt>
                <c:pt idx="45">
                  <c:v>7.6942095167564943</c:v>
                </c:pt>
                <c:pt idx="46">
                  <c:v>7.6445506100078262</c:v>
                </c:pt>
                <c:pt idx="47">
                  <c:v>7.217589537143307</c:v>
                </c:pt>
                <c:pt idx="48">
                  <c:v>7.0542815052926331</c:v>
                </c:pt>
                <c:pt idx="49">
                  <c:v>6.8214863538346657</c:v>
                </c:pt>
                <c:pt idx="50">
                  <c:v>6.8029815959170881</c:v>
                </c:pt>
              </c:numCache>
            </c:numRef>
          </c:xVal>
          <c:yVal>
            <c:numRef>
              <c:f>ss_Brockway_2014!$C$41:$BA$41</c:f>
              <c:numCache>
                <c:formatCode>0.00%</c:formatCode>
                <c:ptCount val="51"/>
                <c:pt idx="0">
                  <c:v>0.12073181102268958</c:v>
                </c:pt>
                <c:pt idx="1">
                  <c:v>0.12175875773055531</c:v>
                </c:pt>
                <c:pt idx="2">
                  <c:v>0.12278250151880689</c:v>
                </c:pt>
                <c:pt idx="3">
                  <c:v>0.12380305237695398</c:v>
                </c:pt>
                <c:pt idx="4">
                  <c:v>0.12482042026335013</c:v>
                </c:pt>
                <c:pt idx="5">
                  <c:v>0.12583461510529012</c:v>
                </c:pt>
                <c:pt idx="6">
                  <c:v>0.1268456467991067</c:v>
                </c:pt>
                <c:pt idx="7">
                  <c:v>0.12785352521026719</c:v>
                </c:pt>
                <c:pt idx="8">
                  <c:v>0.12885826017346971</c:v>
                </c:pt>
                <c:pt idx="9">
                  <c:v>0.12985986149273918</c:v>
                </c:pt>
                <c:pt idx="10">
                  <c:v>0.13085833894152291</c:v>
                </c:pt>
                <c:pt idx="11">
                  <c:v>0.13185370226278623</c:v>
                </c:pt>
                <c:pt idx="12">
                  <c:v>0.13284596116910716</c:v>
                </c:pt>
                <c:pt idx="13">
                  <c:v>0.13383512534277153</c:v>
                </c:pt>
                <c:pt idx="14">
                  <c:v>0.13482120443586729</c:v>
                </c:pt>
                <c:pt idx="15">
                  <c:v>0.13580420807037866</c:v>
                </c:pt>
                <c:pt idx="16">
                  <c:v>0.13678414583828016</c:v>
                </c:pt>
                <c:pt idx="17">
                  <c:v>0.13776102730163006</c:v>
                </c:pt>
                <c:pt idx="18">
                  <c:v>0.13873486199266391</c:v>
                </c:pt>
                <c:pt idx="19">
                  <c:v>0.13970565941388713</c:v>
                </c:pt>
                <c:pt idx="20">
                  <c:v>0.14067342903816815</c:v>
                </c:pt>
                <c:pt idx="21">
                  <c:v>0.1416381803088308</c:v>
                </c:pt>
                <c:pt idx="22">
                  <c:v>0.14259992263974625</c:v>
                </c:pt>
                <c:pt idx="23">
                  <c:v>0.13760236161659115</c:v>
                </c:pt>
                <c:pt idx="24">
                  <c:v>0.14290390242366796</c:v>
                </c:pt>
                <c:pt idx="25">
                  <c:v>0.14291386687121002</c:v>
                </c:pt>
                <c:pt idx="26">
                  <c:v>0.14538517247666036</c:v>
                </c:pt>
                <c:pt idx="27">
                  <c:v>0.15355751848509336</c:v>
                </c:pt>
                <c:pt idx="28">
                  <c:v>0.15351615268155092</c:v>
                </c:pt>
                <c:pt idx="29">
                  <c:v>0.16539241325515328</c:v>
                </c:pt>
                <c:pt idx="30">
                  <c:v>0.17278707540979707</c:v>
                </c:pt>
                <c:pt idx="31">
                  <c:v>0.17026140273888063</c:v>
                </c:pt>
                <c:pt idx="32">
                  <c:v>0.16543760997333873</c:v>
                </c:pt>
                <c:pt idx="33">
                  <c:v>0.17592306304945687</c:v>
                </c:pt>
                <c:pt idx="34">
                  <c:v>0.1796893403920688</c:v>
                </c:pt>
                <c:pt idx="35">
                  <c:v>0.17991716388220688</c:v>
                </c:pt>
                <c:pt idx="36">
                  <c:v>0.18631622235748591</c:v>
                </c:pt>
                <c:pt idx="37">
                  <c:v>0.18688072554442642</c:v>
                </c:pt>
                <c:pt idx="38">
                  <c:v>0.1929303201516159</c:v>
                </c:pt>
                <c:pt idx="39">
                  <c:v>0.18813423826924844</c:v>
                </c:pt>
                <c:pt idx="40">
                  <c:v>0.18756651184190457</c:v>
                </c:pt>
                <c:pt idx="41">
                  <c:v>0.18388677123808694</c:v>
                </c:pt>
                <c:pt idx="42">
                  <c:v>0.18606418009126252</c:v>
                </c:pt>
                <c:pt idx="43">
                  <c:v>0.18452362281145657</c:v>
                </c:pt>
                <c:pt idx="44">
                  <c:v>0.17423141294693409</c:v>
                </c:pt>
                <c:pt idx="45">
                  <c:v>0.19730534338267952</c:v>
                </c:pt>
                <c:pt idx="46">
                  <c:v>0.19636244807531658</c:v>
                </c:pt>
                <c:pt idx="47">
                  <c:v>0.18810900502396385</c:v>
                </c:pt>
                <c:pt idx="48">
                  <c:v>0.18488161293502209</c:v>
                </c:pt>
                <c:pt idx="49">
                  <c:v>0.18021209689895126</c:v>
                </c:pt>
                <c:pt idx="50">
                  <c:v>0.17983740996548245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71-4714-929C-ECBADFD8F5F4}"/>
            </c:ext>
          </c:extLst>
        </c:ser>
        <c:ser>
          <c:idx val="2"/>
          <c:order val="3"/>
          <c:tx>
            <c:strRef>
              <c:f>ss_Brockway_2014!$C$63</c:f>
              <c:strCache>
                <c:ptCount val="1"/>
                <c:pt idx="0">
                  <c:v>diesel car exergy efficiency, y = 50(1-e^-0.075x)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ss_Brockway_2014!$E$62:$AD$62</c:f>
              <c:numCache>
                <c:formatCode>General</c:formatCode>
                <c:ptCount val="2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</c:numCache>
            </c:numRef>
          </c:xVal>
          <c:yVal>
            <c:numRef>
              <c:f>ss_Brockway_2014!$E$63:$AD$63</c:f>
              <c:numCache>
                <c:formatCode>0.00%</c:formatCode>
                <c:ptCount val="26"/>
                <c:pt idx="0" formatCode="General">
                  <c:v>0</c:v>
                </c:pt>
                <c:pt idx="1">
                  <c:v>6.0952284539719341E-2</c:v>
                </c:pt>
                <c:pt idx="2">
                  <c:v>0.11447420709821687</c:v>
                </c:pt>
                <c:pt idx="3">
                  <c:v>0.16147156275091767</c:v>
                </c:pt>
                <c:pt idx="4">
                  <c:v>0.20273972601490281</c:v>
                </c:pt>
                <c:pt idx="5">
                  <c:v>0.23897711161949198</c:v>
                </c:pt>
                <c:pt idx="6">
                  <c:v>0.27079699434738824</c:v>
                </c:pt>
                <c:pt idx="7">
                  <c:v>0.29873788798318202</c:v>
                </c:pt>
                <c:pt idx="8">
                  <c:v>0.32327265902060992</c:v>
                </c:pt>
                <c:pt idx="9">
                  <c:v>0.34481652936725754</c:v>
                </c:pt>
                <c:pt idx="10">
                  <c:v>0.36373410348299373</c:v>
                </c:pt>
                <c:pt idx="11">
                  <c:v>0.38034553887812272</c:v>
                </c:pt>
                <c:pt idx="12">
                  <c:v>0.39493196439961764</c:v>
                </c:pt>
                <c:pt idx="13">
                  <c:v>0.40774023800350534</c:v>
                </c:pt>
                <c:pt idx="14">
                  <c:v>0.41898712453305964</c:v>
                </c:pt>
                <c:pt idx="15">
                  <c:v>0.42886296420674325</c:v>
                </c:pt>
                <c:pt idx="16">
                  <c:v>0.43753489390070877</c:v>
                </c:pt>
                <c:pt idx="17">
                  <c:v>0.44514967574224429</c:v>
                </c:pt>
                <c:pt idx="18">
                  <c:v>0.45183618088475347</c:v>
                </c:pt>
                <c:pt idx="19">
                  <c:v>0.45770757049921768</c:v>
                </c:pt>
                <c:pt idx="20">
                  <c:v>0.46286321089283305</c:v>
                </c:pt>
                <c:pt idx="21">
                  <c:v>0.46739035516593624</c:v>
                </c:pt>
                <c:pt idx="22">
                  <c:v>0.47136561986726633</c:v>
                </c:pt>
                <c:pt idx="23">
                  <c:v>0.47485628163820409</c:v>
                </c:pt>
                <c:pt idx="24">
                  <c:v>0.47792141579015357</c:v>
                </c:pt>
                <c:pt idx="25">
                  <c:v>0.48061289608413899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71-4714-929C-ECBADFD8F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38016"/>
        <c:axId val="298522112"/>
      </c:scatterChart>
      <c:valAx>
        <c:axId val="298438016"/>
        <c:scaling>
          <c:orientation val="minMax"/>
          <c:max val="2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mpg (car miles, US Gallons)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522112"/>
        <c:crosses val="autoZero"/>
        <c:crossBetween val="midCat"/>
        <c:majorUnit val="5"/>
        <c:minorUnit val="5"/>
      </c:valAx>
      <c:valAx>
        <c:axId val="298522112"/>
        <c:scaling>
          <c:orientation val="minMax"/>
          <c:max val="0.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exergy efficiency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298438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tmp"/><Relationship Id="rId1" Type="http://schemas.openxmlformats.org/officeDocument/2006/relationships/image" Target="../media/image4.tm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cid:image006.png@01D77FE5.D9576260" TargetMode="External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mp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tmp"/><Relationship Id="rId4" Type="http://schemas.openxmlformats.org/officeDocument/2006/relationships/image" Target="../media/image10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tmp"/><Relationship Id="rId1" Type="http://schemas.openxmlformats.org/officeDocument/2006/relationships/image" Target="../media/image13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image" Target="../media/image22.tmp"/><Relationship Id="rId3" Type="http://schemas.openxmlformats.org/officeDocument/2006/relationships/hyperlink" Target="http://www.rita.dot.gov/bts/" TargetMode="External"/><Relationship Id="rId7" Type="http://schemas.openxmlformats.org/officeDocument/2006/relationships/chart" Target="../charts/chart3.xml"/><Relationship Id="rId12" Type="http://schemas.openxmlformats.org/officeDocument/2006/relationships/image" Target="../media/image21.tmp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8.gif"/><Relationship Id="rId11" Type="http://schemas.openxmlformats.org/officeDocument/2006/relationships/image" Target="../media/image20.tmp"/><Relationship Id="rId5" Type="http://schemas.openxmlformats.org/officeDocument/2006/relationships/hyperlink" Target="http://www.dot.gov/" TargetMode="External"/><Relationship Id="rId10" Type="http://schemas.openxmlformats.org/officeDocument/2006/relationships/image" Target="../media/image19.tmp"/><Relationship Id="rId4" Type="http://schemas.openxmlformats.org/officeDocument/2006/relationships/image" Target="../media/image17.png"/><Relationship Id="rId9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hyperlink" Target="http://www.rita.dot.gov/bts/" TargetMode="External"/><Relationship Id="rId7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8.gif"/><Relationship Id="rId5" Type="http://schemas.openxmlformats.org/officeDocument/2006/relationships/hyperlink" Target="http://www.dot.gov/" TargetMode="External"/><Relationship Id="rId4" Type="http://schemas.openxmlformats.org/officeDocument/2006/relationships/image" Target="../media/image17.png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10</xdr:col>
      <xdr:colOff>104775</xdr:colOff>
      <xdr:row>27</xdr:row>
      <xdr:rowOff>85725</xdr:rowOff>
    </xdr:to>
    <xdr:pic>
      <xdr:nvPicPr>
        <xdr:cNvPr id="2" name="Picture 1" descr="image00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9625"/>
          <a:ext cx="6200775" cy="3648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8</xdr:col>
      <xdr:colOff>600075</xdr:colOff>
      <xdr:row>41</xdr:row>
      <xdr:rowOff>9525</xdr:rowOff>
    </xdr:to>
    <xdr:pic>
      <xdr:nvPicPr>
        <xdr:cNvPr id="3" name="Picture 3" descr="image00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5825"/>
          <a:ext cx="5476875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10</xdr:col>
      <xdr:colOff>428625</xdr:colOff>
      <xdr:row>67</xdr:row>
      <xdr:rowOff>19050</xdr:rowOff>
    </xdr:to>
    <xdr:pic>
      <xdr:nvPicPr>
        <xdr:cNvPr id="4" name="Picture 2" descr="image00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4700"/>
          <a:ext cx="6524625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266701</xdr:colOff>
      <xdr:row>14</xdr:row>
      <xdr:rowOff>47626</xdr:rowOff>
    </xdr:from>
    <xdr:to>
      <xdr:col>10</xdr:col>
      <xdr:colOff>590551</xdr:colOff>
      <xdr:row>29</xdr:row>
      <xdr:rowOff>158123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2314576"/>
          <a:ext cx="6419850" cy="2539372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32</xdr:row>
      <xdr:rowOff>19050</xdr:rowOff>
    </xdr:from>
    <xdr:to>
      <xdr:col>6</xdr:col>
      <xdr:colOff>419644</xdr:colOff>
      <xdr:row>56</xdr:row>
      <xdr:rowOff>114856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200650"/>
          <a:ext cx="3896269" cy="39820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3</xdr:row>
      <xdr:rowOff>22860</xdr:rowOff>
    </xdr:from>
    <xdr:to>
      <xdr:col>10</xdr:col>
      <xdr:colOff>497205</xdr:colOff>
      <xdr:row>12</xdr:row>
      <xdr:rowOff>49530</xdr:rowOff>
    </xdr:to>
    <xdr:pic>
      <xdr:nvPicPr>
        <xdr:cNvPr id="2" name="Picture 1" descr="cid:image006.png@01D77FE5.D957626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9380" y="556260"/>
          <a:ext cx="3933825" cy="1565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34</xdr:row>
      <xdr:rowOff>104775</xdr:rowOff>
    </xdr:from>
    <xdr:to>
      <xdr:col>8</xdr:col>
      <xdr:colOff>152400</xdr:colOff>
      <xdr:row>64</xdr:row>
      <xdr:rowOff>133350</xdr:rowOff>
    </xdr:to>
    <xdr:pic>
      <xdr:nvPicPr>
        <xdr:cNvPr id="2" name="Picture 4" descr="image005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5610225"/>
          <a:ext cx="4200525" cy="488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11</xdr:col>
      <xdr:colOff>28575</xdr:colOff>
      <xdr:row>31</xdr:row>
      <xdr:rowOff>114300</xdr:rowOff>
    </xdr:to>
    <xdr:pic>
      <xdr:nvPicPr>
        <xdr:cNvPr id="3" name="Picture 2" descr="image004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1550"/>
          <a:ext cx="6124575" cy="416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68</xdr:row>
      <xdr:rowOff>114300</xdr:rowOff>
    </xdr:from>
    <xdr:to>
      <xdr:col>7</xdr:col>
      <xdr:colOff>572029</xdr:colOff>
      <xdr:row>84</xdr:row>
      <xdr:rowOff>143241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1125200"/>
          <a:ext cx="3791479" cy="26197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7</xdr:col>
      <xdr:colOff>467216</xdr:colOff>
      <xdr:row>92</xdr:row>
      <xdr:rowOff>9639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4087475"/>
          <a:ext cx="3515216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92</xdr:row>
      <xdr:rowOff>66675</xdr:rowOff>
    </xdr:from>
    <xdr:to>
      <xdr:col>8</xdr:col>
      <xdr:colOff>143424</xdr:colOff>
      <xdr:row>104</xdr:row>
      <xdr:rowOff>19315</xdr:rowOff>
    </xdr:to>
    <xdr:pic>
      <xdr:nvPicPr>
        <xdr:cNvPr id="6" name="Picture 5" descr="Screen Clippi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14963775"/>
          <a:ext cx="3934374" cy="18957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142875</xdr:colOff>
      <xdr:row>3</xdr:row>
      <xdr:rowOff>154781</xdr:rowOff>
    </xdr:from>
    <xdr:to>
      <xdr:col>32</xdr:col>
      <xdr:colOff>95427</xdr:colOff>
      <xdr:row>24</xdr:row>
      <xdr:rowOff>25784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1781" y="1321594"/>
          <a:ext cx="17561896" cy="33714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5</xdr:row>
      <xdr:rowOff>88702</xdr:rowOff>
    </xdr:from>
    <xdr:to>
      <xdr:col>12</xdr:col>
      <xdr:colOff>563612</xdr:colOff>
      <xdr:row>36</xdr:row>
      <xdr:rowOff>67743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" y="898327"/>
          <a:ext cx="7669263" cy="49987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</xdr:row>
      <xdr:rowOff>0</xdr:rowOff>
    </xdr:from>
    <xdr:to>
      <xdr:col>13</xdr:col>
      <xdr:colOff>1</xdr:colOff>
      <xdr:row>50</xdr:row>
      <xdr:rowOff>21786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315075"/>
          <a:ext cx="7924800" cy="18029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500062</xdr:colOff>
      <xdr:row>3</xdr:row>
      <xdr:rowOff>11906</xdr:rowOff>
    </xdr:from>
    <xdr:to>
      <xdr:col>28</xdr:col>
      <xdr:colOff>462976</xdr:colOff>
      <xdr:row>48</xdr:row>
      <xdr:rowOff>49090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0" y="511969"/>
          <a:ext cx="10892852" cy="75381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607217</xdr:colOff>
      <xdr:row>3</xdr:row>
      <xdr:rowOff>142875</xdr:rowOff>
    </xdr:from>
    <xdr:to>
      <xdr:col>27</xdr:col>
      <xdr:colOff>501371</xdr:colOff>
      <xdr:row>51</xdr:row>
      <xdr:rowOff>16774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1030" y="642938"/>
          <a:ext cx="7787997" cy="78748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41</xdr:row>
      <xdr:rowOff>61912</xdr:rowOff>
    </xdr:from>
    <xdr:to>
      <xdr:col>2</xdr:col>
      <xdr:colOff>609600</xdr:colOff>
      <xdr:row>57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180974</xdr:colOff>
      <xdr:row>40</xdr:row>
      <xdr:rowOff>104775</xdr:rowOff>
    </xdr:from>
    <xdr:to>
      <xdr:col>68</xdr:col>
      <xdr:colOff>390524</xdr:colOff>
      <xdr:row>62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2486025</xdr:colOff>
      <xdr:row>21</xdr:row>
      <xdr:rowOff>57150</xdr:rowOff>
    </xdr:to>
    <xdr:pic>
      <xdr:nvPicPr>
        <xdr:cNvPr id="4" name="Picture 3" descr="Bureau of Transportation Statistics">
          <a:hlinkClick xmlns:r="http://schemas.openxmlformats.org/officeDocument/2006/relationships" r:id="rId3" tooltip="Bureau of Transportation Statistics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4675"/>
          <a:ext cx="492442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381000</xdr:colOff>
      <xdr:row>17</xdr:row>
      <xdr:rowOff>57150</xdr:rowOff>
    </xdr:to>
    <xdr:pic>
      <xdr:nvPicPr>
        <xdr:cNvPr id="5" name="dotLogo" descr="U.S. Department of Transportation (US DOT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"/>
          <a:ext cx="281940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41</xdr:row>
      <xdr:rowOff>0</xdr:rowOff>
    </xdr:from>
    <xdr:to>
      <xdr:col>29</xdr:col>
      <xdr:colOff>304800</xdr:colOff>
      <xdr:row>56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566737</xdr:colOff>
      <xdr:row>41</xdr:row>
      <xdr:rowOff>38100</xdr:rowOff>
    </xdr:from>
    <xdr:to>
      <xdr:col>14</xdr:col>
      <xdr:colOff>428625</xdr:colOff>
      <xdr:row>58</xdr:row>
      <xdr:rowOff>9524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333375</xdr:colOff>
      <xdr:row>39</xdr:row>
      <xdr:rowOff>28575</xdr:rowOff>
    </xdr:from>
    <xdr:to>
      <xdr:col>40</xdr:col>
      <xdr:colOff>85725</xdr:colOff>
      <xdr:row>57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7</xdr:col>
      <xdr:colOff>581025</xdr:colOff>
      <xdr:row>1</xdr:row>
      <xdr:rowOff>180975</xdr:rowOff>
    </xdr:from>
    <xdr:to>
      <xdr:col>17</xdr:col>
      <xdr:colOff>162727</xdr:colOff>
      <xdr:row>9</xdr:row>
      <xdr:rowOff>162111</xdr:rowOff>
    </xdr:to>
    <xdr:pic>
      <xdr:nvPicPr>
        <xdr:cNvPr id="9" name="Picture 8" descr="Screen Clipping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0725" y="371475"/>
          <a:ext cx="5744377" cy="133368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11</xdr:row>
      <xdr:rowOff>8209</xdr:rowOff>
    </xdr:from>
    <xdr:to>
      <xdr:col>16</xdr:col>
      <xdr:colOff>572270</xdr:colOff>
      <xdr:row>27</xdr:row>
      <xdr:rowOff>9965</xdr:rowOff>
    </xdr:to>
    <xdr:pic>
      <xdr:nvPicPr>
        <xdr:cNvPr id="10" name="Picture 9" descr="Screen Clipping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1875109"/>
          <a:ext cx="5334770" cy="3049756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12</xdr:row>
      <xdr:rowOff>142875</xdr:rowOff>
    </xdr:from>
    <xdr:to>
      <xdr:col>28</xdr:col>
      <xdr:colOff>54331</xdr:colOff>
      <xdr:row>29</xdr:row>
      <xdr:rowOff>55492</xdr:rowOff>
    </xdr:to>
    <xdr:pic>
      <xdr:nvPicPr>
        <xdr:cNvPr id="11" name="Picture 10" descr="Screen Clipping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6225" y="2257425"/>
          <a:ext cx="6845656" cy="3151117"/>
        </a:xfrm>
        <a:prstGeom prst="rect">
          <a:avLst/>
        </a:prstGeom>
      </xdr:spPr>
    </xdr:pic>
    <xdr:clientData/>
  </xdr:twoCellAnchor>
  <xdr:twoCellAnchor editAs="oneCell">
    <xdr:from>
      <xdr:col>30</xdr:col>
      <xdr:colOff>581025</xdr:colOff>
      <xdr:row>11</xdr:row>
      <xdr:rowOff>9525</xdr:rowOff>
    </xdr:from>
    <xdr:to>
      <xdr:col>38</xdr:col>
      <xdr:colOff>424393</xdr:colOff>
      <xdr:row>29</xdr:row>
      <xdr:rowOff>85073</xdr:rowOff>
    </xdr:to>
    <xdr:pic>
      <xdr:nvPicPr>
        <xdr:cNvPr id="12" name="Picture 11" descr="Screen Clipping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07775" y="1933575"/>
          <a:ext cx="4720168" cy="35045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43</xdr:row>
      <xdr:rowOff>61912</xdr:rowOff>
    </xdr:from>
    <xdr:to>
      <xdr:col>2</xdr:col>
      <xdr:colOff>609600</xdr:colOff>
      <xdr:row>59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400049</xdr:colOff>
      <xdr:row>44</xdr:row>
      <xdr:rowOff>19050</xdr:rowOff>
    </xdr:from>
    <xdr:to>
      <xdr:col>50</xdr:col>
      <xdr:colOff>466724</xdr:colOff>
      <xdr:row>64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2486025</xdr:colOff>
      <xdr:row>21</xdr:row>
      <xdr:rowOff>57150</xdr:rowOff>
    </xdr:to>
    <xdr:pic>
      <xdr:nvPicPr>
        <xdr:cNvPr id="9" name="Picture 8" descr="Bureau of Transportation Statistics">
          <a:hlinkClick xmlns:r="http://schemas.openxmlformats.org/officeDocument/2006/relationships" r:id="rId3" tooltip="Bureau of Transportation Statistics"/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91050"/>
          <a:ext cx="4343400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381000</xdr:colOff>
      <xdr:row>17</xdr:row>
      <xdr:rowOff>57150</xdr:rowOff>
    </xdr:to>
    <xdr:pic>
      <xdr:nvPicPr>
        <xdr:cNvPr id="10" name="dotLogo" descr="U.S. Department of Transportation (US DOT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0050"/>
          <a:ext cx="38290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43</xdr:row>
      <xdr:rowOff>0</xdr:rowOff>
    </xdr:from>
    <xdr:to>
      <xdr:col>29</xdr:col>
      <xdr:colOff>304800</xdr:colOff>
      <xdr:row>58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566737</xdr:colOff>
      <xdr:row>43</xdr:row>
      <xdr:rowOff>38100</xdr:rowOff>
    </xdr:from>
    <xdr:to>
      <xdr:col>14</xdr:col>
      <xdr:colOff>428625</xdr:colOff>
      <xdr:row>60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19050</xdr:colOff>
      <xdr:row>41</xdr:row>
      <xdr:rowOff>28575</xdr:rowOff>
    </xdr:from>
    <xdr:to>
      <xdr:col>40</xdr:col>
      <xdr:colOff>85725</xdr:colOff>
      <xdr:row>61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rago.internal.dtlr.gov.uk\data\2005Publications\RoRo%20Q2_2005\Bulletin205draf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rago.internal.dtlr.gov.uk\data\Publications%20&amp;%20DataProvision\SR2\Annual%20Bulletin%20working%20version\work\Sect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rago.internal.dtlr.gov.uk\data\TSGB1998\SECTION1\1-13-9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rago.internal.dtlr.gov.uk\data\IRHS\EXCEL\RORO\bulletins\2003\SA%20Changes\SA%20Changes%20to%20bulletin%20-%20draf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rySA"/>
      <sheetName val="TABLE1a"/>
      <sheetName val="TABLE1b"/>
      <sheetName val="TABLE2"/>
      <sheetName val="TABLE2cont.."/>
      <sheetName val="TABLE3"/>
      <sheetName val="TABLE3a"/>
      <sheetName val="TABLE3b"/>
      <sheetName val="TABLE4AL"/>
      <sheetName val="TABLE4a"/>
      <sheetName val="TABLE4b"/>
      <sheetName val="TABLE5"/>
      <sheetName val="Routes"/>
      <sheetName val="FiguresSA -do not print"/>
      <sheetName val="TABLE2cont__22"/>
      <sheetName val="FiguresSA_-do_not_print22"/>
      <sheetName val="TABLE2cont__8"/>
      <sheetName val="FiguresSA_-do_not_print8"/>
      <sheetName val="TABLE2cont__2"/>
      <sheetName val="FiguresSA_-do_not_print2"/>
      <sheetName val="TABLE2cont__"/>
      <sheetName val="FiguresSA_-do_not_print"/>
      <sheetName val="TABLE2cont__1"/>
      <sheetName val="FiguresSA_-do_not_print1"/>
      <sheetName val="TABLE2cont__4"/>
      <sheetName val="FiguresSA_-do_not_print4"/>
      <sheetName val="TABLE2cont__3"/>
      <sheetName val="FiguresSA_-do_not_print3"/>
      <sheetName val="TABLE2cont__5"/>
      <sheetName val="FiguresSA_-do_not_print5"/>
      <sheetName val="TABLE2cont__6"/>
      <sheetName val="FiguresSA_-do_not_print6"/>
      <sheetName val="TABLE2cont__7"/>
      <sheetName val="FiguresSA_-do_not_print7"/>
      <sheetName val="TABLE2cont__10"/>
      <sheetName val="FiguresSA_-do_not_print10"/>
      <sheetName val="TABLE2cont__9"/>
      <sheetName val="FiguresSA_-do_not_print9"/>
      <sheetName val="TABLE2cont__12"/>
      <sheetName val="FiguresSA_-do_not_print12"/>
      <sheetName val="TABLE2cont__11"/>
      <sheetName val="FiguresSA_-do_not_print11"/>
      <sheetName val="TABLE2cont__13"/>
      <sheetName val="FiguresSA_-do_not_print13"/>
      <sheetName val="TABLE2cont__14"/>
      <sheetName val="FiguresSA_-do_not_print14"/>
      <sheetName val="TABLE2cont__15"/>
      <sheetName val="FiguresSA_-do_not_print15"/>
      <sheetName val="Year"/>
      <sheetName val="c11"/>
      <sheetName val="TIS-INDEX"/>
      <sheetName val="TABLE2cont__16"/>
      <sheetName val="FiguresSA_-do_not_print16"/>
      <sheetName val="TABLE2cont__17"/>
      <sheetName val="FiguresSA_-do_not_print17"/>
      <sheetName val="TABLE2cont__18"/>
      <sheetName val="FiguresSA_-do_not_print18"/>
      <sheetName val="TABLE2cont__19"/>
      <sheetName val="FiguresSA_-do_not_print19"/>
      <sheetName val="TABLE2cont__21"/>
      <sheetName val="FiguresSA_-do_not_print21"/>
      <sheetName val="TABLE2cont__20"/>
      <sheetName val="FiguresSA_-do_not_print20"/>
      <sheetName val="TABLE2cont__23"/>
      <sheetName val="FiguresSA_-do_not_print23"/>
    </sheetNames>
    <sheetDataSet>
      <sheetData sheetId="0" refreshError="1"/>
      <sheetData sheetId="1">
        <row r="1">
          <cell r="A1" t="str">
            <v>Table 1a   Road goods vehicles travelling to mainland Europe</v>
          </cell>
        </row>
        <row r="2">
          <cell r="A2" t="str">
            <v xml:space="preserve"> </v>
          </cell>
        </row>
        <row r="3">
          <cell r="O3" t="str">
            <v>Thousands</v>
          </cell>
        </row>
        <row r="4">
          <cell r="E4" t="str">
            <v xml:space="preserve">          Powered vehicles by country of registration </v>
          </cell>
          <cell r="M4" t="str">
            <v xml:space="preserve"> </v>
          </cell>
          <cell r="O4" t="str">
            <v xml:space="preserve"> </v>
          </cell>
        </row>
        <row r="5">
          <cell r="M5" t="str">
            <v>Unaccompanied</v>
          </cell>
          <cell r="O5" t="str">
            <v>All</v>
          </cell>
        </row>
        <row r="6">
          <cell r="A6" t="str">
            <v>Year</v>
          </cell>
          <cell r="E6" t="str">
            <v xml:space="preserve">      UK</v>
          </cell>
          <cell r="G6" t="str">
            <v>Foreign</v>
          </cell>
          <cell r="I6" t="str">
            <v>Unknown</v>
          </cell>
          <cell r="K6" t="str">
            <v xml:space="preserve">   Total</v>
          </cell>
          <cell r="M6" t="str">
            <v>trailers</v>
          </cell>
          <cell r="O6" t="str">
            <v>vehicles</v>
          </cell>
        </row>
        <row r="8">
          <cell r="A8" t="str">
            <v>1990</v>
          </cell>
          <cell r="E8">
            <v>338.98700000000002</v>
          </cell>
          <cell r="G8">
            <v>382.94099999999997</v>
          </cell>
          <cell r="I8">
            <v>1.7490000000000001</v>
          </cell>
          <cell r="K8">
            <v>723.67700000000002</v>
          </cell>
          <cell r="M8">
            <v>583.88400000000001</v>
          </cell>
          <cell r="O8">
            <v>1307.5609999999999</v>
          </cell>
        </row>
        <row r="9">
          <cell r="A9" t="str">
            <v>1991</v>
          </cell>
          <cell r="E9">
            <v>360.2</v>
          </cell>
          <cell r="G9">
            <v>362.9</v>
          </cell>
          <cell r="I9">
            <v>2.4</v>
          </cell>
          <cell r="K9">
            <v>725.5</v>
          </cell>
          <cell r="M9">
            <v>601.20000000000005</v>
          </cell>
          <cell r="O9">
            <v>1326.7</v>
          </cell>
        </row>
        <row r="10">
          <cell r="A10" t="str">
            <v>1992</v>
          </cell>
          <cell r="E10">
            <v>373.7</v>
          </cell>
          <cell r="G10">
            <v>394.1</v>
          </cell>
          <cell r="I10">
            <v>2.1</v>
          </cell>
          <cell r="K10">
            <v>769.8</v>
          </cell>
          <cell r="M10">
            <v>629.29999999999995</v>
          </cell>
          <cell r="O10">
            <v>1399.1</v>
          </cell>
        </row>
        <row r="11">
          <cell r="A11" t="str">
            <v>1993</v>
          </cell>
          <cell r="E11">
            <v>398</v>
          </cell>
          <cell r="G11">
            <v>392.4</v>
          </cell>
          <cell r="I11">
            <v>5.8</v>
          </cell>
          <cell r="J11" t="str">
            <v/>
          </cell>
          <cell r="K11">
            <v>796.2</v>
          </cell>
          <cell r="L11" t="str">
            <v/>
          </cell>
          <cell r="M11">
            <v>539.4</v>
          </cell>
          <cell r="N11" t="str">
            <v/>
          </cell>
          <cell r="O11">
            <v>1335.6</v>
          </cell>
        </row>
        <row r="12">
          <cell r="A12" t="str">
            <v>1994</v>
          </cell>
          <cell r="E12">
            <v>453.1</v>
          </cell>
          <cell r="G12">
            <v>439.3</v>
          </cell>
          <cell r="I12">
            <v>4</v>
          </cell>
          <cell r="J12" t="str">
            <v/>
          </cell>
          <cell r="K12">
            <v>896.5</v>
          </cell>
          <cell r="L12" t="str">
            <v/>
          </cell>
          <cell r="M12">
            <v>701.6</v>
          </cell>
          <cell r="N12" t="str">
            <v/>
          </cell>
          <cell r="O12">
            <v>1598.1</v>
          </cell>
        </row>
        <row r="13">
          <cell r="A13" t="str">
            <v>1995</v>
          </cell>
          <cell r="E13">
            <v>486</v>
          </cell>
          <cell r="F13" t="str">
            <v xml:space="preserve"> </v>
          </cell>
          <cell r="G13">
            <v>461.2</v>
          </cell>
          <cell r="H13" t="str">
            <v xml:space="preserve"> </v>
          </cell>
          <cell r="I13">
            <v>3</v>
          </cell>
          <cell r="J13" t="str">
            <v xml:space="preserve"> </v>
          </cell>
          <cell r="K13">
            <v>950.2</v>
          </cell>
          <cell r="L13" t="str">
            <v xml:space="preserve"> </v>
          </cell>
          <cell r="M13">
            <v>677.4</v>
          </cell>
          <cell r="N13" t="str">
            <v xml:space="preserve"> </v>
          </cell>
          <cell r="O13">
            <v>1627.6</v>
          </cell>
        </row>
        <row r="14">
          <cell r="A14">
            <v>1996</v>
          </cell>
          <cell r="E14">
            <v>531.08299999999997</v>
          </cell>
          <cell r="G14">
            <v>484.42899999999997</v>
          </cell>
          <cell r="I14">
            <v>2.2130000000000001</v>
          </cell>
          <cell r="J14" t="str">
            <v xml:space="preserve"> </v>
          </cell>
          <cell r="K14">
            <v>1017.725</v>
          </cell>
          <cell r="M14">
            <v>626.40899999999999</v>
          </cell>
          <cell r="N14" t="str">
            <v xml:space="preserve"> </v>
          </cell>
          <cell r="O14">
            <v>1644.134</v>
          </cell>
        </row>
        <row r="15">
          <cell r="A15" t="str">
            <v xml:space="preserve">1997 </v>
          </cell>
          <cell r="E15">
            <v>543.20000000000005</v>
          </cell>
          <cell r="G15">
            <v>597.6</v>
          </cell>
          <cell r="I15">
            <v>5.7</v>
          </cell>
          <cell r="K15">
            <v>1146.4000000000001</v>
          </cell>
          <cell r="M15">
            <v>740</v>
          </cell>
          <cell r="O15">
            <v>1886.4</v>
          </cell>
        </row>
        <row r="16">
          <cell r="A16" t="str">
            <v xml:space="preserve">1998 </v>
          </cell>
          <cell r="E16">
            <v>544.29999999999995</v>
          </cell>
          <cell r="G16">
            <v>725.7</v>
          </cell>
          <cell r="I16">
            <v>4.5</v>
          </cell>
          <cell r="K16">
            <v>1274.5</v>
          </cell>
          <cell r="M16">
            <v>737.5</v>
          </cell>
          <cell r="O16">
            <v>2012.3</v>
          </cell>
        </row>
        <row r="17">
          <cell r="A17" t="str">
            <v>1999</v>
          </cell>
          <cell r="E17">
            <v>562.70000000000005</v>
          </cell>
          <cell r="G17">
            <v>884.6</v>
          </cell>
          <cell r="I17">
            <v>6.3</v>
          </cell>
          <cell r="K17">
            <v>1453.7</v>
          </cell>
          <cell r="M17">
            <v>737.8</v>
          </cell>
          <cell r="O17">
            <v>2191.4</v>
          </cell>
        </row>
        <row r="18">
          <cell r="A18" t="str">
            <v xml:space="preserve">2000  </v>
          </cell>
          <cell r="E18">
            <v>544.79999999999995</v>
          </cell>
          <cell r="G18">
            <v>1042.9000000000001</v>
          </cell>
          <cell r="I18">
            <v>17.7</v>
          </cell>
          <cell r="K18">
            <v>1605.4</v>
          </cell>
          <cell r="M18">
            <v>712.9</v>
          </cell>
          <cell r="O18">
            <v>2318.3000000000002</v>
          </cell>
        </row>
        <row r="19">
          <cell r="A19" t="str">
            <v>2001</v>
          </cell>
          <cell r="E19">
            <v>517.57000000000005</v>
          </cell>
          <cell r="G19">
            <v>1173.873</v>
          </cell>
          <cell r="I19">
            <v>20.495999999999999</v>
          </cell>
          <cell r="K19">
            <v>1711.9390000000001</v>
          </cell>
          <cell r="M19">
            <v>686.37400000000002</v>
          </cell>
          <cell r="O19">
            <v>2398.3130000000001</v>
          </cell>
        </row>
        <row r="20">
          <cell r="A20" t="str">
            <v>2002</v>
          </cell>
          <cell r="E20">
            <v>493.33800000000002</v>
          </cell>
          <cell r="G20">
            <v>1290.115</v>
          </cell>
          <cell r="I20">
            <v>18.069000000000003</v>
          </cell>
          <cell r="K20">
            <v>1801.5219999999999</v>
          </cell>
          <cell r="M20">
            <v>725.976</v>
          </cell>
          <cell r="O20">
            <v>2527.498</v>
          </cell>
        </row>
        <row r="21">
          <cell r="A21" t="str">
            <v>2003</v>
          </cell>
          <cell r="E21">
            <v>473.92600000000004</v>
          </cell>
          <cell r="G21">
            <v>1321.6379999999999</v>
          </cell>
          <cell r="I21">
            <v>19.129000000000001</v>
          </cell>
          <cell r="K21">
            <v>1814.69</v>
          </cell>
          <cell r="M21">
            <v>780.423</v>
          </cell>
          <cell r="O21">
            <v>2595.1130000000003</v>
          </cell>
        </row>
        <row r="22">
          <cell r="A22" t="str">
            <v>2004</v>
          </cell>
          <cell r="E22">
            <v>493.09900000000005</v>
          </cell>
          <cell r="G22">
            <v>1446.7440000000001</v>
          </cell>
          <cell r="I22">
            <v>16.983000000000001</v>
          </cell>
          <cell r="K22">
            <v>1956.826</v>
          </cell>
          <cell r="M22">
            <v>782.16700000000003</v>
          </cell>
          <cell r="O22">
            <v>2738.9929999999999</v>
          </cell>
        </row>
        <row r="24">
          <cell r="A24" t="str">
            <v>Four Quarters Ending</v>
          </cell>
        </row>
        <row r="25">
          <cell r="A25" t="str">
            <v>2005 Q2P</v>
          </cell>
          <cell r="E25">
            <v>508.60399999999998</v>
          </cell>
          <cell r="G25">
            <v>1484.979</v>
          </cell>
          <cell r="I25">
            <v>23.750999999999998</v>
          </cell>
          <cell r="K25">
            <v>2017.3340000000003</v>
          </cell>
          <cell r="M25">
            <v>768.22</v>
          </cell>
          <cell r="O25">
            <v>2785.5540000000001</v>
          </cell>
        </row>
        <row r="27">
          <cell r="A27" t="str">
            <v>Quarters</v>
          </cell>
        </row>
        <row r="28">
          <cell r="A28" t="str">
            <v>2003 Q2</v>
          </cell>
          <cell r="E28">
            <v>118.836</v>
          </cell>
          <cell r="G28">
            <v>332.07100000000003</v>
          </cell>
          <cell r="I28">
            <v>5.0519999999999996</v>
          </cell>
          <cell r="K28">
            <v>455.959</v>
          </cell>
          <cell r="M28">
            <v>200.72900000000001</v>
          </cell>
          <cell r="O28">
            <v>656.68799999999999</v>
          </cell>
        </row>
        <row r="29">
          <cell r="A29" t="str">
            <v xml:space="preserve">         Q3</v>
          </cell>
          <cell r="E29">
            <v>118.346</v>
          </cell>
          <cell r="G29">
            <v>321.35899999999998</v>
          </cell>
          <cell r="I29">
            <v>4.5460000000000003</v>
          </cell>
          <cell r="K29">
            <v>444.25099999999998</v>
          </cell>
          <cell r="M29">
            <v>200.73400000000001</v>
          </cell>
          <cell r="O29">
            <v>644.98500000000001</v>
          </cell>
        </row>
        <row r="30">
          <cell r="A30" t="str">
            <v xml:space="preserve">         Q4</v>
          </cell>
          <cell r="E30">
            <v>114.9</v>
          </cell>
          <cell r="G30">
            <v>338.57600000000002</v>
          </cell>
          <cell r="I30">
            <v>4.835</v>
          </cell>
          <cell r="K30">
            <v>458.30799999999999</v>
          </cell>
          <cell r="M30">
            <v>193.77099999999999</v>
          </cell>
          <cell r="O30">
            <v>652.07899999999995</v>
          </cell>
        </row>
        <row r="31">
          <cell r="A31" t="str">
            <v>2004 Q1</v>
          </cell>
          <cell r="E31">
            <v>118.19499999999999</v>
          </cell>
          <cell r="G31">
            <v>340.90100000000001</v>
          </cell>
          <cell r="I31">
            <v>4.5209999999999999</v>
          </cell>
          <cell r="K31">
            <v>463.61700000000002</v>
          </cell>
          <cell r="M31">
            <v>186.762</v>
          </cell>
          <cell r="O31">
            <v>650.37900000000002</v>
          </cell>
        </row>
        <row r="32">
          <cell r="A32" t="str">
            <v xml:space="preserve">         Q2</v>
          </cell>
          <cell r="E32">
            <v>121.959</v>
          </cell>
          <cell r="G32">
            <v>353.03300000000002</v>
          </cell>
          <cell r="I32">
            <v>4.5209999999999999</v>
          </cell>
          <cell r="K32">
            <v>479.51299999999998</v>
          </cell>
          <cell r="M32">
            <v>199.56</v>
          </cell>
          <cell r="O32">
            <v>679.07299999999998</v>
          </cell>
        </row>
        <row r="33">
          <cell r="A33" t="str">
            <v xml:space="preserve">         Q3</v>
          </cell>
          <cell r="E33">
            <v>121.989</v>
          </cell>
          <cell r="G33">
            <v>362.73599999999999</v>
          </cell>
          <cell r="I33">
            <v>4.4050000000000002</v>
          </cell>
          <cell r="K33">
            <v>489.13</v>
          </cell>
          <cell r="M33">
            <v>197.96600000000001</v>
          </cell>
          <cell r="O33">
            <v>687.096</v>
          </cell>
        </row>
        <row r="34">
          <cell r="A34" t="str">
            <v xml:space="preserve">         Q4</v>
          </cell>
          <cell r="E34">
            <v>130.95599999999999</v>
          </cell>
          <cell r="G34">
            <v>390.07400000000001</v>
          </cell>
          <cell r="I34">
            <v>3.536</v>
          </cell>
          <cell r="K34">
            <v>524.56600000000003</v>
          </cell>
          <cell r="M34">
            <v>197.87899999999999</v>
          </cell>
          <cell r="O34">
            <v>722.44500000000005</v>
          </cell>
        </row>
        <row r="35">
          <cell r="A35" t="str">
            <v>2005 Q1</v>
          </cell>
          <cell r="E35">
            <v>124.902</v>
          </cell>
          <cell r="G35">
            <v>355.11900000000003</v>
          </cell>
          <cell r="I35">
            <v>8.0559999999999992</v>
          </cell>
          <cell r="K35">
            <v>488.077</v>
          </cell>
          <cell r="M35">
            <v>183.55199999999999</v>
          </cell>
          <cell r="O35">
            <v>671.62900000000002</v>
          </cell>
        </row>
        <row r="36">
          <cell r="A36" t="str">
            <v xml:space="preserve">         Q2P</v>
          </cell>
          <cell r="E36">
            <v>130.75700000000001</v>
          </cell>
          <cell r="G36">
            <v>377.05</v>
          </cell>
          <cell r="I36">
            <v>7.7539999999999996</v>
          </cell>
          <cell r="K36">
            <v>515.56100000000004</v>
          </cell>
          <cell r="M36">
            <v>188.82300000000001</v>
          </cell>
          <cell r="O36">
            <v>704.38400000000001</v>
          </cell>
        </row>
        <row r="37">
          <cell r="A37" t="str">
            <v>Percentage change on 1 year earlier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">
          <cell r="B6">
            <v>577.40200000000004</v>
          </cell>
          <cell r="D6">
            <v>582.44799999999998</v>
          </cell>
          <cell r="F6">
            <v>147.71100000000001</v>
          </cell>
        </row>
        <row r="7">
          <cell r="B7">
            <v>589.79999999999995</v>
          </cell>
          <cell r="D7">
            <v>589.5</v>
          </cell>
          <cell r="F7">
            <v>147.30000000000001</v>
          </cell>
        </row>
        <row r="8">
          <cell r="B8">
            <v>596.79999999999995</v>
          </cell>
          <cell r="D8">
            <v>630.9</v>
          </cell>
          <cell r="F8">
            <v>171.5</v>
          </cell>
        </row>
        <row r="9">
          <cell r="B9">
            <v>552.9</v>
          </cell>
          <cell r="D9">
            <v>662.8</v>
          </cell>
          <cell r="F9">
            <v>173.9</v>
          </cell>
        </row>
        <row r="10">
          <cell r="B10">
            <v>620.29999999999995</v>
          </cell>
          <cell r="D10">
            <v>751.1</v>
          </cell>
          <cell r="F10">
            <v>226.7</v>
          </cell>
        </row>
        <row r="11">
          <cell r="B11">
            <v>611.20000000000005</v>
          </cell>
          <cell r="D11">
            <v>816.4</v>
          </cell>
          <cell r="F11">
            <v>200</v>
          </cell>
        </row>
        <row r="12">
          <cell r="B12">
            <v>581.86400000000003</v>
          </cell>
          <cell r="D12">
            <v>873.72799999999995</v>
          </cell>
          <cell r="F12">
            <v>188.54199999999997</v>
          </cell>
        </row>
      </sheetData>
      <sheetData sheetId="9" refreshError="1"/>
      <sheetData sheetId="10" refreshError="1"/>
      <sheetData sheetId="11">
        <row r="6">
          <cell r="B6">
            <v>205.35400000000001</v>
          </cell>
          <cell r="D6">
            <v>97.811999999999998</v>
          </cell>
          <cell r="F6">
            <v>32.856999999999999</v>
          </cell>
          <cell r="J6">
            <v>1.86</v>
          </cell>
        </row>
        <row r="7">
          <cell r="B7">
            <v>228.5</v>
          </cell>
          <cell r="D7">
            <v>96.4</v>
          </cell>
          <cell r="F7">
            <v>33.200000000000003</v>
          </cell>
          <cell r="J7">
            <v>1.4</v>
          </cell>
        </row>
        <row r="8">
          <cell r="B8">
            <v>241</v>
          </cell>
          <cell r="D8">
            <v>96.6</v>
          </cell>
          <cell r="F8">
            <v>34</v>
          </cell>
          <cell r="J8">
            <v>1.5</v>
          </cell>
        </row>
        <row r="9">
          <cell r="B9">
            <v>271.3</v>
          </cell>
          <cell r="D9">
            <v>86.2</v>
          </cell>
          <cell r="F9">
            <v>38.799999999999997</v>
          </cell>
          <cell r="J9">
            <v>1.2</v>
          </cell>
        </row>
        <row r="10">
          <cell r="B10">
            <v>332.9</v>
          </cell>
          <cell r="D10">
            <v>77.2</v>
          </cell>
          <cell r="F10">
            <v>39.299999999999997</v>
          </cell>
          <cell r="J10">
            <v>3.5</v>
          </cell>
        </row>
        <row r="11">
          <cell r="B11">
            <v>368</v>
          </cell>
          <cell r="D11">
            <v>73.5</v>
          </cell>
          <cell r="F11">
            <v>41.7</v>
          </cell>
          <cell r="J11">
            <v>2.5</v>
          </cell>
        </row>
        <row r="12">
          <cell r="B12">
            <v>401.9</v>
          </cell>
          <cell r="D12">
            <v>80.2</v>
          </cell>
          <cell r="F12">
            <v>45.9</v>
          </cell>
          <cell r="J12">
            <v>2.8</v>
          </cell>
        </row>
      </sheetData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Edwards_2004"/>
      <sheetName val="FAO_2017"/>
      <sheetName val="CleanCookingCatalog_2021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 refreshError="1"/>
      <sheetData sheetId="10"/>
      <sheetData sheetId="1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ar"/>
      <sheetName val="Admin"/>
      <sheetName val="t11"/>
      <sheetName val="c11"/>
      <sheetName val="t12"/>
      <sheetName val="c12"/>
      <sheetName val="c12Pies"/>
      <sheetName val="t13_09-08"/>
      <sheetName val="t13_09 (probs)"/>
      <sheetName val="t13_09"/>
      <sheetName val="t13_08"/>
      <sheetName val="t13_07"/>
      <sheetName val="t13_06"/>
      <sheetName val="t14_time series"/>
      <sheetName val="c14Pies"/>
      <sheetName val="t42 final"/>
      <sheetName val="revised Urban_Rural data"/>
      <sheetName val="t14_01"/>
      <sheetName val="t14_00"/>
      <sheetName val="t14_99"/>
      <sheetName val="t14_98"/>
      <sheetName val="t14_97"/>
      <sheetName val="t14_96"/>
      <sheetName val="t14_95"/>
      <sheetName val="t14_94"/>
      <sheetName val="t14_93"/>
      <sheetName val="t14_09-08"/>
      <sheetName val="t14_09"/>
      <sheetName val="t14_08"/>
      <sheetName val="t14_07"/>
      <sheetName val="t14_06"/>
      <sheetName val="t14_05"/>
      <sheetName val="t14_04"/>
      <sheetName val="t14_03"/>
      <sheetName val="t14_02"/>
      <sheetName val="t13_05"/>
      <sheetName val="t13_04"/>
      <sheetName val="t13_03"/>
      <sheetName val="t13_09_(probs)20"/>
      <sheetName val="t14_time_series20"/>
      <sheetName val="t42_final20"/>
      <sheetName val="revised_Urban_Rural_data20"/>
      <sheetName val="t13_09_(probs)2"/>
      <sheetName val="t14_time_series2"/>
      <sheetName val="t42_final2"/>
      <sheetName val="revised_Urban_Rural_data2"/>
      <sheetName val="t13_09_(probs)"/>
      <sheetName val="t14_time_series"/>
      <sheetName val="t42_final"/>
      <sheetName val="revised_Urban_Rural_data"/>
      <sheetName val="t13_09_(probs)1"/>
      <sheetName val="t14_time_series1"/>
      <sheetName val="t42_final1"/>
      <sheetName val="revised_Urban_Rural_data1"/>
      <sheetName val="t13_09_(probs)8"/>
      <sheetName val="t14_time_series8"/>
      <sheetName val="t42_final8"/>
      <sheetName val="revised_Urban_Rural_data8"/>
      <sheetName val="t13_09_(probs)3"/>
      <sheetName val="t14_time_series3"/>
      <sheetName val="t42_final3"/>
      <sheetName val="revised_Urban_Rural_data3"/>
      <sheetName val="t13_09_(probs)4"/>
      <sheetName val="t14_time_series4"/>
      <sheetName val="t42_final4"/>
      <sheetName val="revised_Urban_Rural_data4"/>
      <sheetName val="t13_09_(probs)5"/>
      <sheetName val="t14_time_series5"/>
      <sheetName val="t42_final5"/>
      <sheetName val="revised_Urban_Rural_data5"/>
      <sheetName val="t13_09_(probs)6"/>
      <sheetName val="t14_time_series6"/>
      <sheetName val="t42_final6"/>
      <sheetName val="revised_Urban_Rural_data6"/>
      <sheetName val="t13_09_(probs)7"/>
      <sheetName val="t14_time_series7"/>
      <sheetName val="t42_final7"/>
      <sheetName val="revised_Urban_Rural_data7"/>
      <sheetName val="t13_09_(probs)10"/>
      <sheetName val="t14_time_series10"/>
      <sheetName val="t42_final10"/>
      <sheetName val="revised_Urban_Rural_data10"/>
      <sheetName val="t13_09_(probs)9"/>
      <sheetName val="t14_time_series9"/>
      <sheetName val="t42_final9"/>
      <sheetName val="revised_Urban_Rural_data9"/>
      <sheetName val="t13_09_(probs)11"/>
      <sheetName val="t14_time_series11"/>
      <sheetName val="t42_final11"/>
      <sheetName val="revised_Urban_Rural_data11"/>
      <sheetName val="t13_09_(probs)12"/>
      <sheetName val="t14_time_series12"/>
      <sheetName val="t42_final12"/>
      <sheetName val="revised_Urban_Rural_data12"/>
      <sheetName val="t13_09_(probs)13"/>
      <sheetName val="t14_time_series13"/>
      <sheetName val="t42_final13"/>
      <sheetName val="revised_Urban_Rural_data13"/>
      <sheetName val="t13_09_(probs)14"/>
      <sheetName val="t14_time_series14"/>
      <sheetName val="t42_final14"/>
      <sheetName val="revised_Urban_Rural_data14"/>
      <sheetName val="t13_09_(probs)15"/>
      <sheetName val="t14_time_series15"/>
      <sheetName val="t42_final15"/>
      <sheetName val="revised_Urban_Rural_data15"/>
      <sheetName val="t13_09_(probs)16"/>
      <sheetName val="t14_time_series16"/>
      <sheetName val="t42_final16"/>
      <sheetName val="revised_Urban_Rural_data16"/>
      <sheetName val="t13_09_(probs)17"/>
      <sheetName val="t14_time_series17"/>
      <sheetName val="t42_final17"/>
      <sheetName val="revised_Urban_Rural_data17"/>
      <sheetName val="t13_09_(probs)19"/>
      <sheetName val="t14_time_series19"/>
      <sheetName val="t42_final19"/>
      <sheetName val="revised_Urban_Rural_data19"/>
      <sheetName val="t13_09_(probs)18"/>
      <sheetName val="t14_time_series18"/>
      <sheetName val="t42_final18"/>
      <sheetName val="revised_Urban_Rural_data18"/>
      <sheetName val="t13_09_(probs)21"/>
      <sheetName val="t14_time_series21"/>
      <sheetName val="t42_final21"/>
      <sheetName val="revised_Urban_Rural_data21"/>
    </sheetNames>
    <sheetDataSet>
      <sheetData sheetId="0">
        <row r="3">
          <cell r="B3">
            <v>2008</v>
          </cell>
        </row>
      </sheetData>
      <sheetData sheetId="1"/>
      <sheetData sheetId="2"/>
      <sheetData sheetId="3">
        <row r="42">
          <cell r="D42" t="str">
            <v>2007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S-INDEX"/>
    </sheetNames>
    <sheetDataSet>
      <sheetData sheetId="0" refreshError="1">
        <row r="9">
          <cell r="E9">
            <v>1983</v>
          </cell>
          <cell r="F9">
            <v>1984</v>
          </cell>
          <cell r="G9">
            <v>1985</v>
          </cell>
          <cell r="H9">
            <v>1986</v>
          </cell>
          <cell r="I9">
            <v>1987</v>
          </cell>
          <cell r="J9">
            <v>1988</v>
          </cell>
          <cell r="K9">
            <v>1989</v>
          </cell>
          <cell r="L9">
            <v>1990</v>
          </cell>
          <cell r="M9">
            <v>1991</v>
          </cell>
          <cell r="N9">
            <v>1992</v>
          </cell>
          <cell r="O9">
            <v>1993</v>
          </cell>
          <cell r="P9">
            <v>1994</v>
          </cell>
          <cell r="Q9">
            <v>1995</v>
          </cell>
          <cell r="R9">
            <v>1996</v>
          </cell>
        </row>
        <row r="13">
          <cell r="B13" t="str">
            <v>Road 1</v>
          </cell>
          <cell r="E13">
            <v>4.2</v>
          </cell>
          <cell r="F13">
            <v>4</v>
          </cell>
          <cell r="G13">
            <v>4.3</v>
          </cell>
          <cell r="H13">
            <v>3.7</v>
          </cell>
          <cell r="I13">
            <v>4.0999999999999996</v>
          </cell>
          <cell r="J13">
            <v>4.9000000000000004</v>
          </cell>
          <cell r="K13">
            <v>4.5</v>
          </cell>
          <cell r="L13">
            <v>4.9000000000000004</v>
          </cell>
          <cell r="M13">
            <v>4.9000000000000004</v>
          </cell>
          <cell r="N13">
            <v>4.5</v>
          </cell>
          <cell r="O13">
            <v>5</v>
          </cell>
          <cell r="P13">
            <v>5.0999999999999996</v>
          </cell>
          <cell r="Q13">
            <v>5.7</v>
          </cell>
        </row>
        <row r="14">
          <cell r="B14" t="str">
            <v xml:space="preserve">Rail </v>
          </cell>
          <cell r="E14">
            <v>2.2999999999999998</v>
          </cell>
          <cell r="F14">
            <v>2.2000000000000002</v>
          </cell>
          <cell r="G14">
            <v>2</v>
          </cell>
          <cell r="H14">
            <v>2.1</v>
          </cell>
          <cell r="I14">
            <v>2</v>
          </cell>
          <cell r="J14">
            <v>2.2000000000000002</v>
          </cell>
          <cell r="K14">
            <v>2.2000000000000002</v>
          </cell>
          <cell r="L14">
            <v>2.1</v>
          </cell>
          <cell r="M14">
            <v>2</v>
          </cell>
          <cell r="N14">
            <v>2</v>
          </cell>
          <cell r="O14">
            <v>1.91</v>
          </cell>
          <cell r="P14">
            <v>1.8220000000000001</v>
          </cell>
          <cell r="Q14">
            <v>1.7</v>
          </cell>
        </row>
        <row r="15">
          <cell r="B15" t="str">
            <v xml:space="preserve">Water </v>
          </cell>
          <cell r="E15">
            <v>51.4</v>
          </cell>
          <cell r="F15">
            <v>53.1</v>
          </cell>
          <cell r="G15">
            <v>50.9</v>
          </cell>
          <cell r="H15">
            <v>46</v>
          </cell>
          <cell r="I15">
            <v>43.9</v>
          </cell>
          <cell r="J15">
            <v>49.3</v>
          </cell>
          <cell r="K15">
            <v>47.9</v>
          </cell>
          <cell r="L15">
            <v>45.4</v>
          </cell>
          <cell r="M15">
            <v>46</v>
          </cell>
          <cell r="N15">
            <v>42.7</v>
          </cell>
          <cell r="O15">
            <v>41.7</v>
          </cell>
          <cell r="P15">
            <v>43</v>
          </cell>
          <cell r="Q15">
            <v>42.5</v>
          </cell>
        </row>
        <row r="16">
          <cell r="B16" t="str">
            <v>ow:  coastwise</v>
          </cell>
          <cell r="E16">
            <v>40.200000000000003</v>
          </cell>
          <cell r="F16">
            <v>41</v>
          </cell>
          <cell r="G16">
            <v>38.9</v>
          </cell>
          <cell r="H16">
            <v>33.9</v>
          </cell>
          <cell r="I16">
            <v>31.4</v>
          </cell>
          <cell r="J16">
            <v>34.200000000000003</v>
          </cell>
          <cell r="K16">
            <v>34.1</v>
          </cell>
          <cell r="L16">
            <v>32.1</v>
          </cell>
          <cell r="M16">
            <v>31.2</v>
          </cell>
          <cell r="N16">
            <v>29.4</v>
          </cell>
          <cell r="O16">
            <v>28.9</v>
          </cell>
          <cell r="P16">
            <v>28.9</v>
          </cell>
          <cell r="Q16">
            <v>31.4</v>
          </cell>
        </row>
        <row r="17">
          <cell r="B17" t="str">
            <v xml:space="preserve">Pipeline </v>
          </cell>
          <cell r="H17">
            <v>10.4</v>
          </cell>
          <cell r="I17">
            <v>10.5</v>
          </cell>
          <cell r="J17">
            <v>11.1</v>
          </cell>
          <cell r="K17">
            <v>9.8000000000000007</v>
          </cell>
          <cell r="L17">
            <v>11.1</v>
          </cell>
          <cell r="M17">
            <v>11.1</v>
          </cell>
          <cell r="N17">
            <v>11</v>
          </cell>
          <cell r="O17">
            <v>11.6</v>
          </cell>
          <cell r="P17">
            <v>12</v>
          </cell>
          <cell r="Q17">
            <v>12.2</v>
          </cell>
        </row>
        <row r="18">
          <cell r="B18" t="str">
            <v>Pipeline</v>
          </cell>
          <cell r="E18">
            <v>9.9</v>
          </cell>
          <cell r="F18">
            <v>10.4</v>
          </cell>
          <cell r="G18">
            <v>11.2</v>
          </cell>
          <cell r="H18">
            <v>10.4</v>
          </cell>
          <cell r="I18">
            <v>10.5</v>
          </cell>
          <cell r="J18">
            <v>11.1</v>
          </cell>
          <cell r="K18">
            <v>9.8000000000000007</v>
          </cell>
          <cell r="L18">
            <v>11</v>
          </cell>
          <cell r="M18">
            <v>11.1</v>
          </cell>
          <cell r="N18">
            <v>11</v>
          </cell>
          <cell r="O18">
            <v>11.6</v>
          </cell>
          <cell r="P18">
            <v>12</v>
          </cell>
          <cell r="Q18">
            <v>12.2</v>
          </cell>
        </row>
        <row r="19">
          <cell r="B19" t="str">
            <v>All modes</v>
          </cell>
          <cell r="E19">
            <v>67.8</v>
          </cell>
          <cell r="F19">
            <v>69.7</v>
          </cell>
          <cell r="G19">
            <v>68.400000000000006</v>
          </cell>
          <cell r="H19">
            <v>62.2</v>
          </cell>
          <cell r="I19">
            <v>60.5</v>
          </cell>
          <cell r="J19">
            <v>67.5</v>
          </cell>
          <cell r="K19">
            <v>64.400000000000006</v>
          </cell>
          <cell r="L19">
            <v>63.5</v>
          </cell>
          <cell r="M19">
            <v>64</v>
          </cell>
          <cell r="N19">
            <v>60.2</v>
          </cell>
          <cell r="O19">
            <v>60.21</v>
          </cell>
          <cell r="P19">
            <v>61.921999999999997</v>
          </cell>
          <cell r="Q19">
            <v>62.099999999999994</v>
          </cell>
        </row>
        <row r="22">
          <cell r="B22" t="str">
            <v>Road 1</v>
          </cell>
          <cell r="E22">
            <v>3.2</v>
          </cell>
          <cell r="F22">
            <v>3.3</v>
          </cell>
          <cell r="G22">
            <v>4.2</v>
          </cell>
          <cell r="H22">
            <v>3.7</v>
          </cell>
          <cell r="I22">
            <v>3.7</v>
          </cell>
          <cell r="J22">
            <v>3.9</v>
          </cell>
          <cell r="K22">
            <v>4</v>
          </cell>
          <cell r="L22">
            <v>4.2</v>
          </cell>
          <cell r="M22">
            <v>3.7</v>
          </cell>
          <cell r="N22">
            <v>3.5</v>
          </cell>
          <cell r="O22">
            <v>3.1</v>
          </cell>
          <cell r="P22">
            <v>2.9</v>
          </cell>
          <cell r="Q22">
            <v>2.7</v>
          </cell>
        </row>
        <row r="23">
          <cell r="B23" t="str">
            <v xml:space="preserve">Rail </v>
          </cell>
          <cell r="E23">
            <v>5.9</v>
          </cell>
          <cell r="F23">
            <v>1.6</v>
          </cell>
          <cell r="G23">
            <v>4.0999999999999996</v>
          </cell>
          <cell r="H23">
            <v>5.0999999999999996</v>
          </cell>
          <cell r="I23">
            <v>4.7</v>
          </cell>
          <cell r="J23">
            <v>4.5999999999999996</v>
          </cell>
          <cell r="K23">
            <v>4.8</v>
          </cell>
          <cell r="L23">
            <v>5</v>
          </cell>
          <cell r="M23">
            <v>5</v>
          </cell>
          <cell r="N23">
            <v>5.4</v>
          </cell>
          <cell r="O23">
            <v>3.9449999999999998</v>
          </cell>
          <cell r="P23">
            <v>3.2719999999999998</v>
          </cell>
          <cell r="Q23">
            <v>3.1</v>
          </cell>
        </row>
        <row r="24">
          <cell r="B24" t="str">
            <v xml:space="preserve">Water </v>
          </cell>
          <cell r="E24">
            <v>3.8</v>
          </cell>
          <cell r="F24">
            <v>1.1000000000000001</v>
          </cell>
          <cell r="G24">
            <v>3.1</v>
          </cell>
          <cell r="H24">
            <v>3.7</v>
          </cell>
          <cell r="I24">
            <v>2.9</v>
          </cell>
          <cell r="J24">
            <v>2.9</v>
          </cell>
          <cell r="K24">
            <v>2.6</v>
          </cell>
          <cell r="L24">
            <v>1.4</v>
          </cell>
          <cell r="M24">
            <v>1.8</v>
          </cell>
          <cell r="N24">
            <v>1.8</v>
          </cell>
          <cell r="O24">
            <v>1.5</v>
          </cell>
          <cell r="P24">
            <v>1.4</v>
          </cell>
          <cell r="Q24">
            <v>1.8</v>
          </cell>
        </row>
        <row r="25">
          <cell r="B25" t="str">
            <v>All modes</v>
          </cell>
          <cell r="E25">
            <v>12.900000000000002</v>
          </cell>
          <cell r="F25">
            <v>6</v>
          </cell>
          <cell r="G25">
            <v>11.4</v>
          </cell>
          <cell r="H25">
            <v>12.5</v>
          </cell>
          <cell r="I25">
            <v>11.3</v>
          </cell>
          <cell r="J25">
            <v>11.4</v>
          </cell>
          <cell r="K25">
            <v>11.4</v>
          </cell>
          <cell r="L25">
            <v>10.6</v>
          </cell>
          <cell r="M25">
            <v>10.5</v>
          </cell>
          <cell r="N25">
            <v>10.700000000000001</v>
          </cell>
          <cell r="O25">
            <v>8.5449999999999999</v>
          </cell>
          <cell r="P25">
            <v>7.5719999999999992</v>
          </cell>
          <cell r="Q25">
            <v>7.6000000000000005</v>
          </cell>
        </row>
        <row r="28">
          <cell r="B28" t="str">
            <v>Road 1</v>
          </cell>
          <cell r="E28">
            <v>88.5</v>
          </cell>
          <cell r="F28">
            <v>93.1</v>
          </cell>
          <cell r="G28">
            <v>94.7</v>
          </cell>
          <cell r="H28">
            <v>98</v>
          </cell>
          <cell r="I28">
            <v>105.5</v>
          </cell>
          <cell r="J28">
            <v>121.4</v>
          </cell>
          <cell r="K28">
            <v>129.30000000000001</v>
          </cell>
          <cell r="L28">
            <v>127.2</v>
          </cell>
          <cell r="M28">
            <v>121.4</v>
          </cell>
          <cell r="N28">
            <v>118.5</v>
          </cell>
          <cell r="O28">
            <v>126.4</v>
          </cell>
          <cell r="P28">
            <v>135.69999999999999</v>
          </cell>
          <cell r="Q28">
            <v>141.19999999999999</v>
          </cell>
        </row>
        <row r="29">
          <cell r="B29" t="str">
            <v xml:space="preserve">Rail </v>
          </cell>
          <cell r="E29">
            <v>8.9</v>
          </cell>
          <cell r="F29">
            <v>8.9</v>
          </cell>
          <cell r="G29">
            <v>9.1999999999999993</v>
          </cell>
          <cell r="H29">
            <v>9.4</v>
          </cell>
          <cell r="I29">
            <v>10.6</v>
          </cell>
          <cell r="J29">
            <v>11.4</v>
          </cell>
          <cell r="K29">
            <v>10.3</v>
          </cell>
          <cell r="L29">
            <v>8.6999999999999993</v>
          </cell>
          <cell r="M29">
            <v>8.3000000000000007</v>
          </cell>
          <cell r="N29">
            <v>8.1</v>
          </cell>
          <cell r="O29">
            <v>7.91</v>
          </cell>
          <cell r="P29">
            <v>7.8839999999999995</v>
          </cell>
          <cell r="Q29">
            <v>8.5</v>
          </cell>
        </row>
        <row r="30">
          <cell r="B30" t="str">
            <v xml:space="preserve">Water </v>
          </cell>
          <cell r="E30">
            <v>5.0999999999999996</v>
          </cell>
          <cell r="F30">
            <v>5.5</v>
          </cell>
          <cell r="G30">
            <v>3.6</v>
          </cell>
          <cell r="H30">
            <v>5.0999999999999996</v>
          </cell>
          <cell r="I30">
            <v>7.3</v>
          </cell>
          <cell r="J30">
            <v>7.1</v>
          </cell>
          <cell r="K30">
            <v>7.4</v>
          </cell>
          <cell r="L30">
            <v>8.6999999999999993</v>
          </cell>
          <cell r="M30">
            <v>9.9</v>
          </cell>
          <cell r="N30">
            <v>10.4</v>
          </cell>
          <cell r="O30">
            <v>8</v>
          </cell>
          <cell r="P30">
            <v>7.8</v>
          </cell>
          <cell r="Q30">
            <v>8.3000000000000007</v>
          </cell>
        </row>
        <row r="31">
          <cell r="B31" t="str">
            <v>All modes</v>
          </cell>
          <cell r="E31">
            <v>102.5</v>
          </cell>
          <cell r="F31">
            <v>107.5</v>
          </cell>
          <cell r="G31">
            <v>107.5</v>
          </cell>
          <cell r="H31">
            <v>112.5</v>
          </cell>
          <cell r="I31">
            <v>123.39999999999999</v>
          </cell>
          <cell r="J31">
            <v>139.9</v>
          </cell>
          <cell r="K31">
            <v>147.00000000000003</v>
          </cell>
          <cell r="L31">
            <v>144.6</v>
          </cell>
          <cell r="M31">
            <v>139.60000000000002</v>
          </cell>
          <cell r="N31">
            <v>137</v>
          </cell>
          <cell r="O31">
            <v>142.31</v>
          </cell>
          <cell r="P31">
            <v>151.38399999999999</v>
          </cell>
          <cell r="Q31">
            <v>158</v>
          </cell>
        </row>
        <row r="34">
          <cell r="B34" t="str">
            <v>Road 1</v>
          </cell>
          <cell r="E34">
            <v>95.9</v>
          </cell>
          <cell r="F34">
            <v>100.39999999999999</v>
          </cell>
          <cell r="G34">
            <v>103.2</v>
          </cell>
          <cell r="H34">
            <v>105.4</v>
          </cell>
          <cell r="I34">
            <v>113.3</v>
          </cell>
          <cell r="J34">
            <v>130.20000000000002</v>
          </cell>
          <cell r="K34">
            <v>137.80000000000001</v>
          </cell>
          <cell r="L34">
            <v>136.30000000000001</v>
          </cell>
          <cell r="M34">
            <v>130</v>
          </cell>
          <cell r="N34">
            <v>126.5</v>
          </cell>
          <cell r="O34">
            <v>134.5</v>
          </cell>
          <cell r="P34">
            <v>143.69999999999999</v>
          </cell>
          <cell r="Q34">
            <v>149.6</v>
          </cell>
        </row>
        <row r="35">
          <cell r="B35" t="str">
            <v xml:space="preserve">Rail </v>
          </cell>
          <cell r="E35">
            <v>17.100000000000001</v>
          </cell>
          <cell r="F35">
            <v>12.700000000000001</v>
          </cell>
          <cell r="G35">
            <v>15.299999999999999</v>
          </cell>
          <cell r="H35">
            <v>16.600000000000001</v>
          </cell>
          <cell r="I35">
            <v>17.3</v>
          </cell>
          <cell r="J35">
            <v>18.2</v>
          </cell>
          <cell r="K35">
            <v>17.3</v>
          </cell>
          <cell r="L35">
            <v>15.799999999999999</v>
          </cell>
          <cell r="M35">
            <v>15.3</v>
          </cell>
          <cell r="N35">
            <v>15.5</v>
          </cell>
          <cell r="O35">
            <v>13.765000000000001</v>
          </cell>
          <cell r="P35">
            <v>12.977999999999998</v>
          </cell>
          <cell r="Q35">
            <v>13.3</v>
          </cell>
        </row>
        <row r="36">
          <cell r="B36" t="str">
            <v xml:space="preserve">Water </v>
          </cell>
          <cell r="E36">
            <v>60.3</v>
          </cell>
          <cell r="F36">
            <v>59.7</v>
          </cell>
          <cell r="G36">
            <v>57.6</v>
          </cell>
          <cell r="H36">
            <v>54.800000000000004</v>
          </cell>
          <cell r="I36">
            <v>54.099999999999994</v>
          </cell>
          <cell r="J36">
            <v>59.3</v>
          </cell>
          <cell r="K36">
            <v>57.9</v>
          </cell>
          <cell r="L36">
            <v>55.7</v>
          </cell>
          <cell r="M36">
            <v>57.699999999999996</v>
          </cell>
          <cell r="N36">
            <v>54.900000000000006</v>
          </cell>
          <cell r="O36">
            <v>51.2</v>
          </cell>
          <cell r="P36">
            <v>52.2</v>
          </cell>
          <cell r="Q36">
            <v>52.6</v>
          </cell>
        </row>
        <row r="37">
          <cell r="B37" t="str">
            <v xml:space="preserve">Pipeline </v>
          </cell>
          <cell r="E37">
            <v>9.9</v>
          </cell>
          <cell r="F37">
            <v>10.4</v>
          </cell>
          <cell r="G37">
            <v>11.2</v>
          </cell>
          <cell r="H37">
            <v>10.4</v>
          </cell>
          <cell r="I37">
            <v>10.5</v>
          </cell>
          <cell r="J37">
            <v>11.1</v>
          </cell>
          <cell r="K37">
            <v>9.8000000000000007</v>
          </cell>
          <cell r="L37">
            <v>11</v>
          </cell>
          <cell r="M37">
            <v>11.1</v>
          </cell>
          <cell r="N37">
            <v>11</v>
          </cell>
          <cell r="O37">
            <v>11.6</v>
          </cell>
          <cell r="P37">
            <v>12</v>
          </cell>
          <cell r="Q37">
            <v>12.2</v>
          </cell>
        </row>
        <row r="38">
          <cell r="B38" t="str">
            <v xml:space="preserve">All modes </v>
          </cell>
          <cell r="E38">
            <v>183.20000000000002</v>
          </cell>
          <cell r="F38">
            <v>183.20000000000002</v>
          </cell>
          <cell r="G38">
            <v>187.29999999999998</v>
          </cell>
          <cell r="H38">
            <v>187.20000000000002</v>
          </cell>
          <cell r="I38">
            <v>195.2</v>
          </cell>
          <cell r="J38">
            <v>218.79999999999998</v>
          </cell>
          <cell r="K38">
            <v>222.80000000000004</v>
          </cell>
          <cell r="L38">
            <v>218.8</v>
          </cell>
          <cell r="M38">
            <v>214.1</v>
          </cell>
          <cell r="N38">
            <v>207.9</v>
          </cell>
          <cell r="O38">
            <v>211.06499999999997</v>
          </cell>
          <cell r="P38">
            <v>220.87799999999999</v>
          </cell>
          <cell r="Q38">
            <v>227.7</v>
          </cell>
        </row>
        <row r="41">
          <cell r="B41" t="str">
            <v>Road 1</v>
          </cell>
          <cell r="E41">
            <v>52.3471615720524</v>
          </cell>
          <cell r="F41">
            <v>54.803493449781648</v>
          </cell>
          <cell r="G41">
            <v>55.098772023491726</v>
          </cell>
          <cell r="H41">
            <v>56.303418803418801</v>
          </cell>
          <cell r="I41">
            <v>58.043032786885249</v>
          </cell>
          <cell r="J41">
            <v>59.506398537477153</v>
          </cell>
          <cell r="K41">
            <v>61.849192100538595</v>
          </cell>
          <cell r="L41">
            <v>62.294332723948806</v>
          </cell>
          <cell r="M41">
            <v>60.719290051377861</v>
          </cell>
          <cell r="N41">
            <v>60.846560846560848</v>
          </cell>
          <cell r="O41">
            <v>63.724445076161388</v>
          </cell>
          <cell r="P41">
            <v>65.058539103034249</v>
          </cell>
          <cell r="Q41">
            <v>65.700483091787447</v>
          </cell>
        </row>
        <row r="42">
          <cell r="B42" t="str">
            <v xml:space="preserve">Rail </v>
          </cell>
          <cell r="E42">
            <v>9.3340611353711793</v>
          </cell>
          <cell r="F42">
            <v>6.9323144104803491</v>
          </cell>
          <cell r="G42">
            <v>8.1687132941804581</v>
          </cell>
          <cell r="H42">
            <v>8.867521367521368</v>
          </cell>
          <cell r="I42">
            <v>8.8627049180327884</v>
          </cell>
          <cell r="J42">
            <v>8.3180987202925056</v>
          </cell>
          <cell r="K42">
            <v>7.7648114901256724</v>
          </cell>
          <cell r="L42">
            <v>7.221206581352833</v>
          </cell>
          <cell r="M42">
            <v>7.1461933675852407</v>
          </cell>
          <cell r="N42">
            <v>7.4555074555074556</v>
          </cell>
          <cell r="O42">
            <v>6.5216876317722035</v>
          </cell>
          <cell r="P42">
            <v>5.8756417569880197</v>
          </cell>
          <cell r="Q42">
            <v>5.8410188844971467</v>
          </cell>
        </row>
        <row r="43">
          <cell r="B43" t="str">
            <v xml:space="preserve">Water </v>
          </cell>
          <cell r="E43">
            <v>32.914847161572048</v>
          </cell>
          <cell r="F43">
            <v>32.587336244541483</v>
          </cell>
          <cell r="G43">
            <v>30.752802989855848</v>
          </cell>
          <cell r="H43">
            <v>29.273504273504276</v>
          </cell>
          <cell r="I43">
            <v>27.715163934426229</v>
          </cell>
          <cell r="J43">
            <v>27.102376599634368</v>
          </cell>
          <cell r="K43">
            <v>25.987432675044879</v>
          </cell>
          <cell r="L43">
            <v>25.457038391224863</v>
          </cell>
          <cell r="M43">
            <v>26.950023353573094</v>
          </cell>
          <cell r="N43">
            <v>26.406926406926406</v>
          </cell>
          <cell r="O43">
            <v>24.257930021557346</v>
          </cell>
          <cell r="P43">
            <v>23.632955749327685</v>
          </cell>
          <cell r="Q43">
            <v>23.100570926657884</v>
          </cell>
        </row>
        <row r="44">
          <cell r="B44" t="str">
            <v>Pipeline</v>
          </cell>
          <cell r="E44">
            <v>5.4039301310043664</v>
          </cell>
          <cell r="F44">
            <v>5.676855895196506</v>
          </cell>
          <cell r="G44">
            <v>5.9797116924719704</v>
          </cell>
          <cell r="H44">
            <v>5.5555555555555554</v>
          </cell>
          <cell r="I44">
            <v>5.3790983606557381</v>
          </cell>
          <cell r="J44">
            <v>5.0731261425959779</v>
          </cell>
          <cell r="K44">
            <v>4.3985637342908435</v>
          </cell>
          <cell r="L44">
            <v>5.0274223034734913</v>
          </cell>
          <cell r="M44">
            <v>5.1844932274638014</v>
          </cell>
          <cell r="N44">
            <v>5.2910052910052912</v>
          </cell>
          <cell r="O44">
            <v>5.495937270509085</v>
          </cell>
          <cell r="P44">
            <v>5.4328633906500423</v>
          </cell>
          <cell r="Q44">
            <v>5.3579270970575319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arySA"/>
      <sheetName val="TABLE1a"/>
      <sheetName val="TABLE1b"/>
      <sheetName val="TABLE2"/>
      <sheetName val="TABLE3"/>
      <sheetName val="TABLE3a"/>
      <sheetName val="TABLE3b"/>
      <sheetName val="TABLE4AL"/>
      <sheetName val="TABLE4a"/>
      <sheetName val="TABLE4b"/>
      <sheetName val="TABLE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internationalsteam.co.uk/trains/newsteam/modern50.ht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trainweb.org/tusp/libra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advanced-steam.org/5at/technical-terms/steam-loco-definitions/thermal-efficiency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hyperlink" Target="http://www.martynbane.co.uk/modernsteam/ldp/argentina/arg.htm" TargetMode="External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8"/>
  <sheetViews>
    <sheetView tabSelected="1" topLeftCell="A38" zoomScale="80" zoomScaleNormal="80" workbookViewId="0">
      <selection activeCell="E42" sqref="E42"/>
    </sheetView>
  </sheetViews>
  <sheetFormatPr defaultColWidth="9.109375" defaultRowHeight="13.2"/>
  <cols>
    <col min="1" max="16384" width="9.109375" style="159"/>
  </cols>
  <sheetData>
    <row r="1" spans="1:1">
      <c r="A1" s="175" t="s">
        <v>264</v>
      </c>
    </row>
    <row r="2" spans="1:1">
      <c r="A2" s="175" t="s">
        <v>265</v>
      </c>
    </row>
    <row r="3" spans="1:1">
      <c r="A3" s="175" t="s">
        <v>266</v>
      </c>
    </row>
    <row r="4" spans="1:1">
      <c r="A4" s="175" t="s">
        <v>267</v>
      </c>
    </row>
    <row r="5" spans="1:1">
      <c r="A5" s="175" t="s">
        <v>268</v>
      </c>
    </row>
    <row r="6" spans="1:1">
      <c r="A6" s="175" t="s">
        <v>269</v>
      </c>
    </row>
    <row r="7" spans="1:1">
      <c r="A7" s="175" t="s">
        <v>270</v>
      </c>
    </row>
    <row r="8" spans="1:1">
      <c r="A8" s="175" t="s">
        <v>272</v>
      </c>
    </row>
    <row r="9" spans="1:1">
      <c r="A9" s="175" t="s">
        <v>271</v>
      </c>
    </row>
    <row r="10" spans="1:1">
      <c r="A10" s="175" t="s">
        <v>249</v>
      </c>
    </row>
    <row r="11" spans="1:1">
      <c r="A11" s="175" t="s">
        <v>239</v>
      </c>
    </row>
    <row r="12" spans="1:1">
      <c r="A12" s="176"/>
    </row>
    <row r="13" spans="1:1">
      <c r="A13" s="175" t="s">
        <v>231</v>
      </c>
    </row>
    <row r="14" spans="1:1">
      <c r="A14" s="175" t="s">
        <v>232</v>
      </c>
    </row>
    <row r="15" spans="1:1">
      <c r="A15" s="175" t="s">
        <v>233</v>
      </c>
    </row>
    <row r="16" spans="1:1">
      <c r="A16" s="175" t="s">
        <v>234</v>
      </c>
    </row>
    <row r="17" spans="1:1">
      <c r="A17" s="175" t="s">
        <v>235</v>
      </c>
    </row>
    <row r="18" spans="1:1">
      <c r="A18" s="175" t="s">
        <v>236</v>
      </c>
    </row>
    <row r="19" spans="1:1">
      <c r="A19" s="175" t="s">
        <v>237</v>
      </c>
    </row>
    <row r="20" spans="1:1">
      <c r="A20" s="175" t="s">
        <v>240</v>
      </c>
    </row>
    <row r="21" spans="1:1">
      <c r="A21" s="175" t="s">
        <v>238</v>
      </c>
    </row>
    <row r="22" spans="1:1">
      <c r="A22" s="175" t="s">
        <v>239</v>
      </c>
    </row>
    <row r="23" spans="1:1">
      <c r="A23" s="176"/>
    </row>
    <row r="24" spans="1:1">
      <c r="A24" s="175" t="s">
        <v>241</v>
      </c>
    </row>
    <row r="25" spans="1:1">
      <c r="A25" s="175" t="s">
        <v>242</v>
      </c>
    </row>
    <row r="26" spans="1:1">
      <c r="A26" s="175" t="s">
        <v>243</v>
      </c>
    </row>
    <row r="27" spans="1:1">
      <c r="A27" s="175" t="s">
        <v>244</v>
      </c>
    </row>
    <row r="28" spans="1:1">
      <c r="A28" s="175" t="s">
        <v>245</v>
      </c>
    </row>
    <row r="29" spans="1:1">
      <c r="A29" s="175" t="s">
        <v>246</v>
      </c>
    </row>
    <row r="30" spans="1:1">
      <c r="A30" s="175" t="s">
        <v>247</v>
      </c>
    </row>
    <row r="31" spans="1:1">
      <c r="A31" s="175" t="s">
        <v>250</v>
      </c>
    </row>
    <row r="32" spans="1:1">
      <c r="A32" s="175" t="s">
        <v>248</v>
      </c>
    </row>
    <row r="33" spans="1:1">
      <c r="A33" s="175" t="s">
        <v>249</v>
      </c>
    </row>
    <row r="34" spans="1:1">
      <c r="A34" s="175" t="s">
        <v>239</v>
      </c>
    </row>
    <row r="35" spans="1:1">
      <c r="A35" s="176"/>
    </row>
    <row r="36" spans="1:1">
      <c r="A36" s="175" t="s">
        <v>251</v>
      </c>
    </row>
    <row r="37" spans="1:1">
      <c r="A37" s="175" t="s">
        <v>252</v>
      </c>
    </row>
    <row r="38" spans="1:1">
      <c r="A38" s="175" t="s">
        <v>253</v>
      </c>
    </row>
    <row r="39" spans="1:1">
      <c r="A39" s="175" t="s">
        <v>254</v>
      </c>
    </row>
    <row r="40" spans="1:1">
      <c r="A40" s="175" t="s">
        <v>255</v>
      </c>
    </row>
    <row r="41" spans="1:1">
      <c r="A41" s="175" t="s">
        <v>256</v>
      </c>
    </row>
    <row r="42" spans="1:1">
      <c r="A42" s="175" t="s">
        <v>258</v>
      </c>
    </row>
    <row r="43" spans="1:1">
      <c r="A43" s="175" t="s">
        <v>257</v>
      </c>
    </row>
    <row r="44" spans="1:1">
      <c r="A44" s="175" t="s">
        <v>239</v>
      </c>
    </row>
    <row r="45" spans="1:1">
      <c r="A45" s="176"/>
    </row>
    <row r="46" spans="1:1">
      <c r="A46" s="175" t="s">
        <v>259</v>
      </c>
    </row>
    <row r="47" spans="1:1">
      <c r="A47" s="175" t="s">
        <v>260</v>
      </c>
    </row>
    <row r="48" spans="1:1">
      <c r="A48" s="175" t="s">
        <v>261</v>
      </c>
    </row>
    <row r="49" spans="1:1">
      <c r="A49" s="175" t="s">
        <v>262</v>
      </c>
    </row>
    <row r="50" spans="1:1">
      <c r="A50" s="175" t="s">
        <v>263</v>
      </c>
    </row>
    <row r="51" spans="1:1">
      <c r="A51" s="175" t="s">
        <v>239</v>
      </c>
    </row>
    <row r="52" spans="1:1">
      <c r="A52" s="176"/>
    </row>
    <row r="53" spans="1:1">
      <c r="A53" s="175" t="s">
        <v>278</v>
      </c>
    </row>
    <row r="54" spans="1:1">
      <c r="A54" s="175" t="s">
        <v>279</v>
      </c>
    </row>
    <row r="55" spans="1:1">
      <c r="A55" s="176" t="s">
        <v>280</v>
      </c>
    </row>
    <row r="56" spans="1:1">
      <c r="A56" s="176" t="s">
        <v>281</v>
      </c>
    </row>
    <row r="57" spans="1:1">
      <c r="A57" s="176" t="s">
        <v>282</v>
      </c>
    </row>
    <row r="58" spans="1:1">
      <c r="A58" s="176" t="s">
        <v>239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5"/>
  <sheetViews>
    <sheetView zoomScale="80" zoomScaleNormal="80" workbookViewId="0">
      <selection activeCell="E8" sqref="E8"/>
    </sheetView>
  </sheetViews>
  <sheetFormatPr defaultRowHeight="13.2"/>
  <cols>
    <col min="1" max="1" width="11.109375" customWidth="1"/>
    <col min="2" max="2" width="11.6640625" style="131" bestFit="1" customWidth="1"/>
    <col min="3" max="3" width="10.109375" style="131" bestFit="1" customWidth="1"/>
    <col min="4" max="4" width="12.33203125" style="131" customWidth="1"/>
    <col min="5" max="5" width="17.6640625" bestFit="1" customWidth="1"/>
    <col min="6" max="6" width="11.6640625" style="44" bestFit="1" customWidth="1"/>
    <col min="7" max="7" width="10" customWidth="1"/>
  </cols>
  <sheetData>
    <row r="1" spans="1:68" s="130" customFormat="1" ht="14.4">
      <c r="A1" s="129" t="s">
        <v>181</v>
      </c>
      <c r="B1" s="133" t="s">
        <v>185</v>
      </c>
      <c r="C1" s="133" t="s">
        <v>186</v>
      </c>
      <c r="D1" s="133" t="s">
        <v>187</v>
      </c>
      <c r="E1" s="129" t="s">
        <v>180</v>
      </c>
      <c r="F1" s="129" t="s">
        <v>183</v>
      </c>
      <c r="G1" s="129" t="s">
        <v>184</v>
      </c>
      <c r="H1" s="129">
        <v>1960</v>
      </c>
      <c r="I1" s="129">
        <v>1961</v>
      </c>
      <c r="J1" s="129">
        <v>1962</v>
      </c>
      <c r="K1" s="129">
        <v>1963</v>
      </c>
      <c r="L1" s="129">
        <v>1964</v>
      </c>
      <c r="M1" s="129">
        <v>1965</v>
      </c>
      <c r="N1" s="129">
        <v>1966</v>
      </c>
      <c r="O1" s="129">
        <v>1967</v>
      </c>
      <c r="P1" s="129">
        <v>1968</v>
      </c>
      <c r="Q1" s="129">
        <v>1969</v>
      </c>
      <c r="R1" s="129">
        <v>1970</v>
      </c>
      <c r="S1" s="129">
        <v>1971</v>
      </c>
      <c r="T1" s="129">
        <v>1972</v>
      </c>
      <c r="U1" s="129">
        <v>1973</v>
      </c>
      <c r="V1" s="129">
        <v>1974</v>
      </c>
      <c r="W1" s="129">
        <v>1975</v>
      </c>
      <c r="X1" s="129">
        <v>1976</v>
      </c>
      <c r="Y1" s="129">
        <v>1977</v>
      </c>
      <c r="Z1" s="129">
        <v>1978</v>
      </c>
      <c r="AA1" s="129">
        <v>1979</v>
      </c>
      <c r="AB1" s="129">
        <v>1980</v>
      </c>
      <c r="AC1" s="129">
        <v>1981</v>
      </c>
      <c r="AD1" s="129">
        <v>1982</v>
      </c>
      <c r="AE1" s="129">
        <v>1983</v>
      </c>
      <c r="AF1" s="129">
        <v>1984</v>
      </c>
      <c r="AG1" s="129">
        <v>1985</v>
      </c>
      <c r="AH1" s="129">
        <v>1986</v>
      </c>
      <c r="AI1" s="129">
        <v>1987</v>
      </c>
      <c r="AJ1" s="129">
        <v>1988</v>
      </c>
      <c r="AK1" s="129">
        <v>1989</v>
      </c>
      <c r="AL1" s="129">
        <v>1990</v>
      </c>
      <c r="AM1" s="129">
        <v>1991</v>
      </c>
      <c r="AN1" s="129">
        <v>1992</v>
      </c>
      <c r="AO1" s="129">
        <v>1993</v>
      </c>
      <c r="AP1" s="129">
        <v>1994</v>
      </c>
      <c r="AQ1" s="129">
        <v>1995</v>
      </c>
      <c r="AR1" s="129">
        <v>1996</v>
      </c>
      <c r="AS1" s="129">
        <v>1997</v>
      </c>
      <c r="AT1" s="129">
        <v>1998</v>
      </c>
      <c r="AU1" s="129">
        <v>1999</v>
      </c>
      <c r="AV1" s="129">
        <v>2000</v>
      </c>
      <c r="AW1" s="129">
        <v>2001</v>
      </c>
      <c r="AX1" s="129">
        <v>2002</v>
      </c>
      <c r="AY1" s="129">
        <v>2003</v>
      </c>
      <c r="AZ1" s="129">
        <v>2004</v>
      </c>
      <c r="BA1" s="129">
        <v>2005</v>
      </c>
      <c r="BB1" s="129">
        <v>2006</v>
      </c>
      <c r="BC1" s="129">
        <v>2007</v>
      </c>
      <c r="BD1" s="129">
        <v>2008</v>
      </c>
      <c r="BE1" s="129">
        <v>2009</v>
      </c>
      <c r="BF1" s="129">
        <v>2010</v>
      </c>
      <c r="BG1" s="129">
        <v>2011</v>
      </c>
      <c r="BH1" s="129">
        <v>2012</v>
      </c>
      <c r="BI1" s="129">
        <v>2013</v>
      </c>
      <c r="BJ1" s="129">
        <v>2014</v>
      </c>
      <c r="BK1" s="129">
        <v>2015</v>
      </c>
      <c r="BL1" s="129">
        <v>2016</v>
      </c>
      <c r="BM1" s="129">
        <v>2017</v>
      </c>
      <c r="BN1" s="129">
        <v>2018</v>
      </c>
      <c r="BO1" s="129">
        <v>2019</v>
      </c>
      <c r="BP1" s="129">
        <v>2020</v>
      </c>
    </row>
    <row r="2" spans="1:68" s="131" customFormat="1">
      <c r="A2" s="131" t="s">
        <v>276</v>
      </c>
      <c r="B2" s="134" t="s">
        <v>188</v>
      </c>
      <c r="C2" s="134" t="s">
        <v>189</v>
      </c>
      <c r="D2" s="134" t="s">
        <v>190</v>
      </c>
      <c r="E2" s="131" t="s">
        <v>192</v>
      </c>
      <c r="F2" s="134" t="s">
        <v>275</v>
      </c>
      <c r="G2" s="131" t="s">
        <v>191</v>
      </c>
      <c r="H2" s="132">
        <f t="array" ref="H2:BP2">TRANSPOSE(Calcs!B3:B63)</f>
        <v>0.06</v>
      </c>
      <c r="I2" s="132">
        <v>0.06</v>
      </c>
      <c r="J2" s="132">
        <v>0.06</v>
      </c>
      <c r="K2" s="132">
        <v>0.06</v>
      </c>
      <c r="L2" s="132">
        <v>0.06</v>
      </c>
      <c r="M2" s="132">
        <v>0.06</v>
      </c>
      <c r="N2" s="132">
        <v>0.06</v>
      </c>
      <c r="O2" s="132">
        <v>0.06</v>
      </c>
      <c r="P2" s="132">
        <v>0.06</v>
      </c>
      <c r="Q2" s="132">
        <v>0.06</v>
      </c>
      <c r="R2" s="132">
        <v>0.06</v>
      </c>
      <c r="S2" s="132">
        <v>0.06</v>
      </c>
      <c r="T2" s="132">
        <v>0.06</v>
      </c>
      <c r="U2" s="132">
        <v>0.06</v>
      </c>
      <c r="V2" s="132">
        <v>0.06</v>
      </c>
      <c r="W2" s="132">
        <v>0.06</v>
      </c>
      <c r="X2" s="132">
        <v>0.06</v>
      </c>
      <c r="Y2" s="132">
        <v>0.06</v>
      </c>
      <c r="Z2" s="132">
        <v>0.06</v>
      </c>
      <c r="AA2" s="132">
        <v>0.06</v>
      </c>
      <c r="AB2" s="132">
        <v>0.06</v>
      </c>
      <c r="AC2" s="132">
        <v>0.06</v>
      </c>
      <c r="AD2" s="132">
        <v>0.06</v>
      </c>
      <c r="AE2" s="132">
        <v>0.06</v>
      </c>
      <c r="AF2" s="132">
        <v>0.06</v>
      </c>
      <c r="AG2" s="132">
        <v>0.06</v>
      </c>
      <c r="AH2" s="132">
        <v>0.06</v>
      </c>
      <c r="AI2" s="132">
        <v>0.06</v>
      </c>
      <c r="AJ2" s="132">
        <v>0.06</v>
      </c>
      <c r="AK2" s="132">
        <v>0.06</v>
      </c>
      <c r="AL2" s="132">
        <v>0.06</v>
      </c>
      <c r="AM2" s="132">
        <v>0.06</v>
      </c>
      <c r="AN2" s="132">
        <v>0.06</v>
      </c>
      <c r="AO2" s="132">
        <v>0.06</v>
      </c>
      <c r="AP2" s="132">
        <v>0.06</v>
      </c>
      <c r="AQ2" s="132">
        <v>0.06</v>
      </c>
      <c r="AR2" s="132">
        <v>0.06</v>
      </c>
      <c r="AS2" s="132">
        <v>0.06</v>
      </c>
      <c r="AT2" s="132">
        <v>0.06</v>
      </c>
      <c r="AU2" s="132">
        <v>0.06</v>
      </c>
      <c r="AV2" s="132">
        <v>0.06</v>
      </c>
      <c r="AW2" s="132">
        <v>0.06</v>
      </c>
      <c r="AX2" s="132">
        <v>0.06</v>
      </c>
      <c r="AY2" s="132">
        <v>0.06</v>
      </c>
      <c r="AZ2" s="132">
        <v>0.06</v>
      </c>
      <c r="BA2" s="132">
        <v>0.06</v>
      </c>
      <c r="BB2" s="132">
        <v>0.06</v>
      </c>
      <c r="BC2" s="132">
        <v>0.06</v>
      </c>
      <c r="BD2" s="132">
        <v>0.06</v>
      </c>
      <c r="BE2" s="132">
        <v>0.06</v>
      </c>
      <c r="BF2" s="132">
        <v>0.06</v>
      </c>
      <c r="BG2" s="132">
        <v>0.06</v>
      </c>
      <c r="BH2" s="132">
        <v>0.06</v>
      </c>
      <c r="BI2" s="132">
        <v>0.06</v>
      </c>
      <c r="BJ2" s="132">
        <v>0.06</v>
      </c>
      <c r="BK2" s="132">
        <v>0.06</v>
      </c>
      <c r="BL2" s="132">
        <v>0.06</v>
      </c>
      <c r="BM2" s="132">
        <v>0.06</v>
      </c>
      <c r="BN2" s="132">
        <v>0.06</v>
      </c>
      <c r="BO2" s="132">
        <v>0.06</v>
      </c>
      <c r="BP2" s="132">
        <v>0.06</v>
      </c>
    </row>
    <row r="3" spans="1:68">
      <c r="B3" s="134"/>
      <c r="C3" s="134"/>
      <c r="D3" s="134"/>
    </row>
    <row r="4" spans="1:68" ht="14.4">
      <c r="B4" s="135"/>
      <c r="C4" s="135"/>
      <c r="D4" s="135"/>
    </row>
    <row r="5" spans="1:68" ht="14.4">
      <c r="B5" s="135"/>
      <c r="C5" s="135"/>
      <c r="D5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3"/>
  <sheetViews>
    <sheetView zoomScale="80" zoomScaleNormal="80" workbookViewId="0">
      <selection activeCell="I5" sqref="I5"/>
    </sheetView>
  </sheetViews>
  <sheetFormatPr defaultColWidth="9.109375" defaultRowHeight="15.6"/>
  <cols>
    <col min="1" max="1" width="9.109375" style="137"/>
    <col min="2" max="2" width="13" style="137" bestFit="1" customWidth="1"/>
    <col min="3" max="3" width="25.6640625" style="137" bestFit="1" customWidth="1"/>
    <col min="4" max="4" width="22.109375" style="137" bestFit="1" customWidth="1"/>
    <col min="5" max="9" width="9.109375" style="137"/>
    <col min="10" max="10" width="11.6640625" style="137" bestFit="1" customWidth="1"/>
    <col min="11" max="16384" width="9.109375" style="137"/>
  </cols>
  <sheetData>
    <row r="1" spans="1:10">
      <c r="B1" s="138" t="s">
        <v>182</v>
      </c>
      <c r="C1" s="138"/>
      <c r="D1" s="139"/>
    </row>
    <row r="2" spans="1:10" s="140" customFormat="1">
      <c r="A2" s="140" t="s">
        <v>194</v>
      </c>
      <c r="B2" s="140" t="s">
        <v>195</v>
      </c>
      <c r="C2" s="140" t="s">
        <v>196</v>
      </c>
      <c r="D2" s="140" t="s">
        <v>197</v>
      </c>
    </row>
    <row r="3" spans="1:10">
      <c r="A3" s="137">
        <v>1960</v>
      </c>
      <c r="B3" s="141">
        <f>Rhodes_2020!$C$6</f>
        <v>0.06</v>
      </c>
      <c r="C3" s="141" t="s">
        <v>211</v>
      </c>
      <c r="D3" s="137" t="s">
        <v>213</v>
      </c>
    </row>
    <row r="4" spans="1:10">
      <c r="A4" s="137">
        <v>1961</v>
      </c>
      <c r="B4" s="141">
        <f>Rhodes_2020!$C$6</f>
        <v>0.06</v>
      </c>
      <c r="C4" s="141" t="s">
        <v>211</v>
      </c>
      <c r="D4" s="137" t="s">
        <v>213</v>
      </c>
    </row>
    <row r="5" spans="1:10">
      <c r="A5" s="137">
        <v>1962</v>
      </c>
      <c r="B5" s="141">
        <f>Rhodes_2020!$C$6</f>
        <v>0.06</v>
      </c>
      <c r="C5" s="141" t="s">
        <v>211</v>
      </c>
      <c r="D5" s="137" t="s">
        <v>213</v>
      </c>
    </row>
    <row r="6" spans="1:10">
      <c r="A6" s="137">
        <v>1963</v>
      </c>
      <c r="B6" s="141">
        <f>Rhodes_2020!$C$6</f>
        <v>0.06</v>
      </c>
      <c r="C6" s="141" t="s">
        <v>211</v>
      </c>
      <c r="D6" s="137" t="s">
        <v>213</v>
      </c>
    </row>
    <row r="7" spans="1:10">
      <c r="A7" s="137">
        <v>1964</v>
      </c>
      <c r="B7" s="141">
        <f>Rhodes_2020!$C$6</f>
        <v>0.06</v>
      </c>
      <c r="C7" s="141" t="s">
        <v>211</v>
      </c>
      <c r="D7" s="137" t="s">
        <v>213</v>
      </c>
      <c r="H7" s="152" t="s">
        <v>223</v>
      </c>
      <c r="I7" s="153">
        <v>0.06</v>
      </c>
      <c r="J7" s="154" t="s">
        <v>230</v>
      </c>
    </row>
    <row r="8" spans="1:10">
      <c r="A8" s="137">
        <v>1965</v>
      </c>
      <c r="B8" s="141">
        <f>Rhodes_2020!$C$6</f>
        <v>0.06</v>
      </c>
      <c r="C8" s="141" t="s">
        <v>211</v>
      </c>
      <c r="D8" s="137" t="s">
        <v>213</v>
      </c>
      <c r="H8" s="150" t="s">
        <v>224</v>
      </c>
      <c r="I8" s="141">
        <v>5.7000000000000002E-2</v>
      </c>
      <c r="J8" s="137">
        <v>1921</v>
      </c>
    </row>
    <row r="9" spans="1:10">
      <c r="A9" s="137">
        <v>1966</v>
      </c>
      <c r="B9" s="141">
        <f>Rhodes_2020!$C$6</f>
        <v>0.06</v>
      </c>
      <c r="C9" s="141" t="s">
        <v>211</v>
      </c>
      <c r="D9" s="137" t="s">
        <v>213</v>
      </c>
      <c r="H9" s="150" t="s">
        <v>228</v>
      </c>
      <c r="I9" s="151">
        <v>0.06</v>
      </c>
      <c r="J9" s="137">
        <v>1950</v>
      </c>
    </row>
    <row r="10" spans="1:10">
      <c r="A10" s="137">
        <v>1967</v>
      </c>
      <c r="B10" s="141">
        <f>Rhodes_2020!$C$6</f>
        <v>0.06</v>
      </c>
      <c r="C10" s="141" t="s">
        <v>211</v>
      </c>
      <c r="D10" s="137" t="s">
        <v>213</v>
      </c>
      <c r="H10" s="150" t="s">
        <v>229</v>
      </c>
      <c r="I10" s="151">
        <v>5.5E-2</v>
      </c>
      <c r="J10" s="137">
        <v>1950</v>
      </c>
    </row>
    <row r="11" spans="1:10">
      <c r="A11" s="137">
        <v>1968</v>
      </c>
      <c r="B11" s="141">
        <f>Rhodes_2020!$C$6</f>
        <v>0.06</v>
      </c>
      <c r="C11" s="141" t="s">
        <v>211</v>
      </c>
      <c r="D11" s="137" t="s">
        <v>213</v>
      </c>
      <c r="H11" s="150" t="s">
        <v>226</v>
      </c>
      <c r="I11" s="151">
        <v>0.06</v>
      </c>
      <c r="J11" s="137" t="s">
        <v>227</v>
      </c>
    </row>
    <row r="12" spans="1:10">
      <c r="A12" s="137">
        <v>1969</v>
      </c>
      <c r="B12" s="141">
        <f>Rhodes_2020!$C$6</f>
        <v>0.06</v>
      </c>
      <c r="C12" s="141" t="s">
        <v>211</v>
      </c>
      <c r="D12" s="137" t="s">
        <v>213</v>
      </c>
      <c r="H12" s="150" t="s">
        <v>225</v>
      </c>
      <c r="I12" s="141">
        <v>6.5000000000000002E-2</v>
      </c>
      <c r="J12" s="137">
        <v>1960</v>
      </c>
    </row>
    <row r="13" spans="1:10">
      <c r="A13" s="137">
        <v>1970</v>
      </c>
      <c r="B13" s="141">
        <f>Rhodes_2020!$C$6</f>
        <v>0.06</v>
      </c>
      <c r="C13" s="141" t="s">
        <v>211</v>
      </c>
      <c r="D13" s="137" t="s">
        <v>213</v>
      </c>
      <c r="H13" s="150" t="s">
        <v>273</v>
      </c>
      <c r="I13" s="155">
        <v>0.06</v>
      </c>
      <c r="J13" s="137">
        <v>1990</v>
      </c>
    </row>
    <row r="14" spans="1:10">
      <c r="A14" s="137">
        <v>1971</v>
      </c>
      <c r="B14" s="141">
        <f>Rhodes_2020!$C$6</f>
        <v>0.06</v>
      </c>
      <c r="C14" s="141" t="s">
        <v>211</v>
      </c>
      <c r="D14" s="137" t="s">
        <v>213</v>
      </c>
    </row>
    <row r="15" spans="1:10">
      <c r="A15" s="137">
        <v>1972</v>
      </c>
      <c r="B15" s="141">
        <f>Rhodes_2020!$C$6</f>
        <v>0.06</v>
      </c>
      <c r="C15" s="141" t="s">
        <v>211</v>
      </c>
      <c r="D15" s="137" t="s">
        <v>213</v>
      </c>
    </row>
    <row r="16" spans="1:10">
      <c r="A16" s="137">
        <v>1973</v>
      </c>
      <c r="B16" s="141">
        <f>Rhodes_2020!$C$6</f>
        <v>0.06</v>
      </c>
      <c r="C16" s="141" t="s">
        <v>211</v>
      </c>
      <c r="D16" s="137" t="s">
        <v>213</v>
      </c>
    </row>
    <row r="17" spans="1:4">
      <c r="A17" s="137">
        <v>1974</v>
      </c>
      <c r="B17" s="141">
        <f>Rhodes_2020!$C$6</f>
        <v>0.06</v>
      </c>
      <c r="C17" s="141" t="s">
        <v>211</v>
      </c>
      <c r="D17" s="137" t="s">
        <v>213</v>
      </c>
    </row>
    <row r="18" spans="1:4">
      <c r="A18" s="137">
        <v>1975</v>
      </c>
      <c r="B18" s="141">
        <f>Rhodes_2020!$C$6</f>
        <v>0.06</v>
      </c>
      <c r="C18" s="141" t="s">
        <v>211</v>
      </c>
      <c r="D18" s="137" t="s">
        <v>213</v>
      </c>
    </row>
    <row r="19" spans="1:4">
      <c r="A19" s="137">
        <v>1976</v>
      </c>
      <c r="B19" s="141">
        <f>Rhodes_2020!$C$6</f>
        <v>0.06</v>
      </c>
      <c r="C19" s="141" t="s">
        <v>211</v>
      </c>
      <c r="D19" s="137" t="s">
        <v>213</v>
      </c>
    </row>
    <row r="20" spans="1:4">
      <c r="A20" s="137">
        <v>1977</v>
      </c>
      <c r="B20" s="141">
        <f>Rhodes_2020!$C$6</f>
        <v>0.06</v>
      </c>
      <c r="C20" s="141" t="s">
        <v>211</v>
      </c>
      <c r="D20" s="137" t="s">
        <v>213</v>
      </c>
    </row>
    <row r="21" spans="1:4">
      <c r="A21" s="137">
        <v>1978</v>
      </c>
      <c r="B21" s="141">
        <f>Rhodes_2020!$C$6</f>
        <v>0.06</v>
      </c>
      <c r="C21" s="141" t="s">
        <v>211</v>
      </c>
      <c r="D21" s="137" t="s">
        <v>213</v>
      </c>
    </row>
    <row r="22" spans="1:4">
      <c r="A22" s="137">
        <v>1979</v>
      </c>
      <c r="B22" s="141">
        <f>Rhodes_2020!$C$6</f>
        <v>0.06</v>
      </c>
      <c r="C22" s="141" t="s">
        <v>211</v>
      </c>
      <c r="D22" s="137" t="s">
        <v>213</v>
      </c>
    </row>
    <row r="23" spans="1:4">
      <c r="A23" s="137">
        <v>1980</v>
      </c>
      <c r="B23" s="141">
        <f>Rhodes_2020!$C$6</f>
        <v>0.06</v>
      </c>
      <c r="C23" s="141" t="s">
        <v>211</v>
      </c>
      <c r="D23" s="137" t="s">
        <v>213</v>
      </c>
    </row>
    <row r="24" spans="1:4">
      <c r="A24" s="137">
        <v>1981</v>
      </c>
      <c r="B24" s="141">
        <f>Rhodes_2020!$C$6</f>
        <v>0.06</v>
      </c>
      <c r="C24" s="141" t="s">
        <v>211</v>
      </c>
      <c r="D24" s="137" t="s">
        <v>213</v>
      </c>
    </row>
    <row r="25" spans="1:4">
      <c r="A25" s="137">
        <v>1982</v>
      </c>
      <c r="B25" s="141">
        <f>Rhodes_2020!$C$6</f>
        <v>0.06</v>
      </c>
      <c r="C25" s="141" t="s">
        <v>211</v>
      </c>
      <c r="D25" s="137" t="s">
        <v>213</v>
      </c>
    </row>
    <row r="26" spans="1:4">
      <c r="A26" s="137">
        <v>1983</v>
      </c>
      <c r="B26" s="141">
        <f>Rhodes_2020!$C$6</f>
        <v>0.06</v>
      </c>
      <c r="C26" s="141" t="s">
        <v>211</v>
      </c>
      <c r="D26" s="137" t="s">
        <v>213</v>
      </c>
    </row>
    <row r="27" spans="1:4">
      <c r="A27" s="137">
        <v>1984</v>
      </c>
      <c r="B27" s="141">
        <f>Rhodes_2020!$C$6</f>
        <v>0.06</v>
      </c>
      <c r="C27" s="141" t="s">
        <v>211</v>
      </c>
      <c r="D27" s="137" t="s">
        <v>213</v>
      </c>
    </row>
    <row r="28" spans="1:4">
      <c r="A28" s="137">
        <v>1985</v>
      </c>
      <c r="B28" s="141">
        <f>Rhodes_2020!$C$6</f>
        <v>0.06</v>
      </c>
      <c r="C28" s="141" t="s">
        <v>211</v>
      </c>
      <c r="D28" s="137" t="s">
        <v>213</v>
      </c>
    </row>
    <row r="29" spans="1:4">
      <c r="A29" s="137">
        <v>1986</v>
      </c>
      <c r="B29" s="141">
        <f>Rhodes_2020!$C$6</f>
        <v>0.06</v>
      </c>
      <c r="C29" s="141" t="s">
        <v>211</v>
      </c>
      <c r="D29" s="137" t="s">
        <v>213</v>
      </c>
    </row>
    <row r="30" spans="1:4">
      <c r="A30" s="137">
        <v>1987</v>
      </c>
      <c r="B30" s="141">
        <f>Rhodes_2020!$C$6</f>
        <v>0.06</v>
      </c>
      <c r="C30" s="141" t="s">
        <v>211</v>
      </c>
      <c r="D30" s="137" t="s">
        <v>213</v>
      </c>
    </row>
    <row r="31" spans="1:4">
      <c r="A31" s="137">
        <v>1988</v>
      </c>
      <c r="B31" s="141">
        <f>Rhodes_2020!$C$6</f>
        <v>0.06</v>
      </c>
      <c r="C31" s="141" t="s">
        <v>211</v>
      </c>
      <c r="D31" s="137" t="s">
        <v>213</v>
      </c>
    </row>
    <row r="32" spans="1:4">
      <c r="A32" s="137">
        <v>1989</v>
      </c>
      <c r="B32" s="141">
        <f>Rhodes_2020!$C$6</f>
        <v>0.06</v>
      </c>
      <c r="C32" s="141" t="s">
        <v>211</v>
      </c>
      <c r="D32" s="137" t="s">
        <v>213</v>
      </c>
    </row>
    <row r="33" spans="1:4">
      <c r="A33" s="137">
        <v>1990</v>
      </c>
      <c r="B33" s="141">
        <f>Rhodes_2020!$C$6</f>
        <v>0.06</v>
      </c>
      <c r="C33" s="141" t="s">
        <v>211</v>
      </c>
      <c r="D33" s="137" t="s">
        <v>213</v>
      </c>
    </row>
    <row r="34" spans="1:4">
      <c r="A34" s="137">
        <v>1991</v>
      </c>
      <c r="B34" s="141">
        <f>Rhodes_2020!$C$6</f>
        <v>0.06</v>
      </c>
      <c r="C34" s="141" t="s">
        <v>211</v>
      </c>
      <c r="D34" s="137" t="s">
        <v>213</v>
      </c>
    </row>
    <row r="35" spans="1:4">
      <c r="A35" s="137">
        <v>1992</v>
      </c>
      <c r="B35" s="141">
        <f>Rhodes_2020!$C$6</f>
        <v>0.06</v>
      </c>
      <c r="C35" s="141" t="s">
        <v>211</v>
      </c>
      <c r="D35" s="137" t="s">
        <v>213</v>
      </c>
    </row>
    <row r="36" spans="1:4">
      <c r="A36" s="137">
        <v>1993</v>
      </c>
      <c r="B36" s="141">
        <f>Rhodes_2020!$C$6</f>
        <v>0.06</v>
      </c>
      <c r="C36" s="141" t="s">
        <v>211</v>
      </c>
      <c r="D36" s="137" t="s">
        <v>213</v>
      </c>
    </row>
    <row r="37" spans="1:4">
      <c r="A37" s="137">
        <v>1994</v>
      </c>
      <c r="B37" s="141">
        <f>Rhodes_2020!$C$6</f>
        <v>0.06</v>
      </c>
      <c r="C37" s="141" t="s">
        <v>211</v>
      </c>
      <c r="D37" s="137" t="s">
        <v>213</v>
      </c>
    </row>
    <row r="38" spans="1:4">
      <c r="A38" s="137">
        <v>1995</v>
      </c>
      <c r="B38" s="141">
        <f>Rhodes_2020!$C$6</f>
        <v>0.06</v>
      </c>
      <c r="C38" s="141" t="s">
        <v>211</v>
      </c>
      <c r="D38" s="137" t="s">
        <v>213</v>
      </c>
    </row>
    <row r="39" spans="1:4">
      <c r="A39" s="137">
        <v>1996</v>
      </c>
      <c r="B39" s="141">
        <f>Rhodes_2020!$C$6</f>
        <v>0.06</v>
      </c>
      <c r="C39" s="141" t="s">
        <v>211</v>
      </c>
      <c r="D39" s="137" t="s">
        <v>213</v>
      </c>
    </row>
    <row r="40" spans="1:4">
      <c r="A40" s="137">
        <v>1997</v>
      </c>
      <c r="B40" s="141">
        <f>Rhodes_2020!$C$6</f>
        <v>0.06</v>
      </c>
      <c r="C40" s="141" t="s">
        <v>211</v>
      </c>
      <c r="D40" s="137" t="s">
        <v>213</v>
      </c>
    </row>
    <row r="41" spans="1:4">
      <c r="A41" s="137">
        <v>1998</v>
      </c>
      <c r="B41" s="141">
        <f>Rhodes_2020!$C$6</f>
        <v>0.06</v>
      </c>
      <c r="C41" s="141" t="s">
        <v>211</v>
      </c>
      <c r="D41" s="137" t="s">
        <v>213</v>
      </c>
    </row>
    <row r="42" spans="1:4">
      <c r="A42" s="137">
        <v>1999</v>
      </c>
      <c r="B42" s="141">
        <f>Rhodes_2020!$C$6</f>
        <v>0.06</v>
      </c>
      <c r="C42" s="141" t="s">
        <v>211</v>
      </c>
      <c r="D42" s="137" t="s">
        <v>213</v>
      </c>
    </row>
    <row r="43" spans="1:4">
      <c r="A43" s="137">
        <v>2000</v>
      </c>
      <c r="B43" s="141">
        <f>Rhodes_2020!$C$6</f>
        <v>0.06</v>
      </c>
      <c r="C43" s="141" t="s">
        <v>211</v>
      </c>
      <c r="D43" s="137" t="s">
        <v>213</v>
      </c>
    </row>
    <row r="44" spans="1:4">
      <c r="A44" s="137">
        <v>2001</v>
      </c>
      <c r="B44" s="141">
        <f>Rhodes_2020!$C$6</f>
        <v>0.06</v>
      </c>
      <c r="C44" s="141" t="s">
        <v>211</v>
      </c>
      <c r="D44" s="137" t="s">
        <v>213</v>
      </c>
    </row>
    <row r="45" spans="1:4">
      <c r="A45" s="137">
        <v>2002</v>
      </c>
      <c r="B45" s="141">
        <f>Rhodes_2020!$C$6</f>
        <v>0.06</v>
      </c>
      <c r="C45" s="141" t="s">
        <v>211</v>
      </c>
      <c r="D45" s="137" t="s">
        <v>213</v>
      </c>
    </row>
    <row r="46" spans="1:4">
      <c r="A46" s="137">
        <v>2003</v>
      </c>
      <c r="B46" s="141">
        <f>Rhodes_2020!$C$6</f>
        <v>0.06</v>
      </c>
      <c r="C46" s="141" t="s">
        <v>211</v>
      </c>
      <c r="D46" s="137" t="s">
        <v>213</v>
      </c>
    </row>
    <row r="47" spans="1:4">
      <c r="A47" s="137">
        <v>2004</v>
      </c>
      <c r="B47" s="141">
        <f>Rhodes_2020!$C$6</f>
        <v>0.06</v>
      </c>
      <c r="C47" s="141" t="s">
        <v>211</v>
      </c>
      <c r="D47" s="137" t="s">
        <v>213</v>
      </c>
    </row>
    <row r="48" spans="1:4">
      <c r="A48" s="137">
        <v>2005</v>
      </c>
      <c r="B48" s="141">
        <f>Rhodes_2020!$C$6</f>
        <v>0.06</v>
      </c>
      <c r="C48" s="141" t="s">
        <v>211</v>
      </c>
      <c r="D48" s="137" t="s">
        <v>213</v>
      </c>
    </row>
    <row r="49" spans="1:4">
      <c r="A49" s="137">
        <v>2006</v>
      </c>
      <c r="B49" s="141">
        <f>Rhodes_2020!$C$6</f>
        <v>0.06</v>
      </c>
      <c r="C49" s="141" t="s">
        <v>211</v>
      </c>
      <c r="D49" s="137" t="s">
        <v>213</v>
      </c>
    </row>
    <row r="50" spans="1:4">
      <c r="A50" s="137">
        <v>2007</v>
      </c>
      <c r="B50" s="141">
        <f>Rhodes_2020!$C$6</f>
        <v>0.06</v>
      </c>
      <c r="C50" s="141" t="s">
        <v>211</v>
      </c>
      <c r="D50" s="137" t="s">
        <v>213</v>
      </c>
    </row>
    <row r="51" spans="1:4">
      <c r="A51" s="137">
        <v>2008</v>
      </c>
      <c r="B51" s="141">
        <f>Rhodes_2020!$C$6</f>
        <v>0.06</v>
      </c>
      <c r="C51" s="141" t="s">
        <v>211</v>
      </c>
      <c r="D51" s="137" t="s">
        <v>213</v>
      </c>
    </row>
    <row r="52" spans="1:4">
      <c r="A52" s="137">
        <v>2009</v>
      </c>
      <c r="B52" s="141">
        <f>Rhodes_2020!$C$6</f>
        <v>0.06</v>
      </c>
      <c r="C52" s="141" t="s">
        <v>211</v>
      </c>
      <c r="D52" s="137" t="s">
        <v>213</v>
      </c>
    </row>
    <row r="53" spans="1:4">
      <c r="A53" s="137">
        <v>2010</v>
      </c>
      <c r="B53" s="141">
        <f>Rhodes_2020!$C$6</f>
        <v>0.06</v>
      </c>
      <c r="C53" s="141" t="s">
        <v>211</v>
      </c>
      <c r="D53" s="137" t="s">
        <v>213</v>
      </c>
    </row>
    <row r="54" spans="1:4">
      <c r="A54" s="137">
        <v>2011</v>
      </c>
      <c r="B54" s="141">
        <f>Rhodes_2020!$C$6</f>
        <v>0.06</v>
      </c>
      <c r="C54" s="141" t="s">
        <v>211</v>
      </c>
      <c r="D54" s="137" t="s">
        <v>213</v>
      </c>
    </row>
    <row r="55" spans="1:4">
      <c r="A55" s="137">
        <v>2012</v>
      </c>
      <c r="B55" s="141">
        <f>Rhodes_2020!$C$6</f>
        <v>0.06</v>
      </c>
      <c r="C55" s="141" t="s">
        <v>211</v>
      </c>
      <c r="D55" s="137" t="s">
        <v>213</v>
      </c>
    </row>
    <row r="56" spans="1:4">
      <c r="A56" s="137">
        <v>2013</v>
      </c>
      <c r="B56" s="141">
        <f>Rhodes_2020!$C$6</f>
        <v>0.06</v>
      </c>
      <c r="C56" s="141" t="s">
        <v>211</v>
      </c>
      <c r="D56" s="137" t="s">
        <v>213</v>
      </c>
    </row>
    <row r="57" spans="1:4">
      <c r="A57" s="137">
        <v>2014</v>
      </c>
      <c r="B57" s="141">
        <f>Rhodes_2020!$C$6</f>
        <v>0.06</v>
      </c>
      <c r="C57" s="141" t="s">
        <v>211</v>
      </c>
      <c r="D57" s="137" t="s">
        <v>213</v>
      </c>
    </row>
    <row r="58" spans="1:4">
      <c r="A58" s="137">
        <v>2015</v>
      </c>
      <c r="B58" s="141">
        <f>Rhodes_2020!$C$6</f>
        <v>0.06</v>
      </c>
      <c r="C58" s="141" t="s">
        <v>211</v>
      </c>
      <c r="D58" s="137" t="s">
        <v>213</v>
      </c>
    </row>
    <row r="59" spans="1:4">
      <c r="A59" s="137">
        <v>2016</v>
      </c>
      <c r="B59" s="141">
        <f>Rhodes_2020!$C$6</f>
        <v>0.06</v>
      </c>
      <c r="C59" s="141" t="s">
        <v>211</v>
      </c>
      <c r="D59" s="137" t="s">
        <v>213</v>
      </c>
    </row>
    <row r="60" spans="1:4">
      <c r="A60" s="137">
        <v>2017</v>
      </c>
      <c r="B60" s="141">
        <f>Rhodes_2020!$C$6</f>
        <v>0.06</v>
      </c>
      <c r="C60" s="141" t="s">
        <v>211</v>
      </c>
      <c r="D60" s="137" t="s">
        <v>213</v>
      </c>
    </row>
    <row r="61" spans="1:4">
      <c r="A61" s="137">
        <v>2018</v>
      </c>
      <c r="B61" s="141">
        <f>Rhodes_2020!$C$6</f>
        <v>0.06</v>
      </c>
      <c r="C61" s="141" t="s">
        <v>211</v>
      </c>
      <c r="D61" s="137" t="s">
        <v>213</v>
      </c>
    </row>
    <row r="62" spans="1:4">
      <c r="A62" s="137">
        <v>2019</v>
      </c>
      <c r="B62" s="141">
        <f>Rhodes_2020!$C$6</f>
        <v>0.06</v>
      </c>
      <c r="C62" s="141" t="s">
        <v>211</v>
      </c>
      <c r="D62" s="137" t="s">
        <v>213</v>
      </c>
    </row>
    <row r="63" spans="1:4">
      <c r="A63" s="137">
        <v>2020</v>
      </c>
      <c r="B63" s="141">
        <f>Rhodes_2020!$C$6</f>
        <v>0.06</v>
      </c>
      <c r="C63" s="141" t="s">
        <v>211</v>
      </c>
      <c r="D63" s="137" t="s">
        <v>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"/>
  <sheetViews>
    <sheetView topLeftCell="A30" workbookViewId="0">
      <selection activeCell="K36" sqref="K36"/>
    </sheetView>
  </sheetViews>
  <sheetFormatPr defaultRowHeight="13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B59"/>
  <sheetViews>
    <sheetView topLeftCell="A31" workbookViewId="0">
      <selection activeCell="K64" sqref="K64"/>
    </sheetView>
  </sheetViews>
  <sheetFormatPr defaultRowHeight="13.2"/>
  <sheetData>
    <row r="59" spans="2:2">
      <c r="B59" s="18" t="s">
        <v>219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14"/>
  <sheetViews>
    <sheetView workbookViewId="0">
      <selection activeCell="G19" sqref="G19"/>
    </sheetView>
  </sheetViews>
  <sheetFormatPr defaultRowHeight="13.2"/>
  <sheetData>
    <row r="1" spans="1:1" ht="14.4">
      <c r="A1" s="149" t="s">
        <v>214</v>
      </c>
    </row>
    <row r="2" spans="1:1" ht="14.4">
      <c r="A2" s="149"/>
    </row>
    <row r="4" spans="1:1" ht="14.4">
      <c r="A4" s="149"/>
    </row>
    <row r="5" spans="1:1" ht="14.4">
      <c r="A5" s="149" t="s">
        <v>215</v>
      </c>
    </row>
    <row r="14" spans="1:1">
      <c r="A14" s="18" t="s">
        <v>222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J40"/>
  <sheetViews>
    <sheetView topLeftCell="A34" workbookViewId="0">
      <selection activeCell="K65" sqref="K65"/>
    </sheetView>
  </sheetViews>
  <sheetFormatPr defaultRowHeight="13.2"/>
  <sheetData>
    <row r="1" spans="1:1">
      <c r="A1">
        <v>2008</v>
      </c>
    </row>
    <row r="38" spans="10:10">
      <c r="J38" s="18" t="s">
        <v>216</v>
      </c>
    </row>
    <row r="39" spans="10:10">
      <c r="J39" s="18" t="s">
        <v>217</v>
      </c>
    </row>
    <row r="40" spans="10:10">
      <c r="J40" s="18" t="s">
        <v>218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C6"/>
  <sheetViews>
    <sheetView zoomScale="80" zoomScaleNormal="80" workbookViewId="0">
      <selection activeCell="C7" sqref="C7"/>
    </sheetView>
  </sheetViews>
  <sheetFormatPr defaultRowHeight="13.2"/>
  <cols>
    <col min="1" max="1" width="12.88671875" customWidth="1"/>
    <col min="2" max="2" width="12" bestFit="1" customWidth="1"/>
    <col min="3" max="3" width="15.33203125" customWidth="1"/>
  </cols>
  <sheetData>
    <row r="1" spans="1:3">
      <c r="A1" s="18" t="s">
        <v>212</v>
      </c>
    </row>
    <row r="2" spans="1:3">
      <c r="A2" s="136" t="s">
        <v>201</v>
      </c>
    </row>
    <row r="5" spans="1:3">
      <c r="A5" s="158" t="s">
        <v>194</v>
      </c>
      <c r="B5" s="158" t="s">
        <v>180</v>
      </c>
      <c r="C5" s="158" t="s">
        <v>274</v>
      </c>
    </row>
    <row r="6" spans="1:3">
      <c r="A6" s="156" t="s">
        <v>227</v>
      </c>
      <c r="B6" s="156" t="s">
        <v>192</v>
      </c>
      <c r="C6" s="157">
        <v>0.06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B52"/>
  <sheetViews>
    <sheetView workbookViewId="0">
      <selection activeCell="I2" sqref="H2:I2"/>
    </sheetView>
  </sheetViews>
  <sheetFormatPr defaultRowHeight="13.2"/>
  <sheetData>
    <row r="1" spans="1:1" ht="14.4">
      <c r="A1" s="174" t="s">
        <v>277</v>
      </c>
    </row>
    <row r="2" spans="1:1">
      <c r="A2" s="148" t="s">
        <v>210</v>
      </c>
    </row>
    <row r="52" spans="2:2">
      <c r="B52" s="18" t="s">
        <v>221</v>
      </c>
    </row>
  </sheetData>
  <hyperlinks>
    <hyperlink ref="A2" r:id="rId1" xr:uid="{00000000-0004-0000-0800-000000000000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7"/>
  <sheetViews>
    <sheetView zoomScale="80" zoomScaleNormal="80" workbookViewId="0">
      <selection activeCell="A19" sqref="A19"/>
    </sheetView>
  </sheetViews>
  <sheetFormatPr defaultRowHeight="13.2"/>
  <cols>
    <col min="2" max="2" width="11.109375" customWidth="1"/>
    <col min="3" max="3" width="19.6640625" customWidth="1"/>
  </cols>
  <sheetData>
    <row r="1" spans="1:3">
      <c r="A1" s="142" t="s">
        <v>198</v>
      </c>
    </row>
    <row r="2" spans="1:3">
      <c r="A2" s="136" t="s">
        <v>193</v>
      </c>
    </row>
    <row r="5" spans="1:3">
      <c r="A5" s="143" t="s">
        <v>181</v>
      </c>
      <c r="B5" s="143" t="s">
        <v>194</v>
      </c>
      <c r="C5" s="143" t="s">
        <v>195</v>
      </c>
    </row>
    <row r="6" spans="1:3">
      <c r="A6" s="134" t="s">
        <v>200</v>
      </c>
      <c r="B6" s="134" t="s">
        <v>199</v>
      </c>
      <c r="C6" s="132">
        <v>7.8E-2</v>
      </c>
    </row>
    <row r="7" spans="1:3">
      <c r="A7" s="131"/>
      <c r="B7" s="131"/>
      <c r="C7" s="131"/>
    </row>
    <row r="8" spans="1:3">
      <c r="A8" s="131"/>
      <c r="B8" s="131"/>
      <c r="C8" s="131"/>
    </row>
    <row r="9" spans="1:3">
      <c r="A9" s="131"/>
      <c r="B9" s="131"/>
      <c r="C9" s="131"/>
    </row>
    <row r="10" spans="1:3">
      <c r="A10" s="131"/>
      <c r="B10" s="131"/>
      <c r="C10" s="131"/>
    </row>
    <row r="11" spans="1:3">
      <c r="A11" s="131"/>
      <c r="B11" s="131"/>
      <c r="C11" s="131"/>
    </row>
    <row r="12" spans="1:3">
      <c r="A12" s="21" t="s">
        <v>220</v>
      </c>
      <c r="B12" s="131"/>
      <c r="C12" s="131"/>
    </row>
    <row r="13" spans="1:3">
      <c r="A13" s="131"/>
      <c r="B13" s="131"/>
      <c r="C13" s="131"/>
    </row>
    <row r="14" spans="1:3">
      <c r="A14" s="131"/>
      <c r="B14" s="131"/>
      <c r="C14" s="131"/>
    </row>
    <row r="15" spans="1:3">
      <c r="A15" s="131"/>
      <c r="B15" s="131"/>
      <c r="C15" s="131"/>
    </row>
    <row r="16" spans="1:3">
      <c r="A16" s="131"/>
      <c r="B16" s="131"/>
      <c r="C16" s="131"/>
    </row>
    <row r="17" spans="1:3">
      <c r="A17" s="131"/>
      <c r="B17" s="131"/>
      <c r="C17" s="131"/>
    </row>
    <row r="18" spans="1:3">
      <c r="A18" s="131"/>
      <c r="B18" s="131"/>
      <c r="C18" s="131"/>
    </row>
    <row r="19" spans="1:3">
      <c r="A19" s="131"/>
      <c r="B19" s="131"/>
      <c r="C19" s="131"/>
    </row>
    <row r="20" spans="1:3">
      <c r="A20" s="131"/>
      <c r="B20" s="131"/>
      <c r="C20" s="131"/>
    </row>
    <row r="21" spans="1:3">
      <c r="A21" s="131"/>
      <c r="B21" s="131"/>
      <c r="C21" s="131"/>
    </row>
    <row r="22" spans="1:3">
      <c r="A22" s="131"/>
      <c r="B22" s="131"/>
      <c r="C22" s="131"/>
    </row>
    <row r="23" spans="1:3">
      <c r="A23" s="131"/>
      <c r="B23" s="131"/>
      <c r="C23" s="131"/>
    </row>
    <row r="24" spans="1:3">
      <c r="A24" s="131"/>
      <c r="B24" s="131"/>
      <c r="C24" s="131"/>
    </row>
    <row r="25" spans="1:3">
      <c r="A25" s="131"/>
      <c r="B25" s="131"/>
      <c r="C25" s="131"/>
    </row>
    <row r="26" spans="1:3">
      <c r="A26" s="131"/>
      <c r="B26" s="131"/>
      <c r="C26" s="131"/>
    </row>
    <row r="27" spans="1:3">
      <c r="A27" s="131"/>
      <c r="B27" s="131"/>
      <c r="C27" s="131"/>
    </row>
  </sheetData>
  <hyperlinks>
    <hyperlink ref="A2" r:id="rId1" xr:uid="{00000000-0004-0000-09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96"/>
  <sheetViews>
    <sheetView zoomScale="80" zoomScaleNormal="80" workbookViewId="0">
      <selection activeCell="L39" sqref="L39"/>
    </sheetView>
  </sheetViews>
  <sheetFormatPr defaultRowHeight="13.2"/>
  <cols>
    <col min="1" max="1" width="11.44140625" style="131" customWidth="1"/>
    <col min="2" max="2" width="10.109375" style="131" customWidth="1"/>
    <col min="3" max="3" width="23.6640625" style="131" customWidth="1"/>
    <col min="4" max="4" width="20.88671875" style="131" customWidth="1"/>
    <col min="5" max="5" width="23.5546875" style="131" bestFit="1" customWidth="1"/>
  </cols>
  <sheetData>
    <row r="1" spans="1:9" s="144" customFormat="1">
      <c r="A1" s="21" t="s">
        <v>202</v>
      </c>
      <c r="D1" s="131"/>
      <c r="E1" s="131"/>
    </row>
    <row r="2" spans="1:9" s="144" customFormat="1">
      <c r="A2" s="145" t="s">
        <v>203</v>
      </c>
      <c r="D2" s="131"/>
      <c r="E2" s="131"/>
    </row>
    <row r="3" spans="1:9" s="144" customFormat="1">
      <c r="A3" s="145"/>
      <c r="D3" s="131"/>
      <c r="E3" s="131"/>
    </row>
    <row r="5" spans="1:9">
      <c r="A5" s="143" t="s">
        <v>181</v>
      </c>
      <c r="B5" s="143" t="s">
        <v>194</v>
      </c>
      <c r="C5" s="143" t="s">
        <v>204</v>
      </c>
      <c r="D5" s="143" t="s">
        <v>197</v>
      </c>
      <c r="E5" s="143" t="s">
        <v>196</v>
      </c>
      <c r="H5" s="143"/>
      <c r="I5" s="143"/>
    </row>
    <row r="6" spans="1:9">
      <c r="A6" s="134" t="s">
        <v>208</v>
      </c>
      <c r="B6" s="131">
        <v>1830</v>
      </c>
      <c r="C6" s="132">
        <v>1.274E-2</v>
      </c>
      <c r="D6" s="134" t="s">
        <v>205</v>
      </c>
      <c r="E6" s="134" t="s">
        <v>209</v>
      </c>
      <c r="H6" s="134"/>
      <c r="I6" s="131"/>
    </row>
    <row r="7" spans="1:9">
      <c r="A7" s="134" t="s">
        <v>208</v>
      </c>
      <c r="B7" s="131">
        <v>1831</v>
      </c>
      <c r="C7" s="147">
        <f>C6+((C$16-C$6)/(B$16-B$6))</f>
        <v>1.2808999999999999E-2</v>
      </c>
      <c r="D7" s="146" t="s">
        <v>207</v>
      </c>
      <c r="E7" s="134" t="s">
        <v>209</v>
      </c>
      <c r="H7" s="134"/>
      <c r="I7" s="131"/>
    </row>
    <row r="8" spans="1:9">
      <c r="A8" s="134" t="s">
        <v>208</v>
      </c>
      <c r="B8" s="131">
        <v>1832</v>
      </c>
      <c r="C8" s="147">
        <f t="shared" ref="C8:C15" si="0">C7+((C$16-C$6)/(B$16-B$6))</f>
        <v>1.2877999999999999E-2</v>
      </c>
      <c r="D8" s="146" t="s">
        <v>207</v>
      </c>
      <c r="E8" s="134" t="s">
        <v>209</v>
      </c>
      <c r="H8" s="134"/>
      <c r="I8" s="131"/>
    </row>
    <row r="9" spans="1:9">
      <c r="A9" s="134" t="s">
        <v>208</v>
      </c>
      <c r="B9" s="131">
        <v>1833</v>
      </c>
      <c r="C9" s="147">
        <f t="shared" si="0"/>
        <v>1.2946999999999998E-2</v>
      </c>
      <c r="D9" s="146" t="s">
        <v>207</v>
      </c>
      <c r="E9" s="134" t="s">
        <v>209</v>
      </c>
      <c r="H9" s="134"/>
      <c r="I9" s="131"/>
    </row>
    <row r="10" spans="1:9">
      <c r="A10" s="134" t="s">
        <v>208</v>
      </c>
      <c r="B10" s="131">
        <v>1834</v>
      </c>
      <c r="C10" s="147">
        <f t="shared" si="0"/>
        <v>1.3015999999999998E-2</v>
      </c>
      <c r="D10" s="146" t="s">
        <v>207</v>
      </c>
      <c r="E10" s="134" t="s">
        <v>209</v>
      </c>
      <c r="H10" s="134"/>
      <c r="I10" s="131"/>
    </row>
    <row r="11" spans="1:9">
      <c r="A11" s="134" t="s">
        <v>208</v>
      </c>
      <c r="B11" s="131">
        <v>1835</v>
      </c>
      <c r="C11" s="147">
        <f t="shared" si="0"/>
        <v>1.3084999999999998E-2</v>
      </c>
      <c r="D11" s="146" t="s">
        <v>207</v>
      </c>
      <c r="E11" s="134" t="s">
        <v>209</v>
      </c>
      <c r="H11" s="134"/>
      <c r="I11" s="131"/>
    </row>
    <row r="12" spans="1:9">
      <c r="A12" s="134" t="s">
        <v>208</v>
      </c>
      <c r="B12" s="131">
        <v>1836</v>
      </c>
      <c r="C12" s="147">
        <f t="shared" si="0"/>
        <v>1.3153999999999997E-2</v>
      </c>
      <c r="D12" s="146" t="s">
        <v>207</v>
      </c>
      <c r="E12" s="134" t="s">
        <v>209</v>
      </c>
      <c r="H12" s="134"/>
      <c r="I12" s="131"/>
    </row>
    <row r="13" spans="1:9">
      <c r="A13" s="134" t="s">
        <v>208</v>
      </c>
      <c r="B13" s="131">
        <v>1837</v>
      </c>
      <c r="C13" s="147">
        <f t="shared" si="0"/>
        <v>1.3222999999999997E-2</v>
      </c>
      <c r="D13" s="146" t="s">
        <v>207</v>
      </c>
      <c r="E13" s="134" t="s">
        <v>209</v>
      </c>
      <c r="H13" s="134"/>
      <c r="I13" s="131"/>
    </row>
    <row r="14" spans="1:9">
      <c r="A14" s="134" t="s">
        <v>208</v>
      </c>
      <c r="B14" s="131">
        <v>1838</v>
      </c>
      <c r="C14" s="147">
        <f t="shared" si="0"/>
        <v>1.3291999999999997E-2</v>
      </c>
      <c r="D14" s="146" t="s">
        <v>207</v>
      </c>
      <c r="E14" s="134" t="s">
        <v>209</v>
      </c>
      <c r="H14" s="134"/>
      <c r="I14" s="131"/>
    </row>
    <row r="15" spans="1:9">
      <c r="A15" s="134" t="s">
        <v>208</v>
      </c>
      <c r="B15" s="131">
        <v>1839</v>
      </c>
      <c r="C15" s="147">
        <f t="shared" si="0"/>
        <v>1.3360999999999996E-2</v>
      </c>
      <c r="D15" s="146" t="s">
        <v>207</v>
      </c>
      <c r="E15" s="134" t="s">
        <v>209</v>
      </c>
      <c r="H15" s="134"/>
      <c r="I15" s="131"/>
    </row>
    <row r="16" spans="1:9">
      <c r="A16" s="134" t="s">
        <v>208</v>
      </c>
      <c r="B16" s="131">
        <v>1840</v>
      </c>
      <c r="C16" s="132">
        <v>1.3429999999999999E-2</v>
      </c>
      <c r="D16" s="134" t="s">
        <v>205</v>
      </c>
      <c r="E16" s="134" t="s">
        <v>209</v>
      </c>
      <c r="H16" s="134"/>
      <c r="I16" s="131"/>
    </row>
    <row r="17" spans="1:9">
      <c r="A17" s="134" t="s">
        <v>208</v>
      </c>
      <c r="B17" s="131">
        <v>1841</v>
      </c>
      <c r="C17" s="147">
        <f>C16+((C$26-C$16)/(B$26-B$16))</f>
        <v>1.3542999999999999E-2</v>
      </c>
      <c r="D17" s="146" t="s">
        <v>207</v>
      </c>
      <c r="E17" s="134" t="s">
        <v>209</v>
      </c>
      <c r="H17" s="134"/>
      <c r="I17" s="131"/>
    </row>
    <row r="18" spans="1:9">
      <c r="A18" s="134" t="s">
        <v>208</v>
      </c>
      <c r="B18" s="131">
        <v>1842</v>
      </c>
      <c r="C18" s="147">
        <f t="shared" ref="C18:C25" si="1">C17+((C$26-C$16)/(B$26-B$16))</f>
        <v>1.3656E-2</v>
      </c>
      <c r="D18" s="146" t="s">
        <v>207</v>
      </c>
      <c r="E18" s="134" t="s">
        <v>209</v>
      </c>
      <c r="H18" s="134"/>
      <c r="I18" s="131"/>
    </row>
    <row r="19" spans="1:9">
      <c r="A19" s="134" t="s">
        <v>208</v>
      </c>
      <c r="B19" s="131">
        <v>1843</v>
      </c>
      <c r="C19" s="147">
        <f t="shared" si="1"/>
        <v>1.3769E-2</v>
      </c>
      <c r="D19" s="146" t="s">
        <v>207</v>
      </c>
      <c r="E19" s="134" t="s">
        <v>209</v>
      </c>
      <c r="H19" s="134"/>
      <c r="I19" s="131"/>
    </row>
    <row r="20" spans="1:9">
      <c r="A20" s="134" t="s">
        <v>208</v>
      </c>
      <c r="B20" s="131">
        <v>1844</v>
      </c>
      <c r="C20" s="147">
        <f t="shared" si="1"/>
        <v>1.3882E-2</v>
      </c>
      <c r="D20" s="146" t="s">
        <v>207</v>
      </c>
      <c r="E20" s="134" t="s">
        <v>209</v>
      </c>
      <c r="H20" s="134"/>
      <c r="I20" s="131"/>
    </row>
    <row r="21" spans="1:9">
      <c r="A21" s="134" t="s">
        <v>208</v>
      </c>
      <c r="B21" s="131">
        <v>1845</v>
      </c>
      <c r="C21" s="147">
        <f t="shared" si="1"/>
        <v>1.3995E-2</v>
      </c>
      <c r="D21" s="146" t="s">
        <v>207</v>
      </c>
      <c r="E21" s="134" t="s">
        <v>209</v>
      </c>
      <c r="H21" s="134"/>
      <c r="I21" s="131"/>
    </row>
    <row r="22" spans="1:9">
      <c r="A22" s="134" t="s">
        <v>208</v>
      </c>
      <c r="B22" s="131">
        <v>1846</v>
      </c>
      <c r="C22" s="147">
        <f t="shared" si="1"/>
        <v>1.4108000000000001E-2</v>
      </c>
      <c r="D22" s="146" t="s">
        <v>207</v>
      </c>
      <c r="E22" s="134" t="s">
        <v>209</v>
      </c>
      <c r="H22" s="134"/>
      <c r="I22" s="131"/>
    </row>
    <row r="23" spans="1:9">
      <c r="A23" s="134" t="s">
        <v>208</v>
      </c>
      <c r="B23" s="131">
        <v>1847</v>
      </c>
      <c r="C23" s="147">
        <f t="shared" si="1"/>
        <v>1.4221000000000001E-2</v>
      </c>
      <c r="D23" s="146" t="s">
        <v>207</v>
      </c>
      <c r="E23" s="134" t="s">
        <v>209</v>
      </c>
      <c r="H23" s="134"/>
      <c r="I23" s="131"/>
    </row>
    <row r="24" spans="1:9">
      <c r="A24" s="134" t="s">
        <v>208</v>
      </c>
      <c r="B24" s="131">
        <v>1848</v>
      </c>
      <c r="C24" s="147">
        <f t="shared" si="1"/>
        <v>1.4334000000000001E-2</v>
      </c>
      <c r="D24" s="146" t="s">
        <v>207</v>
      </c>
      <c r="E24" s="134" t="s">
        <v>209</v>
      </c>
      <c r="H24" s="134"/>
      <c r="I24" s="131"/>
    </row>
    <row r="25" spans="1:9">
      <c r="A25" s="134" t="s">
        <v>208</v>
      </c>
      <c r="B25" s="131">
        <v>1849</v>
      </c>
      <c r="C25" s="147">
        <f t="shared" si="1"/>
        <v>1.4447000000000002E-2</v>
      </c>
      <c r="D25" s="146" t="s">
        <v>207</v>
      </c>
      <c r="E25" s="134" t="s">
        <v>209</v>
      </c>
      <c r="H25" s="134"/>
      <c r="I25" s="131"/>
    </row>
    <row r="26" spans="1:9">
      <c r="A26" s="134" t="s">
        <v>208</v>
      </c>
      <c r="B26" s="131">
        <v>1850</v>
      </c>
      <c r="C26" s="132">
        <v>1.456E-2</v>
      </c>
      <c r="D26" s="134" t="s">
        <v>205</v>
      </c>
      <c r="E26" s="134" t="s">
        <v>209</v>
      </c>
      <c r="H26" s="134"/>
      <c r="I26" s="131"/>
    </row>
    <row r="27" spans="1:9">
      <c r="A27" s="134" t="s">
        <v>208</v>
      </c>
      <c r="B27" s="131">
        <v>1851</v>
      </c>
      <c r="C27" s="147">
        <f>C26+((C$36-C$26)/(B$36-B$26))</f>
        <v>1.4697E-2</v>
      </c>
      <c r="D27" s="146" t="s">
        <v>207</v>
      </c>
      <c r="E27" s="134" t="s">
        <v>209</v>
      </c>
      <c r="H27" s="134"/>
      <c r="I27" s="131"/>
    </row>
    <row r="28" spans="1:9">
      <c r="A28" s="134" t="s">
        <v>208</v>
      </c>
      <c r="B28" s="131">
        <v>1852</v>
      </c>
      <c r="C28" s="147">
        <f t="shared" ref="C28:C35" si="2">C27+((C$36-C$26)/(B$36-B$26))</f>
        <v>1.4834E-2</v>
      </c>
      <c r="D28" s="146" t="s">
        <v>207</v>
      </c>
      <c r="E28" s="134" t="s">
        <v>209</v>
      </c>
      <c r="H28" s="134"/>
      <c r="I28" s="131"/>
    </row>
    <row r="29" spans="1:9">
      <c r="A29" s="134" t="s">
        <v>208</v>
      </c>
      <c r="B29" s="131">
        <v>1853</v>
      </c>
      <c r="C29" s="147">
        <f t="shared" si="2"/>
        <v>1.4971E-2</v>
      </c>
      <c r="D29" s="146" t="s">
        <v>207</v>
      </c>
      <c r="E29" s="134" t="s">
        <v>209</v>
      </c>
      <c r="H29" s="134"/>
      <c r="I29" s="131"/>
    </row>
    <row r="30" spans="1:9">
      <c r="A30" s="134" t="s">
        <v>208</v>
      </c>
      <c r="B30" s="131">
        <v>1854</v>
      </c>
      <c r="C30" s="147">
        <f t="shared" si="2"/>
        <v>1.5108E-2</v>
      </c>
      <c r="D30" s="146" t="s">
        <v>207</v>
      </c>
      <c r="E30" s="134" t="s">
        <v>209</v>
      </c>
      <c r="H30" s="134"/>
      <c r="I30" s="131"/>
    </row>
    <row r="31" spans="1:9">
      <c r="A31" s="134" t="s">
        <v>208</v>
      </c>
      <c r="B31" s="131">
        <v>1855</v>
      </c>
      <c r="C31" s="147">
        <f t="shared" si="2"/>
        <v>1.5245E-2</v>
      </c>
      <c r="D31" s="146" t="s">
        <v>207</v>
      </c>
      <c r="E31" s="134" t="s">
        <v>209</v>
      </c>
      <c r="H31" s="134"/>
      <c r="I31" s="131"/>
    </row>
    <row r="32" spans="1:9">
      <c r="A32" s="134" t="s">
        <v>208</v>
      </c>
      <c r="B32" s="131">
        <v>1856</v>
      </c>
      <c r="C32" s="147">
        <f t="shared" si="2"/>
        <v>1.5382E-2</v>
      </c>
      <c r="D32" s="146" t="s">
        <v>207</v>
      </c>
      <c r="E32" s="134" t="s">
        <v>209</v>
      </c>
      <c r="H32" s="134"/>
      <c r="I32" s="131"/>
    </row>
    <row r="33" spans="1:9">
      <c r="A33" s="134" t="s">
        <v>208</v>
      </c>
      <c r="B33" s="131">
        <v>1857</v>
      </c>
      <c r="C33" s="147">
        <f t="shared" si="2"/>
        <v>1.5519E-2</v>
      </c>
      <c r="D33" s="146" t="s">
        <v>207</v>
      </c>
      <c r="E33" s="134" t="s">
        <v>209</v>
      </c>
      <c r="H33" s="134"/>
      <c r="I33" s="131"/>
    </row>
    <row r="34" spans="1:9">
      <c r="A34" s="134" t="s">
        <v>208</v>
      </c>
      <c r="B34" s="131">
        <v>1858</v>
      </c>
      <c r="C34" s="147">
        <f t="shared" si="2"/>
        <v>1.5656E-2</v>
      </c>
      <c r="D34" s="146" t="s">
        <v>207</v>
      </c>
      <c r="E34" s="134" t="s">
        <v>209</v>
      </c>
      <c r="H34" s="134"/>
      <c r="I34" s="131"/>
    </row>
    <row r="35" spans="1:9">
      <c r="A35" s="134" t="s">
        <v>208</v>
      </c>
      <c r="B35" s="131">
        <v>1859</v>
      </c>
      <c r="C35" s="147">
        <f t="shared" si="2"/>
        <v>1.5793000000000001E-2</v>
      </c>
      <c r="D35" s="146" t="s">
        <v>207</v>
      </c>
      <c r="E35" s="134" t="s">
        <v>209</v>
      </c>
      <c r="H35" s="134"/>
      <c r="I35" s="131"/>
    </row>
    <row r="36" spans="1:9">
      <c r="A36" s="134" t="s">
        <v>208</v>
      </c>
      <c r="B36" s="131">
        <v>1860</v>
      </c>
      <c r="C36" s="132">
        <v>1.593E-2</v>
      </c>
      <c r="D36" s="134" t="s">
        <v>205</v>
      </c>
      <c r="E36" s="134" t="s">
        <v>209</v>
      </c>
      <c r="H36" s="134"/>
      <c r="I36" s="131"/>
    </row>
    <row r="37" spans="1:9">
      <c r="A37" s="134" t="s">
        <v>208</v>
      </c>
      <c r="B37" s="131">
        <v>1861</v>
      </c>
      <c r="C37" s="147">
        <f>C36+((C$46-C$36)/(B$46-B$36))</f>
        <v>1.6066E-2</v>
      </c>
      <c r="D37" s="146" t="s">
        <v>207</v>
      </c>
      <c r="E37" s="134" t="s">
        <v>209</v>
      </c>
      <c r="H37" s="134"/>
      <c r="I37" s="131"/>
    </row>
    <row r="38" spans="1:9">
      <c r="A38" s="134" t="s">
        <v>208</v>
      </c>
      <c r="B38" s="131">
        <v>1862</v>
      </c>
      <c r="C38" s="147">
        <f t="shared" ref="C38:C45" si="3">C37+((C$46-C$36)/(B$46-B$36))</f>
        <v>1.6202000000000001E-2</v>
      </c>
      <c r="D38" s="146" t="s">
        <v>207</v>
      </c>
      <c r="E38" s="134" t="s">
        <v>209</v>
      </c>
      <c r="H38" s="134"/>
      <c r="I38" s="131"/>
    </row>
    <row r="39" spans="1:9">
      <c r="A39" s="134" t="s">
        <v>208</v>
      </c>
      <c r="B39" s="131">
        <v>1863</v>
      </c>
      <c r="C39" s="147">
        <f t="shared" si="3"/>
        <v>1.6338000000000002E-2</v>
      </c>
      <c r="D39" s="146" t="s">
        <v>207</v>
      </c>
      <c r="E39" s="134" t="s">
        <v>209</v>
      </c>
      <c r="H39" s="134"/>
      <c r="I39" s="131"/>
    </row>
    <row r="40" spans="1:9">
      <c r="A40" s="134" t="s">
        <v>208</v>
      </c>
      <c r="B40" s="131">
        <v>1864</v>
      </c>
      <c r="C40" s="147">
        <f t="shared" si="3"/>
        <v>1.6474000000000003E-2</v>
      </c>
      <c r="D40" s="146" t="s">
        <v>207</v>
      </c>
      <c r="E40" s="134" t="s">
        <v>209</v>
      </c>
      <c r="H40" s="134"/>
      <c r="I40" s="131"/>
    </row>
    <row r="41" spans="1:9">
      <c r="A41" s="134" t="s">
        <v>208</v>
      </c>
      <c r="B41" s="131">
        <v>1865</v>
      </c>
      <c r="C41" s="147">
        <f t="shared" si="3"/>
        <v>1.6610000000000003E-2</v>
      </c>
      <c r="D41" s="146" t="s">
        <v>207</v>
      </c>
      <c r="E41" s="134" t="s">
        <v>209</v>
      </c>
      <c r="H41" s="134"/>
      <c r="I41" s="131"/>
    </row>
    <row r="42" spans="1:9">
      <c r="A42" s="134" t="s">
        <v>208</v>
      </c>
      <c r="B42" s="131">
        <v>1866</v>
      </c>
      <c r="C42" s="147">
        <f t="shared" si="3"/>
        <v>1.6746000000000004E-2</v>
      </c>
      <c r="D42" s="146" t="s">
        <v>207</v>
      </c>
      <c r="E42" s="134" t="s">
        <v>209</v>
      </c>
      <c r="H42" s="134"/>
      <c r="I42" s="131"/>
    </row>
    <row r="43" spans="1:9">
      <c r="A43" s="134" t="s">
        <v>208</v>
      </c>
      <c r="B43" s="131">
        <v>1867</v>
      </c>
      <c r="C43" s="147">
        <f t="shared" si="3"/>
        <v>1.6882000000000005E-2</v>
      </c>
      <c r="D43" s="146" t="s">
        <v>207</v>
      </c>
      <c r="E43" s="134" t="s">
        <v>209</v>
      </c>
      <c r="H43" s="134"/>
      <c r="I43" s="131"/>
    </row>
    <row r="44" spans="1:9">
      <c r="A44" s="134" t="s">
        <v>208</v>
      </c>
      <c r="B44" s="131">
        <v>1868</v>
      </c>
      <c r="C44" s="147">
        <f t="shared" si="3"/>
        <v>1.7018000000000005E-2</v>
      </c>
      <c r="D44" s="146" t="s">
        <v>207</v>
      </c>
      <c r="E44" s="134" t="s">
        <v>209</v>
      </c>
      <c r="H44" s="134"/>
      <c r="I44" s="131"/>
    </row>
    <row r="45" spans="1:9">
      <c r="A45" s="134" t="s">
        <v>208</v>
      </c>
      <c r="B45" s="131">
        <v>1869</v>
      </c>
      <c r="C45" s="147">
        <f t="shared" si="3"/>
        <v>1.7154000000000006E-2</v>
      </c>
      <c r="D45" s="146" t="s">
        <v>207</v>
      </c>
      <c r="E45" s="134" t="s">
        <v>209</v>
      </c>
      <c r="H45" s="134"/>
      <c r="I45" s="131"/>
    </row>
    <row r="46" spans="1:9">
      <c r="A46" s="134" t="s">
        <v>208</v>
      </c>
      <c r="B46" s="131">
        <v>1870</v>
      </c>
      <c r="C46" s="132">
        <v>1.729E-2</v>
      </c>
      <c r="D46" s="134" t="s">
        <v>205</v>
      </c>
      <c r="E46" s="134" t="s">
        <v>209</v>
      </c>
      <c r="H46" s="134"/>
      <c r="I46" s="131"/>
    </row>
    <row r="47" spans="1:9">
      <c r="A47" s="134" t="s">
        <v>208</v>
      </c>
      <c r="B47" s="131">
        <v>1871</v>
      </c>
      <c r="C47" s="147">
        <f>C46+((C$56-C$46)/(B$56-B$46))</f>
        <v>1.7609E-2</v>
      </c>
      <c r="D47" s="146" t="s">
        <v>207</v>
      </c>
      <c r="E47" s="134" t="s">
        <v>209</v>
      </c>
      <c r="H47" s="134"/>
      <c r="I47" s="131"/>
    </row>
    <row r="48" spans="1:9">
      <c r="A48" s="134" t="s">
        <v>208</v>
      </c>
      <c r="B48" s="131">
        <v>1872</v>
      </c>
      <c r="C48" s="147">
        <f t="shared" ref="C48:C55" si="4">C47+((C$56-C$46)/(B$56-B$46))</f>
        <v>1.7927999999999999E-2</v>
      </c>
      <c r="D48" s="146" t="s">
        <v>207</v>
      </c>
      <c r="E48" s="134" t="s">
        <v>209</v>
      </c>
      <c r="H48" s="134"/>
      <c r="I48" s="131"/>
    </row>
    <row r="49" spans="1:9">
      <c r="A49" s="134" t="s">
        <v>208</v>
      </c>
      <c r="B49" s="131">
        <v>1873</v>
      </c>
      <c r="C49" s="147">
        <f t="shared" si="4"/>
        <v>1.8246999999999999E-2</v>
      </c>
      <c r="D49" s="146" t="s">
        <v>207</v>
      </c>
      <c r="E49" s="134" t="s">
        <v>209</v>
      </c>
      <c r="H49" s="134"/>
      <c r="I49" s="131"/>
    </row>
    <row r="50" spans="1:9">
      <c r="A50" s="134" t="s">
        <v>208</v>
      </c>
      <c r="B50" s="131">
        <v>1874</v>
      </c>
      <c r="C50" s="147">
        <f t="shared" si="4"/>
        <v>1.8565999999999999E-2</v>
      </c>
      <c r="D50" s="146" t="s">
        <v>207</v>
      </c>
      <c r="E50" s="134" t="s">
        <v>209</v>
      </c>
      <c r="H50" s="134"/>
      <c r="I50" s="131"/>
    </row>
    <row r="51" spans="1:9">
      <c r="A51" s="134" t="s">
        <v>208</v>
      </c>
      <c r="B51" s="131">
        <v>1875</v>
      </c>
      <c r="C51" s="147">
        <f t="shared" si="4"/>
        <v>1.8884999999999999E-2</v>
      </c>
      <c r="D51" s="146" t="s">
        <v>207</v>
      </c>
      <c r="E51" s="134" t="s">
        <v>209</v>
      </c>
      <c r="H51" s="134"/>
      <c r="I51" s="131"/>
    </row>
    <row r="52" spans="1:9">
      <c r="A52" s="134" t="s">
        <v>208</v>
      </c>
      <c r="B52" s="131">
        <v>1876</v>
      </c>
      <c r="C52" s="147">
        <f t="shared" si="4"/>
        <v>1.9203999999999999E-2</v>
      </c>
      <c r="D52" s="146" t="s">
        <v>207</v>
      </c>
      <c r="E52" s="134" t="s">
        <v>209</v>
      </c>
      <c r="H52" s="134"/>
      <c r="I52" s="131"/>
    </row>
    <row r="53" spans="1:9">
      <c r="A53" s="134" t="s">
        <v>208</v>
      </c>
      <c r="B53" s="131">
        <v>1877</v>
      </c>
      <c r="C53" s="147">
        <f t="shared" si="4"/>
        <v>1.9522999999999999E-2</v>
      </c>
      <c r="D53" s="146" t="s">
        <v>207</v>
      </c>
      <c r="E53" s="134" t="s">
        <v>209</v>
      </c>
      <c r="H53" s="134"/>
      <c r="I53" s="131"/>
    </row>
    <row r="54" spans="1:9">
      <c r="A54" s="134" t="s">
        <v>208</v>
      </c>
      <c r="B54" s="131">
        <v>1878</v>
      </c>
      <c r="C54" s="147">
        <f t="shared" si="4"/>
        <v>1.9841999999999999E-2</v>
      </c>
      <c r="D54" s="146" t="s">
        <v>207</v>
      </c>
      <c r="E54" s="134" t="s">
        <v>209</v>
      </c>
      <c r="H54" s="134"/>
      <c r="I54" s="131"/>
    </row>
    <row r="55" spans="1:9">
      <c r="A55" s="134" t="s">
        <v>208</v>
      </c>
      <c r="B55" s="131">
        <v>1879</v>
      </c>
      <c r="C55" s="147">
        <f t="shared" si="4"/>
        <v>2.0160999999999998E-2</v>
      </c>
      <c r="D55" s="146" t="s">
        <v>207</v>
      </c>
      <c r="E55" s="134" t="s">
        <v>209</v>
      </c>
      <c r="H55" s="134"/>
      <c r="I55" s="131"/>
    </row>
    <row r="56" spans="1:9">
      <c r="A56" s="134" t="s">
        <v>208</v>
      </c>
      <c r="B56" s="131">
        <v>1880</v>
      </c>
      <c r="C56" s="132">
        <v>2.0480000000000002E-2</v>
      </c>
      <c r="D56" s="134" t="s">
        <v>205</v>
      </c>
      <c r="E56" s="134" t="s">
        <v>209</v>
      </c>
      <c r="H56" s="134"/>
      <c r="I56" s="131"/>
    </row>
    <row r="57" spans="1:9">
      <c r="A57" s="134" t="s">
        <v>208</v>
      </c>
      <c r="B57" s="131">
        <v>1881</v>
      </c>
      <c r="C57" s="147">
        <f>C56+((C$66-C$56)/(B$66-B$56))</f>
        <v>2.0776000000000003E-2</v>
      </c>
      <c r="D57" s="146" t="s">
        <v>207</v>
      </c>
      <c r="E57" s="134" t="s">
        <v>209</v>
      </c>
      <c r="H57" s="134"/>
      <c r="I57" s="131"/>
    </row>
    <row r="58" spans="1:9">
      <c r="A58" s="134" t="s">
        <v>208</v>
      </c>
      <c r="B58" s="131">
        <v>1882</v>
      </c>
      <c r="C58" s="147">
        <f t="shared" ref="C58:C65" si="5">C57+((C$66-C$56)/(B$66-B$56))</f>
        <v>2.1072000000000004E-2</v>
      </c>
      <c r="D58" s="146" t="s">
        <v>207</v>
      </c>
      <c r="E58" s="134" t="s">
        <v>209</v>
      </c>
      <c r="H58" s="134"/>
      <c r="I58" s="131"/>
    </row>
    <row r="59" spans="1:9">
      <c r="A59" s="134" t="s">
        <v>208</v>
      </c>
      <c r="B59" s="131">
        <v>1883</v>
      </c>
      <c r="C59" s="147">
        <f t="shared" si="5"/>
        <v>2.1368000000000005E-2</v>
      </c>
      <c r="D59" s="146" t="s">
        <v>207</v>
      </c>
      <c r="E59" s="134" t="s">
        <v>209</v>
      </c>
      <c r="H59" s="134"/>
      <c r="I59" s="131"/>
    </row>
    <row r="60" spans="1:9">
      <c r="A60" s="134" t="s">
        <v>208</v>
      </c>
      <c r="B60" s="131">
        <v>1884</v>
      </c>
      <c r="C60" s="147">
        <f t="shared" si="5"/>
        <v>2.1664000000000006E-2</v>
      </c>
      <c r="D60" s="146" t="s">
        <v>207</v>
      </c>
      <c r="E60" s="134" t="s">
        <v>209</v>
      </c>
      <c r="H60" s="134"/>
      <c r="I60" s="131"/>
    </row>
    <row r="61" spans="1:9">
      <c r="A61" s="134" t="s">
        <v>208</v>
      </c>
      <c r="B61" s="131">
        <v>1885</v>
      </c>
      <c r="C61" s="147">
        <f t="shared" si="5"/>
        <v>2.1960000000000007E-2</v>
      </c>
      <c r="D61" s="146" t="s">
        <v>207</v>
      </c>
      <c r="E61" s="134" t="s">
        <v>209</v>
      </c>
      <c r="H61" s="134"/>
      <c r="I61" s="131"/>
    </row>
    <row r="62" spans="1:9">
      <c r="A62" s="134" t="s">
        <v>208</v>
      </c>
      <c r="B62" s="131">
        <v>1886</v>
      </c>
      <c r="C62" s="147">
        <f t="shared" si="5"/>
        <v>2.2256000000000008E-2</v>
      </c>
      <c r="D62" s="146" t="s">
        <v>207</v>
      </c>
      <c r="E62" s="134" t="s">
        <v>209</v>
      </c>
      <c r="H62" s="134"/>
      <c r="I62" s="131"/>
    </row>
    <row r="63" spans="1:9">
      <c r="A63" s="134" t="s">
        <v>208</v>
      </c>
      <c r="B63" s="131">
        <v>1887</v>
      </c>
      <c r="C63" s="147">
        <f t="shared" si="5"/>
        <v>2.255200000000001E-2</v>
      </c>
      <c r="D63" s="146" t="s">
        <v>207</v>
      </c>
      <c r="E63" s="134" t="s">
        <v>209</v>
      </c>
      <c r="H63" s="134"/>
      <c r="I63" s="131"/>
    </row>
    <row r="64" spans="1:9">
      <c r="A64" s="134" t="s">
        <v>208</v>
      </c>
      <c r="B64" s="131">
        <v>1888</v>
      </c>
      <c r="C64" s="147">
        <f t="shared" si="5"/>
        <v>2.2848000000000011E-2</v>
      </c>
      <c r="D64" s="146" t="s">
        <v>207</v>
      </c>
      <c r="E64" s="134" t="s">
        <v>209</v>
      </c>
      <c r="H64" s="134"/>
      <c r="I64" s="131"/>
    </row>
    <row r="65" spans="1:9">
      <c r="A65" s="134" t="s">
        <v>208</v>
      </c>
      <c r="B65" s="131">
        <v>1889</v>
      </c>
      <c r="C65" s="147">
        <f t="shared" si="5"/>
        <v>2.3144000000000012E-2</v>
      </c>
      <c r="D65" s="146" t="s">
        <v>207</v>
      </c>
      <c r="E65" s="134" t="s">
        <v>209</v>
      </c>
      <c r="H65" s="134"/>
      <c r="I65" s="131"/>
    </row>
    <row r="66" spans="1:9">
      <c r="A66" s="134" t="s">
        <v>208</v>
      </c>
      <c r="B66" s="131">
        <v>1890</v>
      </c>
      <c r="C66" s="132">
        <v>2.3439999999999999E-2</v>
      </c>
      <c r="D66" s="134" t="s">
        <v>205</v>
      </c>
      <c r="E66" s="134" t="s">
        <v>209</v>
      </c>
      <c r="H66" s="134"/>
      <c r="I66" s="131"/>
    </row>
    <row r="67" spans="1:9">
      <c r="A67" s="134" t="s">
        <v>208</v>
      </c>
      <c r="B67" s="131">
        <v>1891</v>
      </c>
      <c r="C67" s="147">
        <f>C66+((C$76-C$66)/(B$76-B$66))</f>
        <v>2.3895E-2</v>
      </c>
      <c r="D67" s="146" t="s">
        <v>207</v>
      </c>
      <c r="E67" s="134" t="s">
        <v>209</v>
      </c>
    </row>
    <row r="68" spans="1:9">
      <c r="A68" s="134" t="s">
        <v>208</v>
      </c>
      <c r="B68" s="131">
        <v>1892</v>
      </c>
      <c r="C68" s="147">
        <f t="shared" ref="C68:C75" si="6">C67+((C$76-C$66)/(B$76-B$66))</f>
        <v>2.435E-2</v>
      </c>
      <c r="D68" s="146" t="s">
        <v>207</v>
      </c>
      <c r="E68" s="134" t="s">
        <v>209</v>
      </c>
    </row>
    <row r="69" spans="1:9">
      <c r="A69" s="134" t="s">
        <v>208</v>
      </c>
      <c r="B69" s="131">
        <v>1893</v>
      </c>
      <c r="C69" s="147">
        <f t="shared" si="6"/>
        <v>2.4805000000000001E-2</v>
      </c>
      <c r="D69" s="146" t="s">
        <v>207</v>
      </c>
      <c r="E69" s="134" t="s">
        <v>209</v>
      </c>
    </row>
    <row r="70" spans="1:9">
      <c r="A70" s="134" t="s">
        <v>208</v>
      </c>
      <c r="B70" s="131">
        <v>1894</v>
      </c>
      <c r="C70" s="147">
        <f t="shared" si="6"/>
        <v>2.5260000000000001E-2</v>
      </c>
      <c r="D70" s="146" t="s">
        <v>207</v>
      </c>
      <c r="E70" s="134" t="s">
        <v>209</v>
      </c>
    </row>
    <row r="71" spans="1:9">
      <c r="A71" s="134" t="s">
        <v>208</v>
      </c>
      <c r="B71" s="131">
        <v>1895</v>
      </c>
      <c r="C71" s="147">
        <f t="shared" si="6"/>
        <v>2.5715000000000002E-2</v>
      </c>
      <c r="D71" s="146" t="s">
        <v>207</v>
      </c>
      <c r="E71" s="134" t="s">
        <v>209</v>
      </c>
    </row>
    <row r="72" spans="1:9">
      <c r="A72" s="134" t="s">
        <v>208</v>
      </c>
      <c r="B72" s="131">
        <v>1896</v>
      </c>
      <c r="C72" s="147">
        <f t="shared" si="6"/>
        <v>2.6170000000000002E-2</v>
      </c>
      <c r="D72" s="146" t="s">
        <v>207</v>
      </c>
      <c r="E72" s="134" t="s">
        <v>209</v>
      </c>
    </row>
    <row r="73" spans="1:9">
      <c r="A73" s="134" t="s">
        <v>208</v>
      </c>
      <c r="B73" s="131">
        <v>1897</v>
      </c>
      <c r="C73" s="147">
        <f t="shared" si="6"/>
        <v>2.6625000000000003E-2</v>
      </c>
      <c r="D73" s="146" t="s">
        <v>207</v>
      </c>
      <c r="E73" s="134" t="s">
        <v>209</v>
      </c>
    </row>
    <row r="74" spans="1:9">
      <c r="A74" s="134" t="s">
        <v>208</v>
      </c>
      <c r="B74" s="131">
        <v>1898</v>
      </c>
      <c r="C74" s="147">
        <f t="shared" si="6"/>
        <v>2.7080000000000003E-2</v>
      </c>
      <c r="D74" s="146" t="s">
        <v>207</v>
      </c>
      <c r="E74" s="134" t="s">
        <v>209</v>
      </c>
    </row>
    <row r="75" spans="1:9">
      <c r="A75" s="134" t="s">
        <v>208</v>
      </c>
      <c r="B75" s="131">
        <v>1899</v>
      </c>
      <c r="C75" s="147">
        <f t="shared" si="6"/>
        <v>2.7535000000000004E-2</v>
      </c>
      <c r="D75" s="146" t="s">
        <v>207</v>
      </c>
      <c r="E75" s="134" t="s">
        <v>209</v>
      </c>
    </row>
    <row r="76" spans="1:9">
      <c r="A76" s="134" t="s">
        <v>208</v>
      </c>
      <c r="B76" s="131">
        <v>1900</v>
      </c>
      <c r="C76" s="132">
        <v>2.7990000000000001E-2</v>
      </c>
      <c r="D76" s="134" t="s">
        <v>205</v>
      </c>
      <c r="E76" s="134" t="s">
        <v>209</v>
      </c>
    </row>
    <row r="77" spans="1:9">
      <c r="A77" s="134" t="s">
        <v>208</v>
      </c>
      <c r="B77" s="131">
        <v>1901</v>
      </c>
      <c r="C77" s="147">
        <f>C76+((C$86-C$76)/(B$86-B$76))</f>
        <v>2.8900000000000002E-2</v>
      </c>
      <c r="D77" s="146" t="s">
        <v>207</v>
      </c>
      <c r="E77" s="134" t="s">
        <v>209</v>
      </c>
    </row>
    <row r="78" spans="1:9">
      <c r="A78" s="134" t="s">
        <v>208</v>
      </c>
      <c r="B78" s="131">
        <v>1902</v>
      </c>
      <c r="C78" s="147">
        <f t="shared" ref="C78:C85" si="7">C77+((C$86-C$76)/(B$86-B$76))</f>
        <v>2.9810000000000003E-2</v>
      </c>
      <c r="D78" s="146" t="s">
        <v>207</v>
      </c>
      <c r="E78" s="134" t="s">
        <v>209</v>
      </c>
    </row>
    <row r="79" spans="1:9">
      <c r="A79" s="134" t="s">
        <v>208</v>
      </c>
      <c r="B79" s="131">
        <v>1903</v>
      </c>
      <c r="C79" s="147">
        <f t="shared" si="7"/>
        <v>3.0720000000000004E-2</v>
      </c>
      <c r="D79" s="146" t="s">
        <v>207</v>
      </c>
      <c r="E79" s="134" t="s">
        <v>209</v>
      </c>
    </row>
    <row r="80" spans="1:9">
      <c r="A80" s="134" t="s">
        <v>208</v>
      </c>
      <c r="B80" s="131">
        <v>1904</v>
      </c>
      <c r="C80" s="147">
        <f t="shared" si="7"/>
        <v>3.1630000000000005E-2</v>
      </c>
      <c r="D80" s="146" t="s">
        <v>207</v>
      </c>
      <c r="E80" s="134" t="s">
        <v>209</v>
      </c>
    </row>
    <row r="81" spans="1:5">
      <c r="A81" s="134" t="s">
        <v>208</v>
      </c>
      <c r="B81" s="131">
        <v>1905</v>
      </c>
      <c r="C81" s="147">
        <f t="shared" si="7"/>
        <v>3.2540000000000006E-2</v>
      </c>
      <c r="D81" s="146" t="s">
        <v>207</v>
      </c>
      <c r="E81" s="134" t="s">
        <v>209</v>
      </c>
    </row>
    <row r="82" spans="1:5">
      <c r="A82" s="134" t="s">
        <v>208</v>
      </c>
      <c r="B82" s="131">
        <v>1906</v>
      </c>
      <c r="C82" s="147">
        <f t="shared" si="7"/>
        <v>3.3450000000000008E-2</v>
      </c>
      <c r="D82" s="146" t="s">
        <v>207</v>
      </c>
      <c r="E82" s="134" t="s">
        <v>209</v>
      </c>
    </row>
    <row r="83" spans="1:5">
      <c r="A83" s="134" t="s">
        <v>208</v>
      </c>
      <c r="B83" s="131">
        <v>1907</v>
      </c>
      <c r="C83" s="147">
        <f t="shared" si="7"/>
        <v>3.4360000000000009E-2</v>
      </c>
      <c r="D83" s="146" t="s">
        <v>207</v>
      </c>
      <c r="E83" s="134" t="s">
        <v>209</v>
      </c>
    </row>
    <row r="84" spans="1:5">
      <c r="A84" s="134" t="s">
        <v>208</v>
      </c>
      <c r="B84" s="131">
        <v>1908</v>
      </c>
      <c r="C84" s="147">
        <f t="shared" si="7"/>
        <v>3.527000000000001E-2</v>
      </c>
      <c r="D84" s="146" t="s">
        <v>207</v>
      </c>
      <c r="E84" s="134" t="s">
        <v>209</v>
      </c>
    </row>
    <row r="85" spans="1:5">
      <c r="A85" s="134" t="s">
        <v>208</v>
      </c>
      <c r="B85" s="131">
        <v>1909</v>
      </c>
      <c r="C85" s="147">
        <f t="shared" si="7"/>
        <v>3.6180000000000011E-2</v>
      </c>
      <c r="D85" s="146" t="s">
        <v>207</v>
      </c>
      <c r="E85" s="134" t="s">
        <v>209</v>
      </c>
    </row>
    <row r="86" spans="1:5">
      <c r="A86" s="134" t="s">
        <v>208</v>
      </c>
      <c r="B86" s="131">
        <v>1910</v>
      </c>
      <c r="C86" s="132">
        <v>3.7089999999999998E-2</v>
      </c>
      <c r="D86" s="134" t="s">
        <v>205</v>
      </c>
      <c r="E86" s="134" t="s">
        <v>209</v>
      </c>
    </row>
    <row r="87" spans="1:5">
      <c r="A87" s="134" t="s">
        <v>208</v>
      </c>
      <c r="B87" s="131">
        <v>1911</v>
      </c>
      <c r="C87" s="147">
        <f>C86+((C$96-C$86)/(B$96-B$86))</f>
        <v>3.8546999999999998E-2</v>
      </c>
      <c r="D87" s="146" t="s">
        <v>207</v>
      </c>
      <c r="E87" s="134" t="s">
        <v>209</v>
      </c>
    </row>
    <row r="88" spans="1:5">
      <c r="A88" s="134" t="s">
        <v>208</v>
      </c>
      <c r="B88" s="131">
        <v>1912</v>
      </c>
      <c r="C88" s="147">
        <f t="shared" ref="C88:C95" si="8">C87+((C$96-C$86)/(B$96-B$86))</f>
        <v>4.0003999999999998E-2</v>
      </c>
      <c r="D88" s="146" t="s">
        <v>207</v>
      </c>
      <c r="E88" s="134" t="s">
        <v>209</v>
      </c>
    </row>
    <row r="89" spans="1:5">
      <c r="A89" s="134" t="s">
        <v>208</v>
      </c>
      <c r="B89" s="131">
        <v>1913</v>
      </c>
      <c r="C89" s="147">
        <f t="shared" si="8"/>
        <v>4.1460999999999998E-2</v>
      </c>
      <c r="D89" s="146" t="s">
        <v>207</v>
      </c>
      <c r="E89" s="134" t="s">
        <v>209</v>
      </c>
    </row>
    <row r="90" spans="1:5">
      <c r="A90" s="134" t="s">
        <v>208</v>
      </c>
      <c r="B90" s="131">
        <v>1914</v>
      </c>
      <c r="C90" s="147">
        <f t="shared" si="8"/>
        <v>4.2917999999999998E-2</v>
      </c>
      <c r="D90" s="146" t="s">
        <v>207</v>
      </c>
      <c r="E90" s="134" t="s">
        <v>209</v>
      </c>
    </row>
    <row r="91" spans="1:5">
      <c r="A91" s="134" t="s">
        <v>208</v>
      </c>
      <c r="B91" s="131">
        <v>1915</v>
      </c>
      <c r="C91" s="147">
        <f t="shared" si="8"/>
        <v>4.4374999999999998E-2</v>
      </c>
      <c r="D91" s="146" t="s">
        <v>207</v>
      </c>
      <c r="E91" s="134" t="s">
        <v>209</v>
      </c>
    </row>
    <row r="92" spans="1:5">
      <c r="A92" s="134" t="s">
        <v>208</v>
      </c>
      <c r="B92" s="131">
        <v>1916</v>
      </c>
      <c r="C92" s="147">
        <f t="shared" si="8"/>
        <v>4.5831999999999998E-2</v>
      </c>
      <c r="D92" s="146" t="s">
        <v>207</v>
      </c>
      <c r="E92" s="134" t="s">
        <v>209</v>
      </c>
    </row>
    <row r="93" spans="1:5">
      <c r="A93" s="134" t="s">
        <v>208</v>
      </c>
      <c r="B93" s="131">
        <v>1917</v>
      </c>
      <c r="C93" s="147">
        <f t="shared" si="8"/>
        <v>4.7288999999999998E-2</v>
      </c>
      <c r="D93" s="146" t="s">
        <v>207</v>
      </c>
      <c r="E93" s="134" t="s">
        <v>209</v>
      </c>
    </row>
    <row r="94" spans="1:5">
      <c r="A94" s="134" t="s">
        <v>208</v>
      </c>
      <c r="B94" s="131">
        <v>1918</v>
      </c>
      <c r="C94" s="147">
        <f t="shared" si="8"/>
        <v>4.8745999999999998E-2</v>
      </c>
      <c r="D94" s="146" t="s">
        <v>207</v>
      </c>
      <c r="E94" s="134" t="s">
        <v>209</v>
      </c>
    </row>
    <row r="95" spans="1:5">
      <c r="A95" s="134" t="s">
        <v>208</v>
      </c>
      <c r="B95" s="131">
        <v>1919</v>
      </c>
      <c r="C95" s="147">
        <f t="shared" si="8"/>
        <v>5.0202999999999998E-2</v>
      </c>
      <c r="D95" s="146" t="s">
        <v>207</v>
      </c>
      <c r="E95" s="134" t="s">
        <v>209</v>
      </c>
    </row>
    <row r="96" spans="1:5">
      <c r="A96" s="134" t="s">
        <v>208</v>
      </c>
      <c r="B96" s="131">
        <v>1920</v>
      </c>
      <c r="C96" s="132">
        <v>5.1659999999999998E-2</v>
      </c>
      <c r="D96" s="134" t="s">
        <v>205</v>
      </c>
      <c r="E96" s="134" t="s">
        <v>209</v>
      </c>
    </row>
    <row r="97" spans="1:5">
      <c r="A97" s="134" t="s">
        <v>208</v>
      </c>
      <c r="B97" s="131">
        <v>1921</v>
      </c>
      <c r="C97" s="147">
        <f>C96+((C$106-C$96)/(B$106-B$96))</f>
        <v>5.3593999999999996E-2</v>
      </c>
      <c r="D97" s="146" t="s">
        <v>207</v>
      </c>
      <c r="E97" s="134" t="s">
        <v>209</v>
      </c>
    </row>
    <row r="98" spans="1:5">
      <c r="A98" s="134" t="s">
        <v>208</v>
      </c>
      <c r="B98" s="131">
        <v>1922</v>
      </c>
      <c r="C98" s="147">
        <f t="shared" ref="C98:C105" si="9">C97+((C$106-C$96)/(B$106-B$96))</f>
        <v>5.5527999999999994E-2</v>
      </c>
      <c r="D98" s="146" t="s">
        <v>207</v>
      </c>
      <c r="E98" s="134" t="s">
        <v>209</v>
      </c>
    </row>
    <row r="99" spans="1:5">
      <c r="A99" s="134" t="s">
        <v>208</v>
      </c>
      <c r="B99" s="131">
        <v>1923</v>
      </c>
      <c r="C99" s="147">
        <f t="shared" si="9"/>
        <v>5.7461999999999992E-2</v>
      </c>
      <c r="D99" s="146" t="s">
        <v>207</v>
      </c>
      <c r="E99" s="134" t="s">
        <v>209</v>
      </c>
    </row>
    <row r="100" spans="1:5">
      <c r="A100" s="134" t="s">
        <v>208</v>
      </c>
      <c r="B100" s="131">
        <v>1924</v>
      </c>
      <c r="C100" s="147">
        <f t="shared" si="9"/>
        <v>5.939599999999999E-2</v>
      </c>
      <c r="D100" s="146" t="s">
        <v>207</v>
      </c>
      <c r="E100" s="134" t="s">
        <v>209</v>
      </c>
    </row>
    <row r="101" spans="1:5">
      <c r="A101" s="134" t="s">
        <v>208</v>
      </c>
      <c r="B101" s="131">
        <v>1925</v>
      </c>
      <c r="C101" s="147">
        <f t="shared" si="9"/>
        <v>6.1329999999999989E-2</v>
      </c>
      <c r="D101" s="146" t="s">
        <v>207</v>
      </c>
      <c r="E101" s="134" t="s">
        <v>209</v>
      </c>
    </row>
    <row r="102" spans="1:5">
      <c r="A102" s="134" t="s">
        <v>208</v>
      </c>
      <c r="B102" s="131">
        <v>1926</v>
      </c>
      <c r="C102" s="147">
        <f t="shared" si="9"/>
        <v>6.3263999999999987E-2</v>
      </c>
      <c r="D102" s="146" t="s">
        <v>207</v>
      </c>
      <c r="E102" s="134" t="s">
        <v>209</v>
      </c>
    </row>
    <row r="103" spans="1:5">
      <c r="A103" s="134" t="s">
        <v>208</v>
      </c>
      <c r="B103" s="131">
        <v>1927</v>
      </c>
      <c r="C103" s="147">
        <f t="shared" si="9"/>
        <v>6.5197999999999992E-2</v>
      </c>
      <c r="D103" s="146" t="s">
        <v>207</v>
      </c>
      <c r="E103" s="134" t="s">
        <v>209</v>
      </c>
    </row>
    <row r="104" spans="1:5">
      <c r="A104" s="134" t="s">
        <v>208</v>
      </c>
      <c r="B104" s="131">
        <v>1928</v>
      </c>
      <c r="C104" s="147">
        <f t="shared" si="9"/>
        <v>6.7131999999999997E-2</v>
      </c>
      <c r="D104" s="146" t="s">
        <v>207</v>
      </c>
      <c r="E104" s="134" t="s">
        <v>209</v>
      </c>
    </row>
    <row r="105" spans="1:5">
      <c r="A105" s="134" t="s">
        <v>208</v>
      </c>
      <c r="B105" s="131">
        <v>1929</v>
      </c>
      <c r="C105" s="147">
        <f t="shared" si="9"/>
        <v>6.9066000000000002E-2</v>
      </c>
      <c r="D105" s="146" t="s">
        <v>207</v>
      </c>
      <c r="E105" s="134" t="s">
        <v>209</v>
      </c>
    </row>
    <row r="106" spans="1:5">
      <c r="A106" s="134" t="s">
        <v>208</v>
      </c>
      <c r="B106" s="131">
        <v>1930</v>
      </c>
      <c r="C106" s="132">
        <v>7.0999999999999994E-2</v>
      </c>
      <c r="D106" s="134" t="s">
        <v>205</v>
      </c>
      <c r="E106" s="134" t="s">
        <v>209</v>
      </c>
    </row>
    <row r="107" spans="1:5">
      <c r="A107" s="134" t="s">
        <v>208</v>
      </c>
      <c r="B107" s="131">
        <v>1931</v>
      </c>
      <c r="C107" s="147">
        <f>C106+((C$116-C$106)/(B$116-B$106))</f>
        <v>7.4094999999999994E-2</v>
      </c>
      <c r="D107" s="146" t="s">
        <v>207</v>
      </c>
      <c r="E107" s="134" t="s">
        <v>209</v>
      </c>
    </row>
    <row r="108" spans="1:5">
      <c r="A108" s="134" t="s">
        <v>208</v>
      </c>
      <c r="B108" s="131">
        <v>1932</v>
      </c>
      <c r="C108" s="147">
        <f t="shared" ref="C108:C115" si="10">C107+((C$116-C$106)/(B$116-B$106))</f>
        <v>7.7189999999999995E-2</v>
      </c>
      <c r="D108" s="146" t="s">
        <v>207</v>
      </c>
      <c r="E108" s="134" t="s">
        <v>209</v>
      </c>
    </row>
    <row r="109" spans="1:5">
      <c r="A109" s="134" t="s">
        <v>208</v>
      </c>
      <c r="B109" s="131">
        <v>1933</v>
      </c>
      <c r="C109" s="147">
        <f t="shared" si="10"/>
        <v>8.0284999999999995E-2</v>
      </c>
      <c r="D109" s="146" t="s">
        <v>207</v>
      </c>
      <c r="E109" s="134" t="s">
        <v>209</v>
      </c>
    </row>
    <row r="110" spans="1:5">
      <c r="A110" s="134" t="s">
        <v>208</v>
      </c>
      <c r="B110" s="131">
        <v>1934</v>
      </c>
      <c r="C110" s="147">
        <f t="shared" si="10"/>
        <v>8.3379999999999996E-2</v>
      </c>
      <c r="D110" s="146" t="s">
        <v>207</v>
      </c>
      <c r="E110" s="134" t="s">
        <v>209</v>
      </c>
    </row>
    <row r="111" spans="1:5">
      <c r="A111" s="134" t="s">
        <v>208</v>
      </c>
      <c r="B111" s="131">
        <v>1935</v>
      </c>
      <c r="C111" s="147">
        <f t="shared" si="10"/>
        <v>8.6474999999999996E-2</v>
      </c>
      <c r="D111" s="146" t="s">
        <v>207</v>
      </c>
      <c r="E111" s="134" t="s">
        <v>209</v>
      </c>
    </row>
    <row r="112" spans="1:5">
      <c r="A112" s="134" t="s">
        <v>208</v>
      </c>
      <c r="B112" s="131">
        <v>1936</v>
      </c>
      <c r="C112" s="147">
        <f t="shared" si="10"/>
        <v>8.9569999999999997E-2</v>
      </c>
      <c r="D112" s="146" t="s">
        <v>207</v>
      </c>
      <c r="E112" s="134" t="s">
        <v>209</v>
      </c>
    </row>
    <row r="113" spans="1:5">
      <c r="A113" s="134" t="s">
        <v>208</v>
      </c>
      <c r="B113" s="131">
        <v>1937</v>
      </c>
      <c r="C113" s="147">
        <f t="shared" si="10"/>
        <v>9.2664999999999997E-2</v>
      </c>
      <c r="D113" s="146" t="s">
        <v>207</v>
      </c>
      <c r="E113" s="134" t="s">
        <v>209</v>
      </c>
    </row>
    <row r="114" spans="1:5">
      <c r="A114" s="134" t="s">
        <v>208</v>
      </c>
      <c r="B114" s="131">
        <v>1938</v>
      </c>
      <c r="C114" s="147">
        <f t="shared" si="10"/>
        <v>9.5759999999999998E-2</v>
      </c>
      <c r="D114" s="146" t="s">
        <v>207</v>
      </c>
      <c r="E114" s="134" t="s">
        <v>209</v>
      </c>
    </row>
    <row r="115" spans="1:5">
      <c r="A115" s="134" t="s">
        <v>208</v>
      </c>
      <c r="B115" s="131">
        <v>1939</v>
      </c>
      <c r="C115" s="147">
        <f t="shared" si="10"/>
        <v>9.8854999999999998E-2</v>
      </c>
      <c r="D115" s="146" t="s">
        <v>207</v>
      </c>
      <c r="E115" s="134" t="s">
        <v>209</v>
      </c>
    </row>
    <row r="116" spans="1:5">
      <c r="A116" s="134" t="s">
        <v>208</v>
      </c>
      <c r="B116" s="131">
        <v>1940</v>
      </c>
      <c r="C116" s="132">
        <v>0.10195</v>
      </c>
      <c r="D116" s="134" t="s">
        <v>205</v>
      </c>
      <c r="E116" s="134" t="s">
        <v>209</v>
      </c>
    </row>
    <row r="117" spans="1:5">
      <c r="A117" s="134" t="s">
        <v>208</v>
      </c>
      <c r="B117" s="131">
        <v>1941</v>
      </c>
      <c r="C117" s="147">
        <f>C116+((C$126-C$116)/(B$126-B$116))</f>
        <v>0.104589</v>
      </c>
      <c r="D117" s="146" t="s">
        <v>207</v>
      </c>
      <c r="E117" s="134" t="s">
        <v>209</v>
      </c>
    </row>
    <row r="118" spans="1:5">
      <c r="A118" s="134" t="s">
        <v>208</v>
      </c>
      <c r="B118" s="131">
        <v>1942</v>
      </c>
      <c r="C118" s="147">
        <f t="shared" ref="C118:C125" si="11">C117+((C$126-C$116)/(B$126-B$116))</f>
        <v>0.107228</v>
      </c>
      <c r="D118" s="146" t="s">
        <v>207</v>
      </c>
      <c r="E118" s="134" t="s">
        <v>209</v>
      </c>
    </row>
    <row r="119" spans="1:5">
      <c r="A119" s="134" t="s">
        <v>208</v>
      </c>
      <c r="B119" s="131">
        <v>1943</v>
      </c>
      <c r="C119" s="147">
        <f t="shared" si="11"/>
        <v>0.10986700000000001</v>
      </c>
      <c r="D119" s="146" t="s">
        <v>207</v>
      </c>
      <c r="E119" s="134" t="s">
        <v>209</v>
      </c>
    </row>
    <row r="120" spans="1:5">
      <c r="A120" s="134" t="s">
        <v>208</v>
      </c>
      <c r="B120" s="131">
        <v>1944</v>
      </c>
      <c r="C120" s="147">
        <f t="shared" si="11"/>
        <v>0.11250600000000001</v>
      </c>
      <c r="D120" s="146" t="s">
        <v>207</v>
      </c>
      <c r="E120" s="134" t="s">
        <v>209</v>
      </c>
    </row>
    <row r="121" spans="1:5">
      <c r="A121" s="134" t="s">
        <v>208</v>
      </c>
      <c r="B121" s="131">
        <v>1945</v>
      </c>
      <c r="C121" s="147">
        <f t="shared" si="11"/>
        <v>0.11514500000000001</v>
      </c>
      <c r="D121" s="146" t="s">
        <v>207</v>
      </c>
      <c r="E121" s="134" t="s">
        <v>209</v>
      </c>
    </row>
    <row r="122" spans="1:5">
      <c r="A122" s="134" t="s">
        <v>208</v>
      </c>
      <c r="B122" s="131">
        <v>1946</v>
      </c>
      <c r="C122" s="147">
        <f t="shared" si="11"/>
        <v>0.11778400000000001</v>
      </c>
      <c r="D122" s="146" t="s">
        <v>207</v>
      </c>
      <c r="E122" s="134" t="s">
        <v>209</v>
      </c>
    </row>
    <row r="123" spans="1:5">
      <c r="A123" s="134" t="s">
        <v>208</v>
      </c>
      <c r="B123" s="131">
        <v>1947</v>
      </c>
      <c r="C123" s="147">
        <f t="shared" si="11"/>
        <v>0.12042300000000002</v>
      </c>
      <c r="D123" s="146" t="s">
        <v>207</v>
      </c>
      <c r="E123" s="134" t="s">
        <v>209</v>
      </c>
    </row>
    <row r="124" spans="1:5">
      <c r="A124" s="134" t="s">
        <v>208</v>
      </c>
      <c r="B124" s="131">
        <v>1948</v>
      </c>
      <c r="C124" s="147">
        <f t="shared" si="11"/>
        <v>0.12306200000000002</v>
      </c>
      <c r="D124" s="146" t="s">
        <v>207</v>
      </c>
      <c r="E124" s="134" t="s">
        <v>209</v>
      </c>
    </row>
    <row r="125" spans="1:5">
      <c r="A125" s="134" t="s">
        <v>208</v>
      </c>
      <c r="B125" s="131">
        <v>1949</v>
      </c>
      <c r="C125" s="147">
        <f t="shared" si="11"/>
        <v>0.12570100000000001</v>
      </c>
      <c r="D125" s="146" t="s">
        <v>207</v>
      </c>
      <c r="E125" s="134" t="s">
        <v>209</v>
      </c>
    </row>
    <row r="126" spans="1:5">
      <c r="A126" s="134" t="s">
        <v>208</v>
      </c>
      <c r="B126" s="131">
        <v>1950</v>
      </c>
      <c r="C126" s="132">
        <v>0.12834000000000001</v>
      </c>
      <c r="D126" s="134" t="s">
        <v>205</v>
      </c>
      <c r="E126" s="134" t="s">
        <v>209</v>
      </c>
    </row>
    <row r="127" spans="1:5">
      <c r="A127" s="134" t="s">
        <v>208</v>
      </c>
      <c r="B127" s="131">
        <v>1951</v>
      </c>
      <c r="C127" s="147">
        <f>C126+((C$136-C$126)/(B$136-B$126))</f>
        <v>0.129888</v>
      </c>
      <c r="D127" s="146" t="s">
        <v>207</v>
      </c>
      <c r="E127" s="134" t="s">
        <v>209</v>
      </c>
    </row>
    <row r="128" spans="1:5">
      <c r="A128" s="134" t="s">
        <v>208</v>
      </c>
      <c r="B128" s="131">
        <v>1952</v>
      </c>
      <c r="C128" s="147">
        <f t="shared" ref="C128:C135" si="12">C127+((C$136-C$126)/(B$136-B$126))</f>
        <v>0.131436</v>
      </c>
      <c r="D128" s="146" t="s">
        <v>207</v>
      </c>
      <c r="E128" s="134" t="s">
        <v>209</v>
      </c>
    </row>
    <row r="129" spans="1:5">
      <c r="A129" s="134" t="s">
        <v>208</v>
      </c>
      <c r="B129" s="131">
        <v>1953</v>
      </c>
      <c r="C129" s="147">
        <f t="shared" si="12"/>
        <v>0.13298399999999999</v>
      </c>
      <c r="D129" s="146" t="s">
        <v>207</v>
      </c>
      <c r="E129" s="134" t="s">
        <v>209</v>
      </c>
    </row>
    <row r="130" spans="1:5">
      <c r="A130" s="134" t="s">
        <v>208</v>
      </c>
      <c r="B130" s="131">
        <v>1954</v>
      </c>
      <c r="C130" s="147">
        <f t="shared" si="12"/>
        <v>0.13453199999999998</v>
      </c>
      <c r="D130" s="146" t="s">
        <v>207</v>
      </c>
      <c r="E130" s="134" t="s">
        <v>209</v>
      </c>
    </row>
    <row r="131" spans="1:5">
      <c r="A131" s="134" t="s">
        <v>208</v>
      </c>
      <c r="B131" s="131">
        <v>1955</v>
      </c>
      <c r="C131" s="147">
        <f t="shared" si="12"/>
        <v>0.13607999999999998</v>
      </c>
      <c r="D131" s="146" t="s">
        <v>207</v>
      </c>
      <c r="E131" s="134" t="s">
        <v>209</v>
      </c>
    </row>
    <row r="132" spans="1:5">
      <c r="A132" s="134" t="s">
        <v>208</v>
      </c>
      <c r="B132" s="131">
        <v>1956</v>
      </c>
      <c r="C132" s="147">
        <f t="shared" si="12"/>
        <v>0.13762799999999997</v>
      </c>
      <c r="D132" s="146" t="s">
        <v>207</v>
      </c>
      <c r="E132" s="134" t="s">
        <v>209</v>
      </c>
    </row>
    <row r="133" spans="1:5">
      <c r="A133" s="134" t="s">
        <v>208</v>
      </c>
      <c r="B133" s="131">
        <v>1957</v>
      </c>
      <c r="C133" s="147">
        <f t="shared" si="12"/>
        <v>0.13917599999999997</v>
      </c>
      <c r="D133" s="146" t="s">
        <v>207</v>
      </c>
      <c r="E133" s="134" t="s">
        <v>209</v>
      </c>
    </row>
    <row r="134" spans="1:5">
      <c r="A134" s="134" t="s">
        <v>208</v>
      </c>
      <c r="B134" s="131">
        <v>1958</v>
      </c>
      <c r="C134" s="147">
        <f t="shared" si="12"/>
        <v>0.14072399999999996</v>
      </c>
      <c r="D134" s="146" t="s">
        <v>207</v>
      </c>
      <c r="E134" s="134" t="s">
        <v>209</v>
      </c>
    </row>
    <row r="135" spans="1:5">
      <c r="A135" s="134" t="s">
        <v>208</v>
      </c>
      <c r="B135" s="131">
        <v>1959</v>
      </c>
      <c r="C135" s="147">
        <f t="shared" si="12"/>
        <v>0.14227199999999995</v>
      </c>
      <c r="D135" s="146" t="s">
        <v>207</v>
      </c>
      <c r="E135" s="134" t="s">
        <v>209</v>
      </c>
    </row>
    <row r="136" spans="1:5">
      <c r="A136" s="134" t="s">
        <v>208</v>
      </c>
      <c r="B136" s="131">
        <v>1960</v>
      </c>
      <c r="C136" s="132">
        <v>0.14382</v>
      </c>
      <c r="D136" s="134" t="s">
        <v>205</v>
      </c>
      <c r="E136" s="134" t="s">
        <v>209</v>
      </c>
    </row>
    <row r="137" spans="1:5">
      <c r="A137" s="134" t="s">
        <v>208</v>
      </c>
      <c r="B137" s="131">
        <v>1961</v>
      </c>
      <c r="C137" s="147">
        <f>C136+((C$146-C$136)/(B$146-B$136))</f>
        <v>0.14475299999999999</v>
      </c>
      <c r="D137" s="146" t="s">
        <v>207</v>
      </c>
      <c r="E137" s="134" t="s">
        <v>209</v>
      </c>
    </row>
    <row r="138" spans="1:5">
      <c r="A138" s="134" t="s">
        <v>208</v>
      </c>
      <c r="B138" s="131">
        <v>1962</v>
      </c>
      <c r="C138" s="147">
        <f t="shared" ref="C138:C145" si="13">C137+((C$146-C$136)/(B$146-B$136))</f>
        <v>0.14568599999999998</v>
      </c>
      <c r="D138" s="146" t="s">
        <v>207</v>
      </c>
      <c r="E138" s="134" t="s">
        <v>209</v>
      </c>
    </row>
    <row r="139" spans="1:5">
      <c r="A139" s="134" t="s">
        <v>208</v>
      </c>
      <c r="B139" s="131">
        <v>1963</v>
      </c>
      <c r="C139" s="147">
        <f t="shared" si="13"/>
        <v>0.14661899999999997</v>
      </c>
      <c r="D139" s="146" t="s">
        <v>207</v>
      </c>
      <c r="E139" s="134" t="s">
        <v>209</v>
      </c>
    </row>
    <row r="140" spans="1:5">
      <c r="A140" s="134" t="s">
        <v>208</v>
      </c>
      <c r="B140" s="131">
        <v>1964</v>
      </c>
      <c r="C140" s="147">
        <f t="shared" si="13"/>
        <v>0.14755199999999996</v>
      </c>
      <c r="D140" s="146" t="s">
        <v>207</v>
      </c>
      <c r="E140" s="134" t="s">
        <v>209</v>
      </c>
    </row>
    <row r="141" spans="1:5">
      <c r="A141" s="134" t="s">
        <v>208</v>
      </c>
      <c r="B141" s="131">
        <v>1965</v>
      </c>
      <c r="C141" s="147">
        <f t="shared" si="13"/>
        <v>0.14848499999999995</v>
      </c>
      <c r="D141" s="146" t="s">
        <v>207</v>
      </c>
      <c r="E141" s="134" t="s">
        <v>209</v>
      </c>
    </row>
    <row r="142" spans="1:5">
      <c r="A142" s="134" t="s">
        <v>208</v>
      </c>
      <c r="B142" s="131">
        <v>1966</v>
      </c>
      <c r="C142" s="147">
        <f t="shared" si="13"/>
        <v>0.14941799999999994</v>
      </c>
      <c r="D142" s="146" t="s">
        <v>207</v>
      </c>
      <c r="E142" s="134" t="s">
        <v>209</v>
      </c>
    </row>
    <row r="143" spans="1:5">
      <c r="A143" s="134" t="s">
        <v>208</v>
      </c>
      <c r="B143" s="131">
        <v>1967</v>
      </c>
      <c r="C143" s="147">
        <f t="shared" si="13"/>
        <v>0.15035099999999993</v>
      </c>
      <c r="D143" s="146" t="s">
        <v>207</v>
      </c>
      <c r="E143" s="134" t="s">
        <v>209</v>
      </c>
    </row>
    <row r="144" spans="1:5">
      <c r="A144" s="134" t="s">
        <v>208</v>
      </c>
      <c r="B144" s="131">
        <v>1968</v>
      </c>
      <c r="C144" s="147">
        <f t="shared" si="13"/>
        <v>0.15128399999999992</v>
      </c>
      <c r="D144" s="146" t="s">
        <v>207</v>
      </c>
      <c r="E144" s="134" t="s">
        <v>209</v>
      </c>
    </row>
    <row r="145" spans="1:5">
      <c r="A145" s="134" t="s">
        <v>208</v>
      </c>
      <c r="B145" s="131">
        <v>1969</v>
      </c>
      <c r="C145" s="147">
        <f t="shared" si="13"/>
        <v>0.15221699999999991</v>
      </c>
      <c r="D145" s="146" t="s">
        <v>207</v>
      </c>
      <c r="E145" s="134" t="s">
        <v>209</v>
      </c>
    </row>
    <row r="146" spans="1:5">
      <c r="A146" s="134" t="s">
        <v>208</v>
      </c>
      <c r="B146" s="131">
        <v>1970</v>
      </c>
      <c r="C146" s="132">
        <v>0.15315000000000001</v>
      </c>
      <c r="D146" s="134" t="s">
        <v>205</v>
      </c>
      <c r="E146" s="134" t="s">
        <v>209</v>
      </c>
    </row>
    <row r="147" spans="1:5">
      <c r="A147" s="134" t="s">
        <v>208</v>
      </c>
      <c r="B147" s="131">
        <v>1971</v>
      </c>
      <c r="C147" s="147">
        <f>C146+((C$156-C$146)/(B$156-B$146))</f>
        <v>0.15381</v>
      </c>
      <c r="D147" s="146" t="s">
        <v>207</v>
      </c>
      <c r="E147" s="134" t="s">
        <v>209</v>
      </c>
    </row>
    <row r="148" spans="1:5">
      <c r="A148" s="134" t="s">
        <v>208</v>
      </c>
      <c r="B148" s="131">
        <v>1972</v>
      </c>
      <c r="C148" s="147">
        <f t="shared" ref="C148:C155" si="14">C147+((C$156-C$146)/(B$156-B$146))</f>
        <v>0.15447</v>
      </c>
      <c r="D148" s="146" t="s">
        <v>207</v>
      </c>
      <c r="E148" s="134" t="s">
        <v>209</v>
      </c>
    </row>
    <row r="149" spans="1:5">
      <c r="A149" s="134" t="s">
        <v>208</v>
      </c>
      <c r="B149" s="131">
        <v>1973</v>
      </c>
      <c r="C149" s="147">
        <f t="shared" si="14"/>
        <v>0.15512999999999999</v>
      </c>
      <c r="D149" s="146" t="s">
        <v>207</v>
      </c>
      <c r="E149" s="134" t="s">
        <v>209</v>
      </c>
    </row>
    <row r="150" spans="1:5">
      <c r="A150" s="134" t="s">
        <v>208</v>
      </c>
      <c r="B150" s="131">
        <v>1974</v>
      </c>
      <c r="C150" s="147">
        <f t="shared" si="14"/>
        <v>0.15578999999999998</v>
      </c>
      <c r="D150" s="146" t="s">
        <v>207</v>
      </c>
      <c r="E150" s="134" t="s">
        <v>209</v>
      </c>
    </row>
    <row r="151" spans="1:5">
      <c r="A151" s="134" t="s">
        <v>208</v>
      </c>
      <c r="B151" s="131">
        <v>1975</v>
      </c>
      <c r="C151" s="147">
        <f t="shared" si="14"/>
        <v>0.15644999999999998</v>
      </c>
      <c r="D151" s="146" t="s">
        <v>207</v>
      </c>
      <c r="E151" s="134" t="s">
        <v>209</v>
      </c>
    </row>
    <row r="152" spans="1:5">
      <c r="A152" s="134" t="s">
        <v>208</v>
      </c>
      <c r="B152" s="131">
        <v>1976</v>
      </c>
      <c r="C152" s="147">
        <f t="shared" si="14"/>
        <v>0.15710999999999997</v>
      </c>
      <c r="D152" s="146" t="s">
        <v>207</v>
      </c>
      <c r="E152" s="134" t="s">
        <v>209</v>
      </c>
    </row>
    <row r="153" spans="1:5">
      <c r="A153" s="134" t="s">
        <v>208</v>
      </c>
      <c r="B153" s="131">
        <v>1977</v>
      </c>
      <c r="C153" s="147">
        <f t="shared" si="14"/>
        <v>0.15776999999999997</v>
      </c>
      <c r="D153" s="146" t="s">
        <v>207</v>
      </c>
      <c r="E153" s="134" t="s">
        <v>209</v>
      </c>
    </row>
    <row r="154" spans="1:5">
      <c r="A154" s="134" t="s">
        <v>208</v>
      </c>
      <c r="B154" s="131">
        <v>1978</v>
      </c>
      <c r="C154" s="147">
        <f t="shared" si="14"/>
        <v>0.15842999999999996</v>
      </c>
      <c r="D154" s="146" t="s">
        <v>207</v>
      </c>
      <c r="E154" s="134" t="s">
        <v>209</v>
      </c>
    </row>
    <row r="155" spans="1:5">
      <c r="A155" s="134" t="s">
        <v>208</v>
      </c>
      <c r="B155" s="131">
        <v>1979</v>
      </c>
      <c r="C155" s="147">
        <f t="shared" si="14"/>
        <v>0.15908999999999995</v>
      </c>
      <c r="D155" s="146" t="s">
        <v>207</v>
      </c>
      <c r="E155" s="134" t="s">
        <v>209</v>
      </c>
    </row>
    <row r="156" spans="1:5">
      <c r="A156" s="134" t="s">
        <v>208</v>
      </c>
      <c r="B156" s="131">
        <v>1980</v>
      </c>
      <c r="C156" s="132">
        <v>0.15975</v>
      </c>
      <c r="D156" s="134" t="s">
        <v>205</v>
      </c>
      <c r="E156" s="134" t="s">
        <v>209</v>
      </c>
    </row>
    <row r="157" spans="1:5">
      <c r="A157" s="134" t="s">
        <v>208</v>
      </c>
      <c r="B157" s="131">
        <v>1981</v>
      </c>
      <c r="C157" s="147">
        <f>C156+((C$166-C$156)/(B$166-B$156))</f>
        <v>0.16022800000000001</v>
      </c>
      <c r="D157" s="146" t="s">
        <v>207</v>
      </c>
      <c r="E157" s="134" t="s">
        <v>209</v>
      </c>
    </row>
    <row r="158" spans="1:5">
      <c r="A158" s="134" t="s">
        <v>208</v>
      </c>
      <c r="B158" s="131">
        <v>1982</v>
      </c>
      <c r="C158" s="147">
        <f t="shared" ref="C158:C165" si="15">C157+((C$166-C$156)/(B$166-B$156))</f>
        <v>0.16070600000000002</v>
      </c>
      <c r="D158" s="146" t="s">
        <v>207</v>
      </c>
      <c r="E158" s="134" t="s">
        <v>209</v>
      </c>
    </row>
    <row r="159" spans="1:5">
      <c r="A159" s="134" t="s">
        <v>208</v>
      </c>
      <c r="B159" s="131">
        <v>1983</v>
      </c>
      <c r="C159" s="147">
        <f t="shared" si="15"/>
        <v>0.16118400000000002</v>
      </c>
      <c r="D159" s="146" t="s">
        <v>207</v>
      </c>
      <c r="E159" s="134" t="s">
        <v>209</v>
      </c>
    </row>
    <row r="160" spans="1:5">
      <c r="A160" s="134" t="s">
        <v>208</v>
      </c>
      <c r="B160" s="131">
        <v>1984</v>
      </c>
      <c r="C160" s="147">
        <f t="shared" si="15"/>
        <v>0.16166200000000003</v>
      </c>
      <c r="D160" s="146" t="s">
        <v>207</v>
      </c>
      <c r="E160" s="134" t="s">
        <v>209</v>
      </c>
    </row>
    <row r="161" spans="1:5">
      <c r="A161" s="134" t="s">
        <v>208</v>
      </c>
      <c r="B161" s="131">
        <v>1985</v>
      </c>
      <c r="C161" s="147">
        <f t="shared" si="15"/>
        <v>0.16214000000000003</v>
      </c>
      <c r="D161" s="146" t="s">
        <v>207</v>
      </c>
      <c r="E161" s="134" t="s">
        <v>209</v>
      </c>
    </row>
    <row r="162" spans="1:5">
      <c r="A162" s="134" t="s">
        <v>208</v>
      </c>
      <c r="B162" s="131">
        <v>1986</v>
      </c>
      <c r="C162" s="147">
        <f t="shared" si="15"/>
        <v>0.16261800000000004</v>
      </c>
      <c r="D162" s="146" t="s">
        <v>207</v>
      </c>
      <c r="E162" s="134" t="s">
        <v>209</v>
      </c>
    </row>
    <row r="163" spans="1:5">
      <c r="A163" s="134" t="s">
        <v>208</v>
      </c>
      <c r="B163" s="131">
        <v>1987</v>
      </c>
      <c r="C163" s="147">
        <f t="shared" si="15"/>
        <v>0.16309600000000005</v>
      </c>
      <c r="D163" s="146" t="s">
        <v>207</v>
      </c>
      <c r="E163" s="134" t="s">
        <v>209</v>
      </c>
    </row>
    <row r="164" spans="1:5">
      <c r="A164" s="134" t="s">
        <v>208</v>
      </c>
      <c r="B164" s="131">
        <v>1988</v>
      </c>
      <c r="C164" s="147">
        <f t="shared" si="15"/>
        <v>0.16357400000000005</v>
      </c>
      <c r="D164" s="146" t="s">
        <v>207</v>
      </c>
      <c r="E164" s="134" t="s">
        <v>209</v>
      </c>
    </row>
    <row r="165" spans="1:5">
      <c r="A165" s="134" t="s">
        <v>208</v>
      </c>
      <c r="B165" s="131">
        <v>1989</v>
      </c>
      <c r="C165" s="147">
        <f t="shared" si="15"/>
        <v>0.16405200000000006</v>
      </c>
      <c r="D165" s="146" t="s">
        <v>207</v>
      </c>
      <c r="E165" s="134" t="s">
        <v>209</v>
      </c>
    </row>
    <row r="166" spans="1:5">
      <c r="A166" s="134" t="s">
        <v>208</v>
      </c>
      <c r="B166" s="131">
        <v>1990</v>
      </c>
      <c r="C166" s="132">
        <v>0.16453000000000001</v>
      </c>
      <c r="D166" s="134" t="s">
        <v>205</v>
      </c>
      <c r="E166" s="134" t="s">
        <v>209</v>
      </c>
    </row>
    <row r="167" spans="1:5">
      <c r="A167" s="134" t="s">
        <v>208</v>
      </c>
      <c r="B167" s="131">
        <v>1991</v>
      </c>
      <c r="C167" s="147">
        <f>C$166</f>
        <v>0.16453000000000001</v>
      </c>
      <c r="D167" s="146" t="s">
        <v>206</v>
      </c>
      <c r="E167" s="134" t="s">
        <v>209</v>
      </c>
    </row>
    <row r="168" spans="1:5">
      <c r="A168" s="134" t="s">
        <v>208</v>
      </c>
      <c r="B168" s="131">
        <v>1992</v>
      </c>
      <c r="C168" s="147">
        <f t="shared" ref="C168:C196" si="16">C$166</f>
        <v>0.16453000000000001</v>
      </c>
      <c r="D168" s="146" t="s">
        <v>206</v>
      </c>
      <c r="E168" s="134" t="s">
        <v>209</v>
      </c>
    </row>
    <row r="169" spans="1:5">
      <c r="A169" s="134" t="s">
        <v>208</v>
      </c>
      <c r="B169" s="131">
        <v>1993</v>
      </c>
      <c r="C169" s="147">
        <f t="shared" si="16"/>
        <v>0.16453000000000001</v>
      </c>
      <c r="D169" s="146" t="s">
        <v>206</v>
      </c>
      <c r="E169" s="134" t="s">
        <v>209</v>
      </c>
    </row>
    <row r="170" spans="1:5">
      <c r="A170" s="134" t="s">
        <v>208</v>
      </c>
      <c r="B170" s="131">
        <v>1994</v>
      </c>
      <c r="C170" s="147">
        <f t="shared" si="16"/>
        <v>0.16453000000000001</v>
      </c>
      <c r="D170" s="146" t="s">
        <v>206</v>
      </c>
      <c r="E170" s="134" t="s">
        <v>209</v>
      </c>
    </row>
    <row r="171" spans="1:5">
      <c r="A171" s="134" t="s">
        <v>208</v>
      </c>
      <c r="B171" s="131">
        <v>1995</v>
      </c>
      <c r="C171" s="147">
        <f t="shared" si="16"/>
        <v>0.16453000000000001</v>
      </c>
      <c r="D171" s="146" t="s">
        <v>206</v>
      </c>
      <c r="E171" s="134" t="s">
        <v>209</v>
      </c>
    </row>
    <row r="172" spans="1:5">
      <c r="A172" s="134" t="s">
        <v>208</v>
      </c>
      <c r="B172" s="131">
        <v>1996</v>
      </c>
      <c r="C172" s="147">
        <f t="shared" si="16"/>
        <v>0.16453000000000001</v>
      </c>
      <c r="D172" s="146" t="s">
        <v>206</v>
      </c>
      <c r="E172" s="134" t="s">
        <v>209</v>
      </c>
    </row>
    <row r="173" spans="1:5">
      <c r="A173" s="134" t="s">
        <v>208</v>
      </c>
      <c r="B173" s="131">
        <v>1997</v>
      </c>
      <c r="C173" s="147">
        <f t="shared" si="16"/>
        <v>0.16453000000000001</v>
      </c>
      <c r="D173" s="146" t="s">
        <v>206</v>
      </c>
      <c r="E173" s="134" t="s">
        <v>209</v>
      </c>
    </row>
    <row r="174" spans="1:5">
      <c r="A174" s="134" t="s">
        <v>208</v>
      </c>
      <c r="B174" s="131">
        <v>1998</v>
      </c>
      <c r="C174" s="147">
        <f t="shared" si="16"/>
        <v>0.16453000000000001</v>
      </c>
      <c r="D174" s="146" t="s">
        <v>206</v>
      </c>
      <c r="E174" s="134" t="s">
        <v>209</v>
      </c>
    </row>
    <row r="175" spans="1:5">
      <c r="A175" s="134" t="s">
        <v>208</v>
      </c>
      <c r="B175" s="131">
        <v>1999</v>
      </c>
      <c r="C175" s="147">
        <f t="shared" si="16"/>
        <v>0.16453000000000001</v>
      </c>
      <c r="D175" s="146" t="s">
        <v>206</v>
      </c>
      <c r="E175" s="134" t="s">
        <v>209</v>
      </c>
    </row>
    <row r="176" spans="1:5">
      <c r="A176" s="134" t="s">
        <v>208</v>
      </c>
      <c r="B176" s="131">
        <v>2000</v>
      </c>
      <c r="C176" s="147">
        <f t="shared" si="16"/>
        <v>0.16453000000000001</v>
      </c>
      <c r="D176" s="146" t="s">
        <v>206</v>
      </c>
      <c r="E176" s="134" t="s">
        <v>209</v>
      </c>
    </row>
    <row r="177" spans="1:5">
      <c r="A177" s="134" t="s">
        <v>208</v>
      </c>
      <c r="B177" s="131">
        <v>2001</v>
      </c>
      <c r="C177" s="147">
        <f t="shared" si="16"/>
        <v>0.16453000000000001</v>
      </c>
      <c r="D177" s="146" t="s">
        <v>206</v>
      </c>
      <c r="E177" s="134" t="s">
        <v>209</v>
      </c>
    </row>
    <row r="178" spans="1:5">
      <c r="A178" s="134" t="s">
        <v>208</v>
      </c>
      <c r="B178" s="131">
        <v>2002</v>
      </c>
      <c r="C178" s="147">
        <f t="shared" si="16"/>
        <v>0.16453000000000001</v>
      </c>
      <c r="D178" s="146" t="s">
        <v>206</v>
      </c>
      <c r="E178" s="134" t="s">
        <v>209</v>
      </c>
    </row>
    <row r="179" spans="1:5">
      <c r="A179" s="134" t="s">
        <v>208</v>
      </c>
      <c r="B179" s="131">
        <v>2003</v>
      </c>
      <c r="C179" s="147">
        <f t="shared" si="16"/>
        <v>0.16453000000000001</v>
      </c>
      <c r="D179" s="146" t="s">
        <v>206</v>
      </c>
      <c r="E179" s="134" t="s">
        <v>209</v>
      </c>
    </row>
    <row r="180" spans="1:5">
      <c r="A180" s="134" t="s">
        <v>208</v>
      </c>
      <c r="B180" s="131">
        <v>2004</v>
      </c>
      <c r="C180" s="147">
        <f t="shared" si="16"/>
        <v>0.16453000000000001</v>
      </c>
      <c r="D180" s="146" t="s">
        <v>206</v>
      </c>
      <c r="E180" s="134" t="s">
        <v>209</v>
      </c>
    </row>
    <row r="181" spans="1:5">
      <c r="A181" s="134" t="s">
        <v>208</v>
      </c>
      <c r="B181" s="131">
        <v>2005</v>
      </c>
      <c r="C181" s="147">
        <f t="shared" si="16"/>
        <v>0.16453000000000001</v>
      </c>
      <c r="D181" s="146" t="s">
        <v>206</v>
      </c>
      <c r="E181" s="134" t="s">
        <v>209</v>
      </c>
    </row>
    <row r="182" spans="1:5">
      <c r="A182" s="134" t="s">
        <v>208</v>
      </c>
      <c r="B182" s="131">
        <v>2006</v>
      </c>
      <c r="C182" s="147">
        <f t="shared" si="16"/>
        <v>0.16453000000000001</v>
      </c>
      <c r="D182" s="146" t="s">
        <v>206</v>
      </c>
      <c r="E182" s="134" t="s">
        <v>209</v>
      </c>
    </row>
    <row r="183" spans="1:5">
      <c r="A183" s="134" t="s">
        <v>208</v>
      </c>
      <c r="B183" s="131">
        <v>2007</v>
      </c>
      <c r="C183" s="147">
        <f t="shared" si="16"/>
        <v>0.16453000000000001</v>
      </c>
      <c r="D183" s="146" t="s">
        <v>206</v>
      </c>
      <c r="E183" s="134" t="s">
        <v>209</v>
      </c>
    </row>
    <row r="184" spans="1:5">
      <c r="A184" s="134" t="s">
        <v>208</v>
      </c>
      <c r="B184" s="131">
        <v>2008</v>
      </c>
      <c r="C184" s="147">
        <f t="shared" si="16"/>
        <v>0.16453000000000001</v>
      </c>
      <c r="D184" s="146" t="s">
        <v>206</v>
      </c>
      <c r="E184" s="134" t="s">
        <v>209</v>
      </c>
    </row>
    <row r="185" spans="1:5">
      <c r="A185" s="134" t="s">
        <v>208</v>
      </c>
      <c r="B185" s="131">
        <v>2009</v>
      </c>
      <c r="C185" s="147">
        <f t="shared" si="16"/>
        <v>0.16453000000000001</v>
      </c>
      <c r="D185" s="146" t="s">
        <v>206</v>
      </c>
      <c r="E185" s="134" t="s">
        <v>209</v>
      </c>
    </row>
    <row r="186" spans="1:5">
      <c r="A186" s="134" t="s">
        <v>208</v>
      </c>
      <c r="B186" s="131">
        <v>2010</v>
      </c>
      <c r="C186" s="147">
        <f t="shared" si="16"/>
        <v>0.16453000000000001</v>
      </c>
      <c r="D186" s="146" t="s">
        <v>206</v>
      </c>
      <c r="E186" s="134" t="s">
        <v>209</v>
      </c>
    </row>
    <row r="187" spans="1:5">
      <c r="A187" s="134" t="s">
        <v>208</v>
      </c>
      <c r="B187" s="131">
        <v>2011</v>
      </c>
      <c r="C187" s="147">
        <f t="shared" si="16"/>
        <v>0.16453000000000001</v>
      </c>
      <c r="D187" s="146" t="s">
        <v>206</v>
      </c>
      <c r="E187" s="134" t="s">
        <v>209</v>
      </c>
    </row>
    <row r="188" spans="1:5">
      <c r="A188" s="134" t="s">
        <v>208</v>
      </c>
      <c r="B188" s="131">
        <v>2012</v>
      </c>
      <c r="C188" s="147">
        <f t="shared" si="16"/>
        <v>0.16453000000000001</v>
      </c>
      <c r="D188" s="146" t="s">
        <v>206</v>
      </c>
      <c r="E188" s="134" t="s">
        <v>209</v>
      </c>
    </row>
    <row r="189" spans="1:5">
      <c r="A189" s="134" t="s">
        <v>208</v>
      </c>
      <c r="B189" s="131">
        <v>2013</v>
      </c>
      <c r="C189" s="147">
        <f t="shared" si="16"/>
        <v>0.16453000000000001</v>
      </c>
      <c r="D189" s="146" t="s">
        <v>206</v>
      </c>
      <c r="E189" s="134" t="s">
        <v>209</v>
      </c>
    </row>
    <row r="190" spans="1:5">
      <c r="A190" s="134" t="s">
        <v>208</v>
      </c>
      <c r="B190" s="131">
        <v>2014</v>
      </c>
      <c r="C190" s="147">
        <f t="shared" si="16"/>
        <v>0.16453000000000001</v>
      </c>
      <c r="D190" s="146" t="s">
        <v>206</v>
      </c>
      <c r="E190" s="134" t="s">
        <v>209</v>
      </c>
    </row>
    <row r="191" spans="1:5">
      <c r="A191" s="134" t="s">
        <v>208</v>
      </c>
      <c r="B191" s="131">
        <v>2015</v>
      </c>
      <c r="C191" s="147">
        <f t="shared" si="16"/>
        <v>0.16453000000000001</v>
      </c>
      <c r="D191" s="146" t="s">
        <v>206</v>
      </c>
      <c r="E191" s="134" t="s">
        <v>209</v>
      </c>
    </row>
    <row r="192" spans="1:5">
      <c r="A192" s="134" t="s">
        <v>208</v>
      </c>
      <c r="B192" s="131">
        <v>2016</v>
      </c>
      <c r="C192" s="147">
        <f t="shared" si="16"/>
        <v>0.16453000000000001</v>
      </c>
      <c r="D192" s="146" t="s">
        <v>206</v>
      </c>
      <c r="E192" s="134" t="s">
        <v>209</v>
      </c>
    </row>
    <row r="193" spans="1:5">
      <c r="A193" s="134" t="s">
        <v>208</v>
      </c>
      <c r="B193" s="131">
        <v>2017</v>
      </c>
      <c r="C193" s="147">
        <f t="shared" si="16"/>
        <v>0.16453000000000001</v>
      </c>
      <c r="D193" s="146" t="s">
        <v>206</v>
      </c>
      <c r="E193" s="134" t="s">
        <v>209</v>
      </c>
    </row>
    <row r="194" spans="1:5">
      <c r="A194" s="134" t="s">
        <v>208</v>
      </c>
      <c r="B194" s="131">
        <v>2018</v>
      </c>
      <c r="C194" s="147">
        <f t="shared" si="16"/>
        <v>0.16453000000000001</v>
      </c>
      <c r="D194" s="146" t="s">
        <v>206</v>
      </c>
      <c r="E194" s="134" t="s">
        <v>209</v>
      </c>
    </row>
    <row r="195" spans="1:5">
      <c r="A195" s="134" t="s">
        <v>208</v>
      </c>
      <c r="B195" s="131">
        <v>2019</v>
      </c>
      <c r="C195" s="147">
        <f t="shared" si="16"/>
        <v>0.16453000000000001</v>
      </c>
      <c r="D195" s="146" t="s">
        <v>206</v>
      </c>
      <c r="E195" s="134" t="s">
        <v>209</v>
      </c>
    </row>
    <row r="196" spans="1:5">
      <c r="A196" s="134" t="s">
        <v>208</v>
      </c>
      <c r="B196" s="131">
        <v>2020</v>
      </c>
      <c r="C196" s="147">
        <f t="shared" si="16"/>
        <v>0.16453000000000001</v>
      </c>
      <c r="D196" s="146" t="s">
        <v>206</v>
      </c>
      <c r="E196" s="134" t="s">
        <v>209</v>
      </c>
    </row>
  </sheetData>
  <hyperlinks>
    <hyperlink ref="A2" r:id="rId1" xr:uid="{00000000-0004-0000-0A00-000000000000}"/>
  </hyperlinks>
  <pageMargins left="0.7" right="0.7" top="0.75" bottom="0.75" header="0.3" footer="0.3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J219"/>
  <sheetViews>
    <sheetView zoomScaleNormal="100" workbookViewId="0">
      <selection activeCell="BR59" sqref="BM58:BR59"/>
    </sheetView>
  </sheetViews>
  <sheetFormatPr defaultColWidth="9.109375" defaultRowHeight="13.2"/>
  <cols>
    <col min="1" max="1" width="36.5546875" style="44" customWidth="1"/>
    <col min="2" max="2" width="47.44140625" style="44" customWidth="1"/>
    <col min="3" max="3" width="10.33203125" style="44" customWidth="1"/>
    <col min="4" max="4" width="11.5546875" style="44" customWidth="1"/>
    <col min="5" max="5" width="11.6640625" style="44" customWidth="1"/>
    <col min="6" max="6" width="11.5546875" style="44" customWidth="1"/>
    <col min="7" max="12" width="9.109375" style="44" customWidth="1"/>
    <col min="13" max="16" width="9.109375" style="44"/>
    <col min="17" max="18" width="10.109375" style="44" customWidth="1"/>
    <col min="19" max="19" width="10" style="44" customWidth="1"/>
    <col min="20" max="21" width="9.88671875" style="44" customWidth="1"/>
    <col min="22" max="42" width="9.109375" style="44"/>
    <col min="43" max="61" width="9.5546875" style="44" bestFit="1" customWidth="1"/>
    <col min="62" max="16384" width="9.109375" style="44"/>
  </cols>
  <sheetData>
    <row r="1" spans="1:55" ht="14.4">
      <c r="A1" s="9" t="s">
        <v>6</v>
      </c>
      <c r="B1" s="28"/>
    </row>
    <row r="2" spans="1:55" ht="14.4">
      <c r="A2" s="20" t="s">
        <v>13</v>
      </c>
      <c r="B2" s="28"/>
      <c r="G2" s="18"/>
    </row>
    <row r="3" spans="1:55">
      <c r="A3" s="44" t="s">
        <v>8</v>
      </c>
      <c r="E3" s="44" t="s">
        <v>148</v>
      </c>
      <c r="F3" s="44" t="s">
        <v>149</v>
      </c>
      <c r="U3" s="44" t="s">
        <v>148</v>
      </c>
      <c r="V3" s="44" t="s">
        <v>149</v>
      </c>
    </row>
    <row r="4" spans="1:55">
      <c r="D4" s="15" t="s">
        <v>150</v>
      </c>
      <c r="E4" s="113">
        <v>0.1</v>
      </c>
      <c r="F4" s="113">
        <v>0.35</v>
      </c>
      <c r="T4" s="15" t="s">
        <v>150</v>
      </c>
      <c r="U4" s="113">
        <v>0.1</v>
      </c>
      <c r="V4" s="113">
        <v>0.3</v>
      </c>
      <c r="W4" s="18" t="s">
        <v>153</v>
      </c>
    </row>
    <row r="5" spans="1:55" ht="14.4">
      <c r="A5" s="9" t="s">
        <v>7</v>
      </c>
      <c r="B5" s="28"/>
      <c r="D5" s="15" t="s">
        <v>151</v>
      </c>
      <c r="E5" s="44">
        <v>0.7</v>
      </c>
      <c r="F5" s="44">
        <v>0.7</v>
      </c>
      <c r="T5" s="15" t="s">
        <v>151</v>
      </c>
      <c r="U5" s="44">
        <v>0.7</v>
      </c>
      <c r="V5" s="44">
        <v>0.7</v>
      </c>
    </row>
    <row r="6" spans="1:55">
      <c r="A6" s="26">
        <v>1</v>
      </c>
      <c r="B6" s="23" t="s">
        <v>166</v>
      </c>
      <c r="D6" s="44" t="s">
        <v>152</v>
      </c>
      <c r="E6" s="4">
        <f>E4*E5</f>
        <v>6.9999999999999993E-2</v>
      </c>
      <c r="F6" s="4">
        <f>F4*F5</f>
        <v>0.24499999999999997</v>
      </c>
      <c r="T6" s="16" t="s">
        <v>152</v>
      </c>
      <c r="U6" s="114">
        <f>U4*U5</f>
        <v>6.9999999999999993E-2</v>
      </c>
      <c r="V6" s="115">
        <f>V4*V5</f>
        <v>0.21</v>
      </c>
    </row>
    <row r="7" spans="1:55">
      <c r="A7" s="44">
        <v>2</v>
      </c>
      <c r="B7" s="23" t="s">
        <v>167</v>
      </c>
    </row>
    <row r="8" spans="1:55">
      <c r="A8" s="26">
        <v>3</v>
      </c>
      <c r="B8" s="23" t="s">
        <v>168</v>
      </c>
    </row>
    <row r="9" spans="1:55">
      <c r="A9" s="44">
        <v>4</v>
      </c>
      <c r="B9" s="23" t="s">
        <v>177</v>
      </c>
    </row>
    <row r="10" spans="1:55" ht="14.4">
      <c r="A10" s="44">
        <v>5</v>
      </c>
      <c r="B10" s="21" t="s">
        <v>163</v>
      </c>
      <c r="R10" s="28" t="s">
        <v>173</v>
      </c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9"/>
      <c r="AF10" s="102" t="s">
        <v>175</v>
      </c>
      <c r="AG10" s="28"/>
      <c r="AH10" s="28"/>
      <c r="AI10" s="28"/>
      <c r="AJ10" s="28"/>
      <c r="AK10" s="28"/>
    </row>
    <row r="11" spans="1:55" ht="14.4">
      <c r="A11" s="8">
        <v>6</v>
      </c>
      <c r="B11" s="102" t="s">
        <v>169</v>
      </c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9"/>
      <c r="AF11" s="28" t="s">
        <v>174</v>
      </c>
      <c r="AG11" s="28"/>
      <c r="AH11" s="28"/>
      <c r="AI11" s="28"/>
      <c r="AJ11" s="28"/>
      <c r="AK11" s="28"/>
    </row>
    <row r="12" spans="1:55" ht="14.4">
      <c r="A12" s="14">
        <v>7</v>
      </c>
      <c r="B12" s="23" t="s">
        <v>170</v>
      </c>
      <c r="R12" s="102" t="s">
        <v>176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9"/>
      <c r="AF12" s="28"/>
      <c r="AG12" s="28"/>
      <c r="AH12" s="28"/>
      <c r="AI12" s="28"/>
      <c r="AJ12" s="28"/>
      <c r="AK12" s="28"/>
    </row>
    <row r="13" spans="1:55" ht="14.4">
      <c r="A13" s="14">
        <v>8</v>
      </c>
      <c r="B13" s="23" t="s">
        <v>172</v>
      </c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9"/>
      <c r="AF13" s="28"/>
      <c r="AG13" s="28"/>
      <c r="AH13" s="28"/>
      <c r="AI13" s="28"/>
      <c r="AJ13" s="28"/>
      <c r="AK13" s="28"/>
    </row>
    <row r="14" spans="1:55" ht="14.4"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9"/>
      <c r="AF14" s="28"/>
      <c r="AG14" s="28"/>
      <c r="AH14" s="28"/>
      <c r="AI14" s="28"/>
      <c r="AJ14" s="28"/>
      <c r="AK14" s="28"/>
    </row>
    <row r="15" spans="1:55" ht="14.4">
      <c r="A15" s="10" t="s">
        <v>5</v>
      </c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9"/>
      <c r="AF15" s="28"/>
      <c r="AG15" s="28"/>
      <c r="AH15" s="28"/>
      <c r="AI15" s="28"/>
      <c r="AJ15" s="28"/>
      <c r="AK15" s="28"/>
    </row>
    <row r="16" spans="1:55" s="28" customFormat="1" ht="14.4">
      <c r="C16" s="18" t="s">
        <v>102</v>
      </c>
      <c r="D16" s="44"/>
      <c r="E16" s="44"/>
      <c r="AE16" s="29"/>
      <c r="BC16" s="29"/>
    </row>
    <row r="17" spans="1:62" s="28" customFormat="1" ht="14.4">
      <c r="C17" s="44">
        <f>41000000/146.52</f>
        <v>279825.27982527978</v>
      </c>
      <c r="D17" s="44"/>
      <c r="E17" s="44"/>
      <c r="AE17" s="29"/>
      <c r="BC17" s="29"/>
    </row>
    <row r="18" spans="1:62" s="28" customFormat="1" ht="14.4">
      <c r="C18" s="18" t="s">
        <v>84</v>
      </c>
      <c r="D18" s="44">
        <v>146.30000000000001</v>
      </c>
      <c r="E18" s="18" t="s">
        <v>14</v>
      </c>
      <c r="AE18" s="29"/>
      <c r="BC18" s="29"/>
    </row>
    <row r="19" spans="1:62" s="28" customFormat="1" ht="14.4">
      <c r="C19" s="18" t="s">
        <v>81</v>
      </c>
      <c r="D19" s="44"/>
      <c r="E19" s="44"/>
      <c r="AE19" s="29"/>
      <c r="BC19" s="29"/>
    </row>
    <row r="20" spans="1:62" s="28" customFormat="1" ht="14.4">
      <c r="C20" s="18" t="s">
        <v>82</v>
      </c>
      <c r="D20" s="44">
        <f>1000*3600</f>
        <v>3600000</v>
      </c>
      <c r="E20" s="18" t="s">
        <v>83</v>
      </c>
      <c r="AE20" s="29"/>
      <c r="BC20" s="29"/>
    </row>
    <row r="21" spans="1:62" s="28" customFormat="1" ht="14.4">
      <c r="C21" s="18" t="s">
        <v>82</v>
      </c>
      <c r="D21" s="44">
        <v>3.6</v>
      </c>
      <c r="E21" s="18" t="s">
        <v>14</v>
      </c>
      <c r="AE21" s="29"/>
      <c r="BC21" s="29"/>
    </row>
    <row r="22" spans="1:62" s="28" customFormat="1" ht="14.4">
      <c r="C22" s="25" t="s">
        <v>84</v>
      </c>
      <c r="D22" s="71">
        <f>D18/D21</f>
        <v>40.638888888888893</v>
      </c>
      <c r="E22" s="25" t="s">
        <v>85</v>
      </c>
      <c r="AE22" s="29"/>
      <c r="BC22" s="29"/>
    </row>
    <row r="23" spans="1:62" ht="14.4">
      <c r="A23" s="84" t="s">
        <v>27</v>
      </c>
      <c r="C23" s="18" t="s">
        <v>82</v>
      </c>
      <c r="D23" s="44">
        <f>1/D22</f>
        <v>2.4606971975393025E-2</v>
      </c>
      <c r="E23" s="18" t="s">
        <v>86</v>
      </c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9"/>
      <c r="AF23" s="28"/>
      <c r="AG23" s="28"/>
      <c r="AH23" s="28"/>
      <c r="AI23" s="28"/>
      <c r="AJ23" s="28"/>
      <c r="AK23" s="28"/>
    </row>
    <row r="24" spans="1:62" ht="14.4">
      <c r="A24" s="44" t="s">
        <v>28</v>
      </c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9"/>
      <c r="AF24" s="28"/>
      <c r="AG24" s="28"/>
      <c r="AH24" s="28"/>
      <c r="AI24" s="28"/>
      <c r="AJ24" s="28"/>
      <c r="AK24" s="28"/>
    </row>
    <row r="25" spans="1:62" ht="14.4">
      <c r="A25" s="44" t="s">
        <v>20</v>
      </c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9"/>
      <c r="AF25" s="28"/>
      <c r="AG25" s="28"/>
      <c r="AH25" s="28"/>
      <c r="AI25" s="28"/>
      <c r="AJ25" s="28"/>
      <c r="AK25" s="28"/>
    </row>
    <row r="26" spans="1:62" ht="14.4">
      <c r="A26" s="43" t="s">
        <v>40</v>
      </c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9"/>
      <c r="AF26" s="28"/>
      <c r="AG26" s="28"/>
      <c r="AH26" s="28"/>
      <c r="AI26" s="28"/>
      <c r="AJ26" s="28"/>
      <c r="AK26" s="28"/>
    </row>
    <row r="27" spans="1:62" ht="14.4">
      <c r="A27" s="18" t="s">
        <v>54</v>
      </c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9"/>
      <c r="AF27" s="28"/>
      <c r="AG27" s="28"/>
      <c r="AH27" s="28"/>
      <c r="AI27" s="28"/>
      <c r="AJ27" s="28"/>
      <c r="AK27" s="28"/>
    </row>
    <row r="28" spans="1:62" ht="14.4">
      <c r="A28" s="28" t="s">
        <v>18</v>
      </c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9"/>
      <c r="AF28" s="28"/>
      <c r="AG28" s="28"/>
      <c r="AH28" s="28"/>
      <c r="AI28" s="28"/>
      <c r="AJ28" s="28"/>
      <c r="AK28" s="28"/>
    </row>
    <row r="29" spans="1:62" ht="14.4"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9"/>
      <c r="AF29" s="28"/>
      <c r="AG29" s="28"/>
      <c r="AH29" s="28"/>
      <c r="AI29" s="28"/>
      <c r="AJ29" s="28"/>
      <c r="AK29" s="28"/>
    </row>
    <row r="30" spans="1:62" ht="14.4">
      <c r="A30" s="10" t="s">
        <v>12</v>
      </c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9"/>
      <c r="AF30" s="28"/>
      <c r="AG30" s="28"/>
      <c r="AH30" s="28"/>
      <c r="AI30" s="28"/>
      <c r="AJ30" s="28"/>
      <c r="AK30" s="28"/>
    </row>
    <row r="31" spans="1:62">
      <c r="C31" s="44">
        <v>1960</v>
      </c>
      <c r="D31" s="44">
        <v>1961</v>
      </c>
      <c r="E31" s="44">
        <v>1962</v>
      </c>
      <c r="F31" s="44">
        <v>1963</v>
      </c>
      <c r="G31" s="44">
        <v>1964</v>
      </c>
      <c r="H31" s="44">
        <v>1965</v>
      </c>
      <c r="I31" s="44">
        <v>1966</v>
      </c>
      <c r="J31" s="44">
        <v>1967</v>
      </c>
      <c r="K31" s="44">
        <v>1968</v>
      </c>
      <c r="L31" s="44">
        <v>1969</v>
      </c>
      <c r="M31" s="7">
        <v>1970</v>
      </c>
      <c r="N31" s="44">
        <v>1971</v>
      </c>
      <c r="O31" s="44">
        <v>1972</v>
      </c>
      <c r="P31" s="44">
        <v>1973</v>
      </c>
      <c r="Q31" s="44">
        <v>1974</v>
      </c>
      <c r="R31" s="44">
        <v>1975</v>
      </c>
      <c r="S31" s="44">
        <v>1976</v>
      </c>
      <c r="T31" s="44">
        <v>1977</v>
      </c>
      <c r="U31" s="44">
        <v>1978</v>
      </c>
      <c r="V31" s="44">
        <v>1979</v>
      </c>
      <c r="W31" s="44">
        <v>1980</v>
      </c>
      <c r="X31" s="44">
        <v>1981</v>
      </c>
      <c r="Y31" s="44">
        <v>1982</v>
      </c>
      <c r="Z31" s="44">
        <v>1983</v>
      </c>
      <c r="AA31" s="44">
        <v>1984</v>
      </c>
      <c r="AB31" s="44">
        <v>1985</v>
      </c>
      <c r="AC31" s="44">
        <v>1986</v>
      </c>
      <c r="AD31" s="44">
        <v>1987</v>
      </c>
      <c r="AE31" s="44">
        <v>1988</v>
      </c>
      <c r="AF31" s="44">
        <v>1989</v>
      </c>
      <c r="AG31" s="44">
        <v>1990</v>
      </c>
      <c r="AH31" s="44">
        <v>1991</v>
      </c>
      <c r="AI31" s="44">
        <v>1992</v>
      </c>
      <c r="AJ31" s="44">
        <v>1993</v>
      </c>
      <c r="AK31" s="44">
        <v>1994</v>
      </c>
      <c r="AL31" s="44">
        <v>1995</v>
      </c>
      <c r="AM31" s="44">
        <v>1996</v>
      </c>
      <c r="AN31" s="44">
        <v>1997</v>
      </c>
      <c r="AO31" s="44">
        <v>1998</v>
      </c>
      <c r="AP31" s="44">
        <v>1999</v>
      </c>
      <c r="AQ31" s="44">
        <v>2000</v>
      </c>
      <c r="AR31" s="44">
        <v>2001</v>
      </c>
      <c r="AS31" s="44">
        <v>2002</v>
      </c>
      <c r="AT31" s="44">
        <v>2003</v>
      </c>
      <c r="AU31" s="44">
        <v>2004</v>
      </c>
      <c r="AV31" s="44">
        <v>2005</v>
      </c>
      <c r="AW31" s="44">
        <v>2006</v>
      </c>
      <c r="AX31" s="44">
        <v>2007</v>
      </c>
      <c r="AY31" s="44">
        <v>2008</v>
      </c>
      <c r="AZ31" s="44">
        <v>2009</v>
      </c>
      <c r="BA31" s="44">
        <v>2010</v>
      </c>
      <c r="BB31" s="44">
        <v>2011</v>
      </c>
      <c r="BC31" s="44">
        <v>2012</v>
      </c>
      <c r="BD31" s="44">
        <v>2013</v>
      </c>
      <c r="BE31" s="44">
        <v>2014</v>
      </c>
      <c r="BF31" s="44">
        <v>2015</v>
      </c>
      <c r="BG31" s="44">
        <v>2016</v>
      </c>
      <c r="BH31" s="44">
        <v>2017</v>
      </c>
      <c r="BI31" s="44">
        <v>2018</v>
      </c>
      <c r="BJ31" s="44">
        <v>2019</v>
      </c>
    </row>
    <row r="32" spans="1:62" s="2" customFormat="1" ht="12.75" customHeight="1">
      <c r="B32" s="94" t="s">
        <v>11</v>
      </c>
      <c r="C32" s="95" t="s">
        <v>124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31"/>
    </row>
    <row r="33" spans="1:61">
      <c r="B33" s="18" t="s">
        <v>164</v>
      </c>
      <c r="C33" s="12">
        <f>C100</f>
        <v>0.14404839478539508</v>
      </c>
      <c r="D33" s="12">
        <f t="shared" ref="D33:BI33" si="0">D100</f>
        <v>0.14320889644696955</v>
      </c>
      <c r="E33" s="12">
        <f t="shared" si="0"/>
        <v>0.14237116657448046</v>
      </c>
      <c r="F33" s="12">
        <f t="shared" si="0"/>
        <v>0.14153519958569918</v>
      </c>
      <c r="G33" s="12">
        <f t="shared" si="0"/>
        <v>0.14070098992186642</v>
      </c>
      <c r="H33" s="12">
        <f t="shared" si="0"/>
        <v>0.13986853204756899</v>
      </c>
      <c r="I33" s="12">
        <f t="shared" si="0"/>
        <v>0.13909170173063856</v>
      </c>
      <c r="J33" s="12">
        <f t="shared" si="0"/>
        <v>0.13828964638117411</v>
      </c>
      <c r="K33" s="12">
        <f t="shared" si="0"/>
        <v>0.13746111707066513</v>
      </c>
      <c r="L33" s="12">
        <f t="shared" si="0"/>
        <v>0.13660478103866697</v>
      </c>
      <c r="M33" s="12">
        <f t="shared" si="0"/>
        <v>0.13571921453893113</v>
      </c>
      <c r="N33" s="12">
        <f t="shared" si="0"/>
        <v>0.13158231621625535</v>
      </c>
      <c r="O33" s="12">
        <f t="shared" si="0"/>
        <v>0.12744683398141832</v>
      </c>
      <c r="P33" s="12">
        <f t="shared" si="0"/>
        <v>0.12331276710744006</v>
      </c>
      <c r="Q33" s="12">
        <f t="shared" si="0"/>
        <v>0.11918011486783803</v>
      </c>
      <c r="R33" s="12">
        <f t="shared" si="0"/>
        <v>0.11504887653662693</v>
      </c>
      <c r="S33" s="12">
        <f t="shared" si="0"/>
        <v>0.11477526194767537</v>
      </c>
      <c r="T33" s="12">
        <f t="shared" si="0"/>
        <v>0.11451145623160391</v>
      </c>
      <c r="U33" s="12">
        <f t="shared" si="0"/>
        <v>0.11425695706495864</v>
      </c>
      <c r="V33" s="12">
        <f t="shared" si="0"/>
        <v>0.11401129515850696</v>
      </c>
      <c r="W33" s="12">
        <f t="shared" si="0"/>
        <v>0.11377403162391163</v>
      </c>
      <c r="X33" s="12">
        <f t="shared" si="0"/>
        <v>0.11421944627315404</v>
      </c>
      <c r="Y33" s="12">
        <f t="shared" si="0"/>
        <v>0.11470431456958784</v>
      </c>
      <c r="Z33" s="12">
        <f t="shared" si="0"/>
        <v>0.11523399012976447</v>
      </c>
      <c r="AA33" s="12">
        <f t="shared" si="0"/>
        <v>0.11581484622406389</v>
      </c>
      <c r="AB33" s="12">
        <f t="shared" si="0"/>
        <v>0.11645453040958754</v>
      </c>
      <c r="AC33" s="12">
        <f t="shared" si="0"/>
        <v>0.11856054697638622</v>
      </c>
      <c r="AD33" s="12">
        <f t="shared" si="0"/>
        <v>0.12065854300991168</v>
      </c>
      <c r="AE33" s="12">
        <f t="shared" si="0"/>
        <v>0.12274881498931352</v>
      </c>
      <c r="AF33" s="12">
        <f t="shared" si="0"/>
        <v>0.12483161735691618</v>
      </c>
      <c r="AG33" s="12">
        <f t="shared" si="0"/>
        <v>0.1269071702710918</v>
      </c>
      <c r="AH33" s="12">
        <f t="shared" si="0"/>
        <v>0.13453436085750656</v>
      </c>
      <c r="AI33" s="12">
        <f t="shared" si="0"/>
        <v>0.1350968211159993</v>
      </c>
      <c r="AJ33" s="12">
        <f t="shared" si="0"/>
        <v>0.13651505851039294</v>
      </c>
      <c r="AK33" s="12">
        <f t="shared" si="0"/>
        <v>0.13711378476021685</v>
      </c>
      <c r="AL33" s="12">
        <f t="shared" si="0"/>
        <v>0.13572485892995415</v>
      </c>
      <c r="AM33" s="12">
        <f t="shared" si="0"/>
        <v>0.13453910933674884</v>
      </c>
      <c r="AN33" s="12">
        <f t="shared" si="0"/>
        <v>0.13654230169404111</v>
      </c>
      <c r="AO33" s="12">
        <f t="shared" si="0"/>
        <v>0.13632949584209392</v>
      </c>
      <c r="AP33" s="12">
        <f t="shared" si="0"/>
        <v>0.13557879518284491</v>
      </c>
      <c r="AQ33" s="12">
        <f t="shared" si="0"/>
        <v>0.13964893478136028</v>
      </c>
      <c r="AR33" s="12">
        <f t="shared" si="0"/>
        <v>0.13844426450010877</v>
      </c>
      <c r="AS33" s="12">
        <f t="shared" si="0"/>
        <v>0.13804603955177952</v>
      </c>
      <c r="AT33" s="12">
        <f t="shared" si="0"/>
        <v>0.13858268978778129</v>
      </c>
      <c r="AU33" s="12">
        <f t="shared" si="0"/>
        <v>0.13534309243736514</v>
      </c>
      <c r="AV33" s="12">
        <f t="shared" si="0"/>
        <v>0.13712867697625064</v>
      </c>
      <c r="AW33" s="12">
        <f t="shared" si="0"/>
        <v>0.13756167499803085</v>
      </c>
      <c r="AX33" s="12">
        <f t="shared" si="0"/>
        <v>0.13708794594721421</v>
      </c>
      <c r="AY33" s="12">
        <f t="shared" si="0"/>
        <v>0.13852555625935756</v>
      </c>
      <c r="AZ33" s="12">
        <f t="shared" si="0"/>
        <v>0.14110664079773136</v>
      </c>
      <c r="BA33" s="12">
        <f t="shared" si="0"/>
        <v>0.14022775223177669</v>
      </c>
      <c r="BB33" s="12">
        <f t="shared" si="0"/>
        <v>0.13772912010797611</v>
      </c>
      <c r="BC33" s="12">
        <f t="shared" si="0"/>
        <v>0.14291151854347869</v>
      </c>
      <c r="BD33" s="12">
        <f t="shared" si="0"/>
        <v>0.14103928652550302</v>
      </c>
      <c r="BE33" s="12">
        <f t="shared" si="0"/>
        <v>0.13798876716371508</v>
      </c>
      <c r="BF33" s="12">
        <f t="shared" si="0"/>
        <v>0.13815736930074216</v>
      </c>
      <c r="BG33" s="12">
        <f t="shared" si="0"/>
        <v>0.13829166554847172</v>
      </c>
      <c r="BH33" s="12">
        <f t="shared" si="0"/>
        <v>0.13764095478012112</v>
      </c>
      <c r="BI33" s="12">
        <f t="shared" si="0"/>
        <v>0.13473005969628374</v>
      </c>
    </row>
    <row r="34" spans="1:61" s="108" customFormat="1" ht="14.4">
      <c r="A34" s="124"/>
      <c r="B34" s="109" t="s">
        <v>178</v>
      </c>
      <c r="C34" s="107">
        <f>50*(1-EXP(-1*C33))/100</f>
        <v>6.7077077689288223E-2</v>
      </c>
      <c r="D34" s="107">
        <f t="shared" ref="D34:N34" si="1">50*(1-EXP(-1*D33))/100</f>
        <v>6.6713487019814222E-2</v>
      </c>
      <c r="E34" s="107">
        <f t="shared" si="1"/>
        <v>6.6350357883718347E-2</v>
      </c>
      <c r="F34" s="107">
        <f t="shared" si="1"/>
        <v>6.5987689529947158E-2</v>
      </c>
      <c r="G34" s="107">
        <f t="shared" si="1"/>
        <v>6.5625481208494818E-2</v>
      </c>
      <c r="H34" s="107">
        <f t="shared" si="1"/>
        <v>6.5263732170405653E-2</v>
      </c>
      <c r="I34" s="107">
        <f t="shared" si="1"/>
        <v>6.4925884649578047E-2</v>
      </c>
      <c r="J34" s="107">
        <f t="shared" si="1"/>
        <v>6.4576791150507629E-2</v>
      </c>
      <c r="K34" s="107">
        <f t="shared" si="1"/>
        <v>6.4215880767730549E-2</v>
      </c>
      <c r="L34" s="107">
        <f t="shared" si="1"/>
        <v>6.384254329590916E-2</v>
      </c>
      <c r="M34" s="107">
        <f t="shared" si="1"/>
        <v>6.3456125789696116E-2</v>
      </c>
      <c r="N34" s="107">
        <f t="shared" si="1"/>
        <v>6.1646447522097414E-2</v>
      </c>
      <c r="O34" s="107">
        <f t="shared" ref="O34" si="2">50*(1-EXP(-1*O33))/100</f>
        <v>5.9829890612761671E-2</v>
      </c>
      <c r="P34" s="107">
        <f t="shared" ref="P34" si="3">50*(1-EXP(-1*P33))/100</f>
        <v>5.8006431390431379E-2</v>
      </c>
      <c r="Q34" s="107">
        <f t="shared" ref="Q34" si="4">50*(1-EXP(-1*Q33))/100</f>
        <v>5.6176046111382771E-2</v>
      </c>
      <c r="R34" s="107">
        <f t="shared" ref="R34" si="5">50*(1-EXP(-1*R33))/100</f>
        <v>5.4338710959233649E-2</v>
      </c>
      <c r="S34" s="107">
        <f t="shared" ref="S34" si="6">50*(1-EXP(-1*S33))/100</f>
        <v>5.4216754845095971E-2</v>
      </c>
      <c r="T34" s="107">
        <f t="shared" ref="T34" si="7">50*(1-EXP(-1*T33))/100</f>
        <v>5.4099139163732823E-2</v>
      </c>
      <c r="U34" s="107">
        <f t="shared" ref="U34" si="8">50*(1-EXP(-1*U33))/100</f>
        <v>5.3985643324557915E-2</v>
      </c>
      <c r="V34" s="107">
        <f t="shared" ref="V34" si="9">50*(1-EXP(-1*V33))/100</f>
        <v>5.3876061127857644E-2</v>
      </c>
      <c r="W34" s="107">
        <f t="shared" ref="W34" si="10">50*(1-EXP(-1*W33))/100</f>
        <v>5.3770199627212974E-2</v>
      </c>
      <c r="X34" s="107">
        <f t="shared" ref="X34:Y34" si="11">50*(1-EXP(-1*X33))/100</f>
        <v>5.3968912659094537E-2</v>
      </c>
      <c r="Y34" s="107">
        <f t="shared" si="11"/>
        <v>5.4185126570698572E-2</v>
      </c>
      <c r="Z34" s="107">
        <f t="shared" ref="Z34" si="12">50*(1-EXP(-1*Z33))/100</f>
        <v>5.4421201286494296E-2</v>
      </c>
      <c r="AA34" s="107">
        <f t="shared" ref="AA34" si="13">50*(1-EXP(-1*AA33))/100</f>
        <v>5.4679943294006883E-2</v>
      </c>
      <c r="AB34" s="107">
        <f t="shared" ref="AB34" si="14">50*(1-EXP(-1*AB33))/100</f>
        <v>5.4964716399641456E-2</v>
      </c>
      <c r="AC34" s="107">
        <f t="shared" ref="AC34" si="15">50*(1-EXP(-1*AC33))/100</f>
        <v>5.5900981838399366E-2</v>
      </c>
      <c r="AD34" s="107">
        <f t="shared" ref="AD34" si="16">50*(1-EXP(-1*AD33))/100</f>
        <v>5.6831723129831202E-2</v>
      </c>
      <c r="AE34" s="107">
        <f t="shared" ref="AE34" si="17">50*(1-EXP(-1*AE33))/100</f>
        <v>5.7757097881743762E-2</v>
      </c>
      <c r="AF34" s="107">
        <f t="shared" ref="AF34" si="18">50*(1-EXP(-1*AF33))/100</f>
        <v>5.8677243871570257E-2</v>
      </c>
      <c r="AG34" s="107">
        <f t="shared" ref="AG34" si="19">50*(1-EXP(-1*AG33))/100</f>
        <v>5.9592282669929608E-2</v>
      </c>
      <c r="AH34" s="107">
        <f t="shared" ref="AH34" si="20">50*(1-EXP(-1*AH33))/100</f>
        <v>6.2938578624950725E-2</v>
      </c>
      <c r="AI34" s="107">
        <f t="shared" ref="AI34:AJ34" si="21">50*(1-EXP(-1*AI33))/100</f>
        <v>6.3184339183241844E-2</v>
      </c>
      <c r="AJ34" s="107">
        <f t="shared" si="21"/>
        <v>6.380340839055304E-2</v>
      </c>
      <c r="AK34" s="107">
        <f t="shared" ref="AK34" si="22">50*(1-EXP(-1*AK33))/100</f>
        <v>6.4064492573257192E-2</v>
      </c>
      <c r="AL34" s="107">
        <f t="shared" ref="AL34" si="23">50*(1-EXP(-1*AL33))/100</f>
        <v>6.3458589807066923E-2</v>
      </c>
      <c r="AM34" s="107">
        <f t="shared" ref="AM34" si="24">50*(1-EXP(-1*AM33))/100</f>
        <v>6.2940653997110296E-2</v>
      </c>
      <c r="AN34" s="107">
        <f t="shared" ref="AN34" si="25">50*(1-EXP(-1*AN33))/100</f>
        <v>6.3815291612535796E-2</v>
      </c>
      <c r="AO34" s="107">
        <f t="shared" ref="AO34" si="26">50*(1-EXP(-1*AO33))/100</f>
        <v>6.3722459076757998E-2</v>
      </c>
      <c r="AP34" s="107">
        <f t="shared" ref="AP34" si="27">50*(1-EXP(-1*AP33))/100</f>
        <v>6.339482227597687E-2</v>
      </c>
      <c r="AQ34" s="107">
        <f t="shared" ref="AQ34" si="28">50*(1-EXP(-1*AQ33))/100</f>
        <v>6.516825479156646E-2</v>
      </c>
      <c r="AR34" s="107">
        <f t="shared" ref="AR34" si="29">50*(1-EXP(-1*AR33))/100</f>
        <v>6.4644110263488985E-2</v>
      </c>
      <c r="AS34" s="107">
        <f t="shared" ref="AS34" si="30">50*(1-EXP(-1*AS33))/100</f>
        <v>6.447070616216577E-2</v>
      </c>
      <c r="AT34" s="107">
        <f t="shared" ref="AT34:AU34" si="31">50*(1-EXP(-1*AT33))/100</f>
        <v>6.4704370356909124E-2</v>
      </c>
      <c r="AU34" s="107">
        <f t="shared" si="31"/>
        <v>6.3291901107972226E-2</v>
      </c>
      <c r="AV34" s="107">
        <f t="shared" ref="AV34" si="32">50*(1-EXP(-1*AV33))/100</f>
        <v>6.4070984570670397E-2</v>
      </c>
      <c r="AW34" s="107">
        <f t="shared" ref="AW34" si="33">50*(1-EXP(-1*AW33))/100</f>
        <v>6.4259700112311302E-2</v>
      </c>
      <c r="AX34" s="107">
        <f t="shared" ref="AX34" si="34">50*(1-EXP(-1*AX33))/100</f>
        <v>6.4053228371673432E-2</v>
      </c>
      <c r="AY34" s="107">
        <f t="shared" ref="AY34" si="35">50*(1-EXP(-1*AY33))/100</f>
        <v>6.4679499671211893E-2</v>
      </c>
      <c r="AZ34" s="107">
        <f t="shared" ref="AZ34" si="36">50*(1-EXP(-1*AZ33))/100</f>
        <v>6.5801649878592605E-2</v>
      </c>
      <c r="BA34" s="107">
        <f t="shared" ref="BA34" si="37">50*(1-EXP(-1*BA33))/100</f>
        <v>6.54198701669782E-2</v>
      </c>
      <c r="BB34" s="107">
        <f t="shared" ref="BB34" si="38">50*(1-EXP(-1*BB33))/100</f>
        <v>6.4332656586460701E-2</v>
      </c>
      <c r="BC34" s="107">
        <f t="shared" ref="BC34" si="39">50*(1-EXP(-1*BC33))/100</f>
        <v>6.6584618024527142E-2</v>
      </c>
      <c r="BD34" s="107">
        <f t="shared" ref="BD34" si="40">50*(1-EXP(-1*BD33))/100</f>
        <v>6.5772403779803645E-2</v>
      </c>
      <c r="BE34" s="107">
        <f t="shared" ref="BE34:BF34" si="41">50*(1-EXP(-1*BE33))/100</f>
        <v>6.4445761645126443E-2</v>
      </c>
      <c r="BF34" s="107">
        <f t="shared" si="41"/>
        <v>6.4519190830171602E-2</v>
      </c>
      <c r="BG34" s="107">
        <f t="shared" ref="BG34" si="42">50*(1-EXP(-1*BG33))/100</f>
        <v>6.4577670341923965E-2</v>
      </c>
      <c r="BH34" s="107">
        <f t="shared" ref="BH34" si="43">50*(1-EXP(-1*BH33))/100</f>
        <v>6.4294244138994761E-2</v>
      </c>
      <c r="BI34" s="107">
        <f t="shared" ref="BI34" si="44">50*(1-EXP(-1*BI33))/100</f>
        <v>6.3024102668837123E-2</v>
      </c>
    </row>
    <row r="35" spans="1:61" s="108" customFormat="1" ht="43.5" customHeight="1">
      <c r="A35" s="124"/>
      <c r="B35" s="125" t="s">
        <v>171</v>
      </c>
      <c r="C35" s="126">
        <v>0.05</v>
      </c>
      <c r="D35" s="126">
        <v>0.05</v>
      </c>
      <c r="E35" s="126">
        <v>0.05</v>
      </c>
      <c r="F35" s="126">
        <v>0.05</v>
      </c>
      <c r="G35" s="126">
        <v>0.05</v>
      </c>
      <c r="H35" s="126">
        <v>0.05</v>
      </c>
      <c r="I35" s="126">
        <v>0.05</v>
      </c>
      <c r="J35" s="126">
        <v>0.05</v>
      </c>
      <c r="K35" s="126">
        <v>0.05</v>
      </c>
      <c r="L35" s="126">
        <v>0.05</v>
      </c>
      <c r="M35" s="126">
        <v>0.05</v>
      </c>
      <c r="N35" s="126">
        <v>0.05</v>
      </c>
      <c r="O35" s="126">
        <v>0.05</v>
      </c>
      <c r="P35" s="126">
        <v>0.05</v>
      </c>
      <c r="Q35" s="126">
        <v>0.05</v>
      </c>
      <c r="R35" s="126">
        <v>0.05</v>
      </c>
      <c r="S35" s="126">
        <v>0.05</v>
      </c>
      <c r="T35" s="126">
        <v>0.05</v>
      </c>
      <c r="U35" s="126">
        <v>0.05</v>
      </c>
      <c r="V35" s="126">
        <v>0.05</v>
      </c>
      <c r="W35" s="126">
        <v>0.05</v>
      </c>
      <c r="X35" s="126">
        <v>0.05</v>
      </c>
      <c r="Y35" s="126">
        <v>0.05</v>
      </c>
      <c r="Z35" s="126">
        <v>0.05</v>
      </c>
      <c r="AA35" s="126">
        <v>0.05</v>
      </c>
      <c r="AB35" s="126">
        <v>0.05</v>
      </c>
      <c r="AC35" s="126">
        <v>0.05</v>
      </c>
      <c r="AD35" s="126">
        <v>0.05</v>
      </c>
      <c r="AE35" s="126">
        <v>0.05</v>
      </c>
      <c r="AF35" s="126">
        <v>0.05</v>
      </c>
      <c r="AG35" s="126">
        <v>0.05</v>
      </c>
      <c r="AH35" s="126">
        <v>0.05</v>
      </c>
      <c r="AI35" s="126">
        <v>0.05</v>
      </c>
      <c r="AJ35" s="126">
        <v>0.05</v>
      </c>
      <c r="AK35" s="126">
        <v>0.05</v>
      </c>
      <c r="AL35" s="126">
        <v>0.05</v>
      </c>
      <c r="AM35" s="126">
        <v>0.05</v>
      </c>
      <c r="AN35" s="126">
        <v>0.05</v>
      </c>
      <c r="AO35" s="126">
        <v>0.05</v>
      </c>
      <c r="AP35" s="126">
        <v>0.05</v>
      </c>
      <c r="AQ35" s="126">
        <v>0.05</v>
      </c>
      <c r="AR35" s="126">
        <v>0.05</v>
      </c>
      <c r="AS35" s="126">
        <v>0.05</v>
      </c>
      <c r="AT35" s="126">
        <v>0.05</v>
      </c>
      <c r="AU35" s="126">
        <v>0.05</v>
      </c>
      <c r="AV35" s="126">
        <v>0.05</v>
      </c>
      <c r="AW35" s="126">
        <v>0.05</v>
      </c>
      <c r="AX35" s="126">
        <v>0.05</v>
      </c>
      <c r="AY35" s="126">
        <v>0.05</v>
      </c>
      <c r="AZ35" s="126">
        <v>0.05</v>
      </c>
      <c r="BA35" s="126">
        <v>0.05</v>
      </c>
      <c r="BB35" s="126">
        <v>0.05</v>
      </c>
      <c r="BC35" s="126">
        <v>0.05</v>
      </c>
      <c r="BD35" s="126">
        <v>0.05</v>
      </c>
      <c r="BE35" s="126">
        <v>0.05</v>
      </c>
      <c r="BF35" s="126">
        <v>0.05</v>
      </c>
      <c r="BG35" s="126">
        <v>0.05</v>
      </c>
      <c r="BH35" s="126">
        <v>0.05</v>
      </c>
      <c r="BI35" s="126">
        <v>0.05</v>
      </c>
    </row>
    <row r="36" spans="1:61">
      <c r="B36" s="3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38"/>
    </row>
    <row r="37" spans="1:61">
      <c r="B37" s="3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38"/>
    </row>
    <row r="38" spans="1:61" ht="26.4">
      <c r="A38" s="21" t="s">
        <v>165</v>
      </c>
      <c r="B38" s="30" t="s">
        <v>112</v>
      </c>
      <c r="C38" s="91">
        <v>4.165</v>
      </c>
      <c r="D38" s="91">
        <v>4.2066499999999998</v>
      </c>
      <c r="E38" s="91">
        <v>4.2482999999999995</v>
      </c>
      <c r="F38" s="91">
        <v>4.2899500000000002</v>
      </c>
      <c r="G38" s="91">
        <v>4.3315999999999999</v>
      </c>
      <c r="H38" s="91">
        <v>4.3732499999999996</v>
      </c>
      <c r="I38" s="91">
        <v>4.4148999999999994</v>
      </c>
      <c r="J38" s="91">
        <v>4.4565499999999991</v>
      </c>
      <c r="K38" s="91">
        <v>4.4981999999999998</v>
      </c>
      <c r="L38" s="91">
        <v>4.5398500000000004</v>
      </c>
      <c r="M38" s="91">
        <v>4.5815000000000001</v>
      </c>
      <c r="N38" s="91">
        <v>4.6231499999999999</v>
      </c>
      <c r="O38" s="91">
        <v>4.6647999999999996</v>
      </c>
      <c r="P38" s="91">
        <v>4.7064500000000002</v>
      </c>
      <c r="Q38" s="91">
        <v>4.7481</v>
      </c>
      <c r="R38" s="91">
        <v>4.7897499999999997</v>
      </c>
      <c r="S38" s="91">
        <v>4.8313999999999995</v>
      </c>
      <c r="T38" s="91">
        <v>4.8730499999999992</v>
      </c>
      <c r="U38" s="91">
        <v>4.9146999999999998</v>
      </c>
      <c r="V38" s="91">
        <v>4.9563499999999996</v>
      </c>
      <c r="W38" s="91">
        <v>4.9979999999999993</v>
      </c>
      <c r="X38" s="91">
        <v>5.03965</v>
      </c>
      <c r="Y38" s="91">
        <v>5.0812999999999997</v>
      </c>
      <c r="Z38" s="91">
        <v>4.86627632559426</v>
      </c>
      <c r="AA38" s="91">
        <v>5.0944915031583378</v>
      </c>
      <c r="AB38" s="91">
        <v>5.0949241412059072</v>
      </c>
      <c r="AC38" s="91">
        <v>5.2026595308875958</v>
      </c>
      <c r="AD38" s="91">
        <v>5.5652583288452684</v>
      </c>
      <c r="AE38" s="91">
        <v>5.5633979154302917</v>
      </c>
      <c r="AF38" s="91">
        <v>6.1084831985657058</v>
      </c>
      <c r="AG38" s="91">
        <v>6.4594892137302651</v>
      </c>
      <c r="AH38" s="91">
        <v>6.3385599581834713</v>
      </c>
      <c r="AI38" s="91">
        <v>6.1106007484541376</v>
      </c>
      <c r="AJ38" s="91">
        <v>6.6111829866750478</v>
      </c>
      <c r="AK38" s="91">
        <v>6.7956759206425117</v>
      </c>
      <c r="AL38" s="91">
        <v>6.8069182717779988</v>
      </c>
      <c r="AM38" s="91">
        <v>7.1266267937111891</v>
      </c>
      <c r="AN38" s="91">
        <v>7.1552018447101498</v>
      </c>
      <c r="AO38" s="91">
        <v>7.4653387573723373</v>
      </c>
      <c r="AP38" s="91">
        <v>7.2188742681426223</v>
      </c>
      <c r="AQ38" s="91">
        <v>7.1899988171170595</v>
      </c>
      <c r="AR38" s="91">
        <v>7.0043425669071864</v>
      </c>
      <c r="AS38" s="91">
        <v>7.1138882077266556</v>
      </c>
      <c r="AT38" s="91">
        <v>7.036289611314813</v>
      </c>
      <c r="AU38" s="91">
        <v>6.5291402860209402</v>
      </c>
      <c r="AV38" s="91">
        <v>7.6942095167564943</v>
      </c>
      <c r="AW38" s="91">
        <v>7.6445506100078262</v>
      </c>
      <c r="AX38" s="91">
        <v>7.217589537143307</v>
      </c>
      <c r="AY38" s="91">
        <v>7.0542815052926331</v>
      </c>
      <c r="AZ38" s="91">
        <v>6.8214863538346657</v>
      </c>
      <c r="BA38" s="91">
        <v>6.8029815959170881</v>
      </c>
    </row>
    <row r="39" spans="1:61" ht="14.4">
      <c r="A39" s="21" t="s">
        <v>165</v>
      </c>
      <c r="B39" s="22" t="s">
        <v>133</v>
      </c>
      <c r="C39" s="35">
        <f>45*(1-EXP(-0.075*C38))/100</f>
        <v>0.12073181102268958</v>
      </c>
      <c r="D39" s="35">
        <f t="shared" ref="D39:BA39" si="45">45*(1-EXP(-0.075*D38))/100</f>
        <v>0.12175875773055531</v>
      </c>
      <c r="E39" s="35">
        <f t="shared" si="45"/>
        <v>0.12278250151880689</v>
      </c>
      <c r="F39" s="35">
        <f t="shared" si="45"/>
        <v>0.12380305237695398</v>
      </c>
      <c r="G39" s="35">
        <f t="shared" si="45"/>
        <v>0.12482042026335013</v>
      </c>
      <c r="H39" s="35">
        <f t="shared" si="45"/>
        <v>0.12583461510529012</v>
      </c>
      <c r="I39" s="35">
        <f t="shared" si="45"/>
        <v>0.1268456467991067</v>
      </c>
      <c r="J39" s="35">
        <f t="shared" si="45"/>
        <v>0.12785352521026719</v>
      </c>
      <c r="K39" s="35">
        <f t="shared" si="45"/>
        <v>0.12885826017346971</v>
      </c>
      <c r="L39" s="35">
        <f t="shared" si="45"/>
        <v>0.12985986149273918</v>
      </c>
      <c r="M39" s="35">
        <f t="shared" si="45"/>
        <v>0.13085833894152291</v>
      </c>
      <c r="N39" s="35">
        <f t="shared" si="45"/>
        <v>0.13185370226278623</v>
      </c>
      <c r="O39" s="35">
        <f t="shared" si="45"/>
        <v>0.13284596116910716</v>
      </c>
      <c r="P39" s="35">
        <f t="shared" si="45"/>
        <v>0.13383512534277153</v>
      </c>
      <c r="Q39" s="35">
        <f t="shared" si="45"/>
        <v>0.13482120443586729</v>
      </c>
      <c r="R39" s="35">
        <f t="shared" si="45"/>
        <v>0.13580420807037866</v>
      </c>
      <c r="S39" s="35">
        <f t="shared" si="45"/>
        <v>0.13678414583828016</v>
      </c>
      <c r="T39" s="35">
        <f t="shared" si="45"/>
        <v>0.13776102730163006</v>
      </c>
      <c r="U39" s="35">
        <f t="shared" si="45"/>
        <v>0.13873486199266391</v>
      </c>
      <c r="V39" s="35">
        <f t="shared" si="45"/>
        <v>0.13970565941388713</v>
      </c>
      <c r="W39" s="35">
        <f t="shared" si="45"/>
        <v>0.14067342903816815</v>
      </c>
      <c r="X39" s="35">
        <f t="shared" si="45"/>
        <v>0.1416381803088308</v>
      </c>
      <c r="Y39" s="35">
        <f t="shared" si="45"/>
        <v>0.14259992263974625</v>
      </c>
      <c r="Z39" s="35">
        <f t="shared" si="45"/>
        <v>0.13760236161659115</v>
      </c>
      <c r="AA39" s="35">
        <f t="shared" si="45"/>
        <v>0.14290390242366796</v>
      </c>
      <c r="AB39" s="35">
        <f t="shared" si="45"/>
        <v>0.14291386687121002</v>
      </c>
      <c r="AC39" s="35">
        <f t="shared" si="45"/>
        <v>0.14538517247666036</v>
      </c>
      <c r="AD39" s="35">
        <f t="shared" si="45"/>
        <v>0.15355751848509336</v>
      </c>
      <c r="AE39" s="35">
        <f t="shared" si="45"/>
        <v>0.15351615268155092</v>
      </c>
      <c r="AF39" s="35">
        <f t="shared" si="45"/>
        <v>0.16539241325515328</v>
      </c>
      <c r="AG39" s="35">
        <f t="shared" si="45"/>
        <v>0.17278707540979707</v>
      </c>
      <c r="AH39" s="35">
        <f t="shared" si="45"/>
        <v>0.17026140273888063</v>
      </c>
      <c r="AI39" s="35">
        <f t="shared" si="45"/>
        <v>0.16543760997333873</v>
      </c>
      <c r="AJ39" s="35">
        <f t="shared" si="45"/>
        <v>0.17592306304945687</v>
      </c>
      <c r="AK39" s="35">
        <f t="shared" si="45"/>
        <v>0.1796893403920688</v>
      </c>
      <c r="AL39" s="35">
        <f t="shared" si="45"/>
        <v>0.17991716388220688</v>
      </c>
      <c r="AM39" s="35">
        <f t="shared" si="45"/>
        <v>0.18631622235748591</v>
      </c>
      <c r="AN39" s="35">
        <f t="shared" si="45"/>
        <v>0.18688072554442642</v>
      </c>
      <c r="AO39" s="35">
        <f t="shared" si="45"/>
        <v>0.1929303201516159</v>
      </c>
      <c r="AP39" s="35">
        <f t="shared" si="45"/>
        <v>0.18813423826924844</v>
      </c>
      <c r="AQ39" s="35">
        <f t="shared" si="45"/>
        <v>0.18756651184190457</v>
      </c>
      <c r="AR39" s="35">
        <f t="shared" si="45"/>
        <v>0.18388677123808694</v>
      </c>
      <c r="AS39" s="35">
        <f t="shared" si="45"/>
        <v>0.18606418009126252</v>
      </c>
      <c r="AT39" s="35">
        <f t="shared" si="45"/>
        <v>0.18452362281145657</v>
      </c>
      <c r="AU39" s="35">
        <f t="shared" si="45"/>
        <v>0.17423141294693409</v>
      </c>
      <c r="AV39" s="35">
        <f t="shared" si="45"/>
        <v>0.19730534338267952</v>
      </c>
      <c r="AW39" s="35">
        <f t="shared" si="45"/>
        <v>0.19636244807531658</v>
      </c>
      <c r="AX39" s="35">
        <f t="shared" si="45"/>
        <v>0.18810900502396385</v>
      </c>
      <c r="AY39" s="35">
        <f t="shared" si="45"/>
        <v>0.18488161293502209</v>
      </c>
      <c r="AZ39" s="35">
        <f t="shared" si="45"/>
        <v>0.18021209689895126</v>
      </c>
      <c r="BA39" s="35">
        <f t="shared" si="45"/>
        <v>0.17983740996548245</v>
      </c>
    </row>
    <row r="40" spans="1:61" ht="18" customHeight="1">
      <c r="A40" s="21" t="s">
        <v>165</v>
      </c>
      <c r="B40" s="30" t="s">
        <v>136</v>
      </c>
      <c r="C40" s="11">
        <v>0.14067342903816815</v>
      </c>
      <c r="D40" s="11">
        <v>0.14067342903816815</v>
      </c>
      <c r="E40" s="11">
        <v>0.14067342903816815</v>
      </c>
      <c r="F40" s="11">
        <v>0.14067342903816815</v>
      </c>
      <c r="G40" s="11">
        <v>0.14067342903816815</v>
      </c>
      <c r="H40" s="11">
        <v>0.14067342903816815</v>
      </c>
      <c r="I40" s="11">
        <v>0.14067342903816815</v>
      </c>
      <c r="J40" s="11">
        <v>0.14067342903816815</v>
      </c>
      <c r="K40" s="11">
        <v>0.14067342903816815</v>
      </c>
      <c r="L40" s="11">
        <v>0.14067342903816815</v>
      </c>
      <c r="M40" s="11">
        <v>0.14067342903816815</v>
      </c>
      <c r="N40" s="11">
        <v>0.14067342903816815</v>
      </c>
      <c r="O40" s="11">
        <v>0.14067342903816815</v>
      </c>
      <c r="P40" s="11">
        <v>0.14067342903816815</v>
      </c>
      <c r="Q40" s="11">
        <v>0.14067342903816815</v>
      </c>
      <c r="R40" s="11">
        <v>0.14067342903816815</v>
      </c>
      <c r="S40" s="11">
        <v>0.14067342903816815</v>
      </c>
      <c r="T40" s="11">
        <v>0.14067342903816815</v>
      </c>
      <c r="U40" s="11">
        <v>0.14067342903816815</v>
      </c>
      <c r="V40" s="11">
        <v>0.14067342903816815</v>
      </c>
      <c r="W40" s="11">
        <v>0.14067342903816815</v>
      </c>
      <c r="X40" s="11">
        <v>0.14067342903816815</v>
      </c>
      <c r="Y40" s="11">
        <v>0.14067342903816815</v>
      </c>
      <c r="Z40" s="11">
        <v>0.14768239911982473</v>
      </c>
      <c r="AA40" s="11">
        <v>0.14865212416176996</v>
      </c>
      <c r="AB40" s="11">
        <v>0.14610448803323134</v>
      </c>
      <c r="AC40" s="11">
        <v>0.14414621194598226</v>
      </c>
      <c r="AD40" s="11">
        <v>0.14314367399007127</v>
      </c>
      <c r="AE40" s="11">
        <v>0.13658921403315735</v>
      </c>
      <c r="AF40" s="11">
        <v>0.13960396197468478</v>
      </c>
      <c r="AG40" s="11">
        <v>0.13955854488776523</v>
      </c>
      <c r="AH40" s="11">
        <v>0.13791205607348778</v>
      </c>
      <c r="AI40" s="11">
        <v>0.13360626189714142</v>
      </c>
      <c r="AJ40" s="11">
        <v>0.13320316243825478</v>
      </c>
      <c r="AK40" s="11">
        <v>0.13367178561669771</v>
      </c>
      <c r="AL40" s="11">
        <v>0.13623272258670707</v>
      </c>
      <c r="AM40" s="11">
        <v>0.13654042265341099</v>
      </c>
      <c r="AN40" s="11">
        <v>0.1372737144279749</v>
      </c>
      <c r="AO40" s="11">
        <v>0.13507815634263962</v>
      </c>
      <c r="AP40" s="11">
        <v>0.13782068413022949</v>
      </c>
      <c r="AQ40" s="11">
        <v>0.13723763048411924</v>
      </c>
      <c r="AR40" s="11">
        <v>0.13525532807310203</v>
      </c>
      <c r="AS40" s="11">
        <v>0.1375946847721074</v>
      </c>
      <c r="AT40" s="11">
        <v>0.13540779879294898</v>
      </c>
      <c r="AU40" s="11">
        <v>0.13458098229477589</v>
      </c>
      <c r="AV40" s="11">
        <v>0.13359433870469944</v>
      </c>
      <c r="AW40" s="11">
        <v>0.13637466884116256</v>
      </c>
      <c r="AX40" s="11">
        <v>0.14317648575036585</v>
      </c>
      <c r="AY40" s="11">
        <v>0.14789560732927459</v>
      </c>
      <c r="AZ40" s="11">
        <v>0.1444340238416145</v>
      </c>
      <c r="BA40" s="11">
        <v>0.14863299024222762</v>
      </c>
    </row>
    <row r="41" spans="1:61">
      <c r="A41" s="21" t="s">
        <v>165</v>
      </c>
      <c r="B41" s="30" t="s">
        <v>131</v>
      </c>
      <c r="C41" s="19">
        <v>2.6091867706555017E-2</v>
      </c>
      <c r="D41" s="19">
        <v>2.6233569133369643E-2</v>
      </c>
      <c r="E41" s="19">
        <v>2.6373874464315591E-2</v>
      </c>
      <c r="F41" s="19">
        <v>2.6512810940942516E-2</v>
      </c>
      <c r="G41" s="19">
        <v>2.6650405015164989E-2</v>
      </c>
      <c r="H41" s="19">
        <v>2.678668237948896E-2</v>
      </c>
      <c r="I41" s="19">
        <v>2.6921667995805601E-2</v>
      </c>
      <c r="J41" s="19">
        <v>2.7055386122833251E-2</v>
      </c>
      <c r="K41" s="19">
        <v>2.7187860342282964E-2</v>
      </c>
      <c r="L41" s="19">
        <v>2.7319113583818166E-2</v>
      </c>
      <c r="M41" s="19">
        <v>2.7449168148874645E-2</v>
      </c>
      <c r="N41" s="19">
        <v>2.7578045733402581E-2</v>
      </c>
      <c r="O41" s="19">
        <v>2.770576744958874E-2</v>
      </c>
      <c r="P41" s="19">
        <v>2.7832353846613211E-2</v>
      </c>
      <c r="Q41" s="19">
        <v>2.7957824930491714E-2</v>
      </c>
      <c r="R41" s="19">
        <v>2.8082200183051357E-2</v>
      </c>
      <c r="S41" s="19">
        <v>2.8205498580084989E-2</v>
      </c>
      <c r="T41" s="19">
        <v>2.8327738608726248E-2</v>
      </c>
      <c r="U41" s="19">
        <v>2.8448938284085311E-2</v>
      </c>
      <c r="V41" s="19">
        <v>2.8569115165182637E-2</v>
      </c>
      <c r="W41" s="19">
        <v>2.868828637021606E-2</v>
      </c>
      <c r="X41" s="19">
        <v>2.868828637021606E-2</v>
      </c>
      <c r="Y41" s="19">
        <v>2.868828637021606E-2</v>
      </c>
      <c r="Z41" s="19">
        <v>2.868828637021606E-2</v>
      </c>
      <c r="AA41" s="19">
        <v>2.868828637021606E-2</v>
      </c>
      <c r="AB41" s="19">
        <v>2.868828637021606E-2</v>
      </c>
      <c r="AC41" s="19">
        <v>2.868828637021606E-2</v>
      </c>
      <c r="AD41" s="19">
        <v>2.868828637021606E-2</v>
      </c>
      <c r="AE41" s="19">
        <v>2.868828637021606E-2</v>
      </c>
      <c r="AF41" s="19">
        <v>2.868828637021606E-2</v>
      </c>
      <c r="AG41" s="19">
        <v>2.868828637021606E-2</v>
      </c>
      <c r="AH41" s="19">
        <v>2.868828637021606E-2</v>
      </c>
      <c r="AI41" s="19">
        <v>2.868828637021606E-2</v>
      </c>
      <c r="AJ41" s="19">
        <v>2.868828637021606E-2</v>
      </c>
      <c r="AK41" s="19">
        <v>2.868828637021606E-2</v>
      </c>
      <c r="AL41" s="19">
        <v>2.868828637021606E-2</v>
      </c>
      <c r="AM41" s="19">
        <v>2.868828637021606E-2</v>
      </c>
      <c r="AN41" s="19">
        <v>2.868828637021606E-2</v>
      </c>
      <c r="AO41" s="19">
        <v>2.868828637021606E-2</v>
      </c>
      <c r="AP41" s="19">
        <v>2.868828637021606E-2</v>
      </c>
      <c r="AQ41" s="19">
        <v>2.868828637021606E-2</v>
      </c>
      <c r="AR41" s="19">
        <v>2.868828637021606E-2</v>
      </c>
      <c r="AS41" s="19">
        <v>2.868828637021606E-2</v>
      </c>
      <c r="AT41" s="19">
        <v>2.868828637021606E-2</v>
      </c>
      <c r="AU41" s="19">
        <v>2.868828637021606E-2</v>
      </c>
      <c r="AV41" s="19">
        <v>2.868828637021606E-2</v>
      </c>
      <c r="AW41" s="19">
        <v>2.868828637021606E-2</v>
      </c>
      <c r="AX41" s="19">
        <v>2.868828637021606E-2</v>
      </c>
      <c r="AY41" s="19">
        <v>2.868828637021606E-2</v>
      </c>
      <c r="AZ41" s="19">
        <v>2.868828637021606E-2</v>
      </c>
      <c r="BA41" s="19">
        <v>2.868828637021606E-2</v>
      </c>
    </row>
    <row r="42" spans="1:61">
      <c r="A42" s="21" t="s">
        <v>165</v>
      </c>
    </row>
    <row r="43" spans="1:61">
      <c r="A43" s="21" t="s">
        <v>165</v>
      </c>
    </row>
    <row r="44" spans="1:61">
      <c r="A44" s="21" t="s">
        <v>165</v>
      </c>
    </row>
    <row r="45" spans="1:61">
      <c r="A45" s="21" t="s">
        <v>165</v>
      </c>
    </row>
    <row r="46" spans="1:61">
      <c r="A46" s="21" t="s">
        <v>165</v>
      </c>
    </row>
    <row r="47" spans="1:61">
      <c r="A47" s="21" t="s">
        <v>165</v>
      </c>
    </row>
    <row r="48" spans="1:61">
      <c r="A48" s="21" t="s">
        <v>165</v>
      </c>
    </row>
    <row r="49" spans="1:56">
      <c r="A49" s="21" t="s">
        <v>165</v>
      </c>
    </row>
    <row r="50" spans="1:56">
      <c r="A50" s="21" t="s">
        <v>165</v>
      </c>
    </row>
    <row r="51" spans="1:56">
      <c r="A51" s="21" t="s">
        <v>165</v>
      </c>
    </row>
    <row r="52" spans="1:56">
      <c r="A52" s="21" t="s">
        <v>165</v>
      </c>
    </row>
    <row r="53" spans="1:56">
      <c r="A53" s="21" t="s">
        <v>165</v>
      </c>
    </row>
    <row r="54" spans="1:56">
      <c r="A54" s="21" t="s">
        <v>165</v>
      </c>
    </row>
    <row r="55" spans="1:56">
      <c r="A55" s="21" t="s">
        <v>165</v>
      </c>
    </row>
    <row r="56" spans="1:56">
      <c r="A56" s="21" t="s">
        <v>165</v>
      </c>
    </row>
    <row r="57" spans="1:56">
      <c r="A57" s="21" t="s">
        <v>165</v>
      </c>
    </row>
    <row r="58" spans="1:56">
      <c r="A58" s="21" t="s">
        <v>165</v>
      </c>
    </row>
    <row r="59" spans="1:56">
      <c r="A59" s="21" t="s">
        <v>165</v>
      </c>
      <c r="B59" s="2" t="s">
        <v>109</v>
      </c>
      <c r="F59" s="18" t="s">
        <v>161</v>
      </c>
      <c r="N59" s="18" t="s">
        <v>160</v>
      </c>
      <c r="W59" s="18" t="s">
        <v>162</v>
      </c>
    </row>
    <row r="60" spans="1:56" s="28" customFormat="1" ht="14.4">
      <c r="A60" s="100" t="s">
        <v>132</v>
      </c>
      <c r="C60" s="103" t="s">
        <v>159</v>
      </c>
      <c r="D60" s="33" t="s">
        <v>0</v>
      </c>
      <c r="E60" s="28">
        <v>0</v>
      </c>
      <c r="F60" s="117">
        <v>0.1</v>
      </c>
      <c r="G60" s="117">
        <v>0.2</v>
      </c>
      <c r="H60" s="80">
        <v>0.3</v>
      </c>
      <c r="I60" s="28">
        <v>0.4</v>
      </c>
      <c r="J60" s="80">
        <v>0.5</v>
      </c>
      <c r="K60" s="28">
        <v>0.6</v>
      </c>
      <c r="L60" s="80">
        <v>0.7</v>
      </c>
      <c r="M60" s="28">
        <v>0.8</v>
      </c>
      <c r="N60" s="117">
        <v>0.9</v>
      </c>
      <c r="O60" s="117">
        <v>1</v>
      </c>
      <c r="P60" s="80">
        <v>1.1000000000000001</v>
      </c>
      <c r="Q60" s="28">
        <v>1.2</v>
      </c>
      <c r="R60" s="80">
        <v>1.3</v>
      </c>
      <c r="S60" s="28">
        <v>1.4</v>
      </c>
      <c r="T60" s="80">
        <v>1.5</v>
      </c>
      <c r="U60" s="80">
        <v>1.6</v>
      </c>
      <c r="V60" s="80">
        <v>1.7</v>
      </c>
      <c r="W60" s="28">
        <v>1.8</v>
      </c>
      <c r="X60" s="80">
        <v>1.9</v>
      </c>
      <c r="Y60" s="28">
        <v>2</v>
      </c>
      <c r="Z60" s="80">
        <v>2.1</v>
      </c>
      <c r="AA60" s="28">
        <v>2.2000000000000002</v>
      </c>
      <c r="AB60" s="80">
        <v>2.2999999999999998</v>
      </c>
      <c r="AC60" s="118">
        <v>2.4</v>
      </c>
      <c r="AD60" s="118">
        <v>2.5</v>
      </c>
      <c r="AE60" s="28">
        <v>2.6</v>
      </c>
      <c r="AF60" s="80">
        <v>2.7</v>
      </c>
      <c r="AG60" s="28">
        <v>2.8</v>
      </c>
      <c r="AH60" s="80">
        <v>2.9</v>
      </c>
      <c r="AI60" s="28">
        <v>3</v>
      </c>
      <c r="AJ60" s="80">
        <v>3.1</v>
      </c>
      <c r="AK60" s="28">
        <v>3.2</v>
      </c>
      <c r="AL60" s="80">
        <v>3.3</v>
      </c>
      <c r="AM60" s="28">
        <v>3.4</v>
      </c>
      <c r="AN60" s="80">
        <v>3.5</v>
      </c>
      <c r="AO60" s="28">
        <v>3.6</v>
      </c>
      <c r="AP60" s="80">
        <v>3.7</v>
      </c>
      <c r="AQ60" s="28">
        <v>3.8</v>
      </c>
      <c r="AR60" s="80">
        <v>3.9</v>
      </c>
      <c r="AS60" s="28">
        <v>4</v>
      </c>
      <c r="AT60" s="80">
        <v>4.0999999999999996</v>
      </c>
      <c r="AU60" s="28">
        <v>4.2</v>
      </c>
      <c r="AV60" s="80">
        <v>4.3</v>
      </c>
      <c r="AW60" s="28">
        <v>4.4000000000000004</v>
      </c>
      <c r="AX60" s="80">
        <v>4.5</v>
      </c>
      <c r="AY60" s="28">
        <v>4.5999999999999996</v>
      </c>
      <c r="AZ60" s="80">
        <v>4.7</v>
      </c>
      <c r="BA60" s="28">
        <v>4.8</v>
      </c>
      <c r="BB60" s="80">
        <v>4.9000000000000004</v>
      </c>
      <c r="BC60" s="28">
        <v>5</v>
      </c>
    </row>
    <row r="61" spans="1:56" s="28" customFormat="1" ht="14.4">
      <c r="B61" s="118"/>
      <c r="C61" s="119" t="s">
        <v>179</v>
      </c>
      <c r="D61" s="33" t="s">
        <v>16</v>
      </c>
      <c r="E61" s="28">
        <v>0</v>
      </c>
      <c r="F61" s="35">
        <f>80*(1-EXP(-1*F$60))/100</f>
        <v>7.6130065571232391E-2</v>
      </c>
      <c r="G61" s="35">
        <f t="shared" ref="G61:AB61" si="46">80*(1-EXP(-1*G$60))/100</f>
        <v>0.14501539753761455</v>
      </c>
      <c r="H61" s="35">
        <f t="shared" si="46"/>
        <v>0.20734542345462573</v>
      </c>
      <c r="I61" s="35">
        <f t="shared" si="46"/>
        <v>0.26374396317148852</v>
      </c>
      <c r="J61" s="35">
        <f t="shared" si="46"/>
        <v>0.31477547222989327</v>
      </c>
      <c r="K61" s="35">
        <f t="shared" si="46"/>
        <v>0.36095069112477884</v>
      </c>
      <c r="L61" s="35">
        <f t="shared" si="46"/>
        <v>0.40273175696687241</v>
      </c>
      <c r="M61" s="35">
        <f t="shared" si="46"/>
        <v>0.44053682870622274</v>
      </c>
      <c r="N61" s="35">
        <f t="shared" si="46"/>
        <v>0.47474427220752069</v>
      </c>
      <c r="O61" s="35">
        <f t="shared" si="46"/>
        <v>0.50569644706284611</v>
      </c>
      <c r="P61" s="35">
        <f t="shared" si="46"/>
        <v>0.53370313304153638</v>
      </c>
      <c r="Q61" s="35">
        <f t="shared" si="46"/>
        <v>0.55904463047023822</v>
      </c>
      <c r="R61" s="35">
        <f t="shared" si="46"/>
        <v>0.58197456557278993</v>
      </c>
      <c r="S61" s="35">
        <f t="shared" si="46"/>
        <v>0.6027224288467149</v>
      </c>
      <c r="T61" s="35">
        <f t="shared" si="46"/>
        <v>0.6214958718812561</v>
      </c>
      <c r="U61" s="35">
        <f t="shared" si="46"/>
        <v>0.63848278560427574</v>
      </c>
      <c r="V61" s="35">
        <f t="shared" si="46"/>
        <v>0.65385318075781229</v>
      </c>
      <c r="W61" s="35">
        <f t="shared" si="46"/>
        <v>0.66776088942273082</v>
      </c>
      <c r="X61" s="35">
        <f t="shared" si="46"/>
        <v>0.68034510462189191</v>
      </c>
      <c r="Y61" s="35">
        <f t="shared" si="46"/>
        <v>0.69173177341070979</v>
      </c>
      <c r="Z61" s="35">
        <f t="shared" si="46"/>
        <v>0.70203485739761451</v>
      </c>
      <c r="AA61" s="35">
        <f t="shared" si="46"/>
        <v>0.71135747331013288</v>
      </c>
      <c r="AB61" s="35">
        <f t="shared" si="46"/>
        <v>0.71979292502175696</v>
      </c>
      <c r="AC61" s="123">
        <f>80*(1-EXP(-1*AC$60))/100</f>
        <v>0.72742563736846999</v>
      </c>
      <c r="AD61" s="123">
        <f t="shared" ref="AD61:BC61" si="47">80*(1-EXP(-1*AD$60))/100</f>
        <v>0.73433200110088093</v>
      </c>
      <c r="AE61" s="127">
        <f t="shared" si="47"/>
        <v>0.74058113742853293</v>
      </c>
      <c r="AF61" s="127">
        <f t="shared" si="47"/>
        <v>0.74623558980820026</v>
      </c>
      <c r="AG61" s="127">
        <f t="shared" si="47"/>
        <v>0.75135194989982568</v>
      </c>
      <c r="AH61" s="127">
        <f t="shared" si="47"/>
        <v>0.75598142395487411</v>
      </c>
      <c r="AI61" s="127">
        <f t="shared" si="47"/>
        <v>0.76017034530570882</v>
      </c>
      <c r="AJ61" s="127">
        <f t="shared" si="47"/>
        <v>0.7639606380851538</v>
      </c>
      <c r="AK61" s="127">
        <f t="shared" si="47"/>
        <v>0.76739023681730711</v>
      </c>
      <c r="AL61" s="127">
        <f t="shared" si="47"/>
        <v>0.77049346607900804</v>
      </c>
      <c r="AM61" s="127">
        <f t="shared" si="47"/>
        <v>0.7733013840317392</v>
      </c>
      <c r="AN61" s="127">
        <f t="shared" si="47"/>
        <v>0.77584209326214515</v>
      </c>
      <c r="AO61" s="127">
        <f t="shared" si="47"/>
        <v>0.77814102204216595</v>
      </c>
      <c r="AP61" s="127">
        <f t="shared" si="47"/>
        <v>0.78022117882372855</v>
      </c>
      <c r="AQ61" s="127">
        <f t="shared" si="47"/>
        <v>0.7821033825150675</v>
      </c>
      <c r="AR61" s="127">
        <f t="shared" si="47"/>
        <v>0.78380647084335653</v>
      </c>
      <c r="AS61" s="127">
        <f t="shared" si="47"/>
        <v>0.78534748888901262</v>
      </c>
      <c r="AT61" s="127">
        <f t="shared" si="47"/>
        <v>0.786741859678591</v>
      </c>
      <c r="AU61" s="127">
        <f t="shared" si="47"/>
        <v>0.78800353854361793</v>
      </c>
      <c r="AV61" s="127">
        <f t="shared" si="47"/>
        <v>0.78914515279023933</v>
      </c>
      <c r="AW61" s="127">
        <f t="shared" si="47"/>
        <v>0.79017812807754528</v>
      </c>
      <c r="AX61" s="127">
        <f t="shared" si="47"/>
        <v>0.79111280276940621</v>
      </c>
      <c r="AY61" s="127">
        <f t="shared" si="47"/>
        <v>0.79195853140429318</v>
      </c>
      <c r="AZ61" s="127">
        <f t="shared" si="47"/>
        <v>0.79272377831864338</v>
      </c>
      <c r="BA61" s="127">
        <f t="shared" si="47"/>
        <v>0.79341620236078403</v>
      </c>
      <c r="BB61" s="127">
        <f t="shared" si="47"/>
        <v>0.79404273354326049</v>
      </c>
      <c r="BC61" s="127">
        <f t="shared" si="47"/>
        <v>0.79460964240073162</v>
      </c>
      <c r="BD61" s="34"/>
    </row>
    <row r="62" spans="1:56" s="28" customFormat="1" ht="14.4">
      <c r="C62" s="22" t="s">
        <v>155</v>
      </c>
      <c r="D62" s="33" t="s">
        <v>16</v>
      </c>
      <c r="E62" s="28">
        <v>0</v>
      </c>
      <c r="F62" s="35">
        <f>50*(1-EXP(-0.2*F$60))/100</f>
        <v>9.9006633466223737E-3</v>
      </c>
      <c r="G62" s="35">
        <f t="shared" ref="G62:AO62" si="48">50*(1-EXP(-0.2*G$60))/100</f>
        <v>1.9605280423838412E-2</v>
      </c>
      <c r="H62" s="35">
        <f t="shared" si="48"/>
        <v>2.9117733207875637E-2</v>
      </c>
      <c r="I62" s="35">
        <f t="shared" si="48"/>
        <v>3.8441826806682122E-2</v>
      </c>
      <c r="J62" s="35">
        <f t="shared" si="48"/>
        <v>4.7581290982020248E-2</v>
      </c>
      <c r="K62" s="35">
        <f t="shared" si="48"/>
        <v>5.6539781641421261E-2</v>
      </c>
      <c r="L62" s="35">
        <f t="shared" si="48"/>
        <v>6.5320882300597072E-2</v>
      </c>
      <c r="M62" s="35">
        <f t="shared" si="48"/>
        <v>7.3928105516894327E-2</v>
      </c>
      <c r="N62" s="35">
        <f t="shared" si="48"/>
        <v>8.2364894294363999E-2</v>
      </c>
      <c r="O62" s="35">
        <f t="shared" si="48"/>
        <v>9.063462346100909E-2</v>
      </c>
      <c r="P62" s="35">
        <f t="shared" si="48"/>
        <v>9.8740601018760754E-2</v>
      </c>
      <c r="Q62" s="35">
        <f t="shared" si="48"/>
        <v>0.10668606946672327</v>
      </c>
      <c r="R62" s="35">
        <f t="shared" si="48"/>
        <v>0.11447420709821687</v>
      </c>
      <c r="S62" s="35">
        <f t="shared" si="48"/>
        <v>0.12210812927213727</v>
      </c>
      <c r="T62" s="35">
        <f t="shared" si="48"/>
        <v>0.12959088965914106</v>
      </c>
      <c r="U62" s="35">
        <f t="shared" si="48"/>
        <v>0.13692548146315459</v>
      </c>
      <c r="V62" s="35">
        <f t="shared" si="48"/>
        <v>0.14411483861869517</v>
      </c>
      <c r="W62" s="35">
        <f t="shared" si="48"/>
        <v>0.15116183696448449</v>
      </c>
      <c r="X62" s="35">
        <f t="shared" si="48"/>
        <v>0.15806929539382208</v>
      </c>
      <c r="Y62" s="35">
        <f t="shared" si="48"/>
        <v>0.16483997698218034</v>
      </c>
      <c r="Z62" s="35">
        <f t="shared" si="48"/>
        <v>0.17147659009247163</v>
      </c>
      <c r="AA62" s="35">
        <f t="shared" si="48"/>
        <v>0.17798178945842935</v>
      </c>
      <c r="AB62" s="35">
        <f t="shared" si="48"/>
        <v>0.18435817724653702</v>
      </c>
      <c r="AC62" s="35">
        <f t="shared" si="48"/>
        <v>0.19060830409692958</v>
      </c>
      <c r="AD62" s="35">
        <f t="shared" si="48"/>
        <v>0.19673467014368329</v>
      </c>
      <c r="AE62" s="35">
        <f t="shared" si="48"/>
        <v>0.20273972601490281</v>
      </c>
      <c r="AF62" s="35">
        <f t="shared" si="48"/>
        <v>0.20862587381300518</v>
      </c>
      <c r="AG62" s="35">
        <f t="shared" si="48"/>
        <v>0.21439546807559257</v>
      </c>
      <c r="AH62" s="35">
        <f t="shared" si="48"/>
        <v>0.22005081671729898</v>
      </c>
      <c r="AI62" s="35">
        <f t="shared" si="48"/>
        <v>0.22559418195298681</v>
      </c>
      <c r="AJ62" s="35">
        <f t="shared" si="48"/>
        <v>0.23102778120266276</v>
      </c>
      <c r="AK62" s="35">
        <f t="shared" si="48"/>
        <v>0.23635378797847573</v>
      </c>
      <c r="AL62" s="35">
        <f t="shared" si="48"/>
        <v>0.24157433275415041</v>
      </c>
      <c r="AM62" s="35">
        <f t="shared" si="48"/>
        <v>0.24669150381720523</v>
      </c>
      <c r="AN62" s="35">
        <f t="shared" si="48"/>
        <v>0.25170734810429529</v>
      </c>
      <c r="AO62" s="35">
        <f t="shared" si="48"/>
        <v>0.25662387202001419</v>
      </c>
      <c r="AP62" s="35">
        <f t="shared" ref="AP62:BC62" si="49">50*(1-EXP(-0.2*AP$60))/100</f>
        <v>0.26144304223948284</v>
      </c>
      <c r="AQ62" s="35">
        <f t="shared" si="49"/>
        <v>0.26616678649504538</v>
      </c>
      <c r="AR62" s="35">
        <f t="shared" si="49"/>
        <v>0.27079699434738824</v>
      </c>
      <c r="AS62" s="35">
        <f t="shared" si="49"/>
        <v>0.27533551794138922</v>
      </c>
      <c r="AT62" s="35">
        <f t="shared" si="49"/>
        <v>0.27978417274700035</v>
      </c>
      <c r="AU62" s="35">
        <f t="shared" si="49"/>
        <v>0.28414473828546016</v>
      </c>
      <c r="AV62" s="35">
        <f t="shared" si="49"/>
        <v>0.28841895884112556</v>
      </c>
      <c r="AW62" s="35">
        <f t="shared" si="49"/>
        <v>0.29260854415920934</v>
      </c>
      <c r="AX62" s="35">
        <f t="shared" si="49"/>
        <v>0.29671517012970045</v>
      </c>
      <c r="AY62" s="35">
        <f t="shared" si="49"/>
        <v>0.3007404794577429</v>
      </c>
      <c r="AZ62" s="35">
        <f t="shared" si="49"/>
        <v>0.30468608232073946</v>
      </c>
      <c r="BA62" s="35">
        <f t="shared" si="49"/>
        <v>0.30855355701244397</v>
      </c>
      <c r="BB62" s="35">
        <f t="shared" si="49"/>
        <v>0.31234445057430027</v>
      </c>
      <c r="BC62" s="35">
        <f t="shared" si="49"/>
        <v>0.31606027941427883</v>
      </c>
      <c r="BD62" s="34"/>
    </row>
    <row r="63" spans="1:56" s="28" customFormat="1" ht="14.4">
      <c r="B63" s="80"/>
      <c r="C63" s="116" t="s">
        <v>156</v>
      </c>
      <c r="D63" s="82" t="s">
        <v>17</v>
      </c>
      <c r="E63" s="80">
        <v>0</v>
      </c>
      <c r="F63" s="127">
        <f>50*(1-EXP(-0.4*F$60))/100</f>
        <v>1.9605280423838412E-2</v>
      </c>
      <c r="G63" s="127">
        <f t="shared" ref="G63:BC63" si="50">50*(1-EXP(-0.4*G$60))/100</f>
        <v>3.8441826806682122E-2</v>
      </c>
      <c r="H63" s="35">
        <f t="shared" si="50"/>
        <v>5.6539781641421261E-2</v>
      </c>
      <c r="I63" s="35">
        <f t="shared" si="50"/>
        <v>7.3928105516894327E-2</v>
      </c>
      <c r="J63" s="35">
        <f t="shared" si="50"/>
        <v>9.063462346100909E-2</v>
      </c>
      <c r="K63" s="35">
        <f t="shared" si="50"/>
        <v>0.10668606946672327</v>
      </c>
      <c r="L63" s="35">
        <f t="shared" si="50"/>
        <v>0.12210812927213727</v>
      </c>
      <c r="M63" s="35">
        <f t="shared" si="50"/>
        <v>0.13692548146315459</v>
      </c>
      <c r="N63" s="35">
        <f t="shared" si="50"/>
        <v>0.15116183696448449</v>
      </c>
      <c r="O63" s="35">
        <f t="shared" si="50"/>
        <v>0.16483997698218034</v>
      </c>
      <c r="P63" s="35">
        <f t="shared" si="50"/>
        <v>0.17798178945842935</v>
      </c>
      <c r="Q63" s="35">
        <f t="shared" si="50"/>
        <v>0.19060830409692958</v>
      </c>
      <c r="R63" s="35">
        <f t="shared" si="50"/>
        <v>0.20273972601490281</v>
      </c>
      <c r="S63" s="35">
        <f t="shared" si="50"/>
        <v>0.21439546807559257</v>
      </c>
      <c r="T63" s="35">
        <f t="shared" si="50"/>
        <v>0.22559418195298681</v>
      </c>
      <c r="U63" s="35">
        <f t="shared" si="50"/>
        <v>0.23635378797847573</v>
      </c>
      <c r="V63" s="35">
        <f t="shared" si="50"/>
        <v>0.24669150381720523</v>
      </c>
      <c r="W63" s="35">
        <f t="shared" si="50"/>
        <v>0.25662387202001419</v>
      </c>
      <c r="X63" s="35">
        <f t="shared" si="50"/>
        <v>0.26616678649504538</v>
      </c>
      <c r="Y63" s="35">
        <f t="shared" si="50"/>
        <v>0.27533551794138922</v>
      </c>
      <c r="Z63" s="35">
        <f t="shared" si="50"/>
        <v>0.28414473828546016</v>
      </c>
      <c r="AA63" s="35">
        <f t="shared" si="50"/>
        <v>0.29260854415920934</v>
      </c>
      <c r="AB63" s="35">
        <f t="shared" si="50"/>
        <v>0.3007404794577429</v>
      </c>
      <c r="AC63" s="35">
        <f t="shared" si="50"/>
        <v>0.30855355701244397</v>
      </c>
      <c r="AD63" s="35">
        <f t="shared" si="50"/>
        <v>0.31606027941427883</v>
      </c>
      <c r="AE63" s="35">
        <f t="shared" si="50"/>
        <v>0.32327265902060992</v>
      </c>
      <c r="AF63" s="35">
        <f t="shared" si="50"/>
        <v>0.3302022371775305</v>
      </c>
      <c r="AG63" s="35">
        <f t="shared" si="50"/>
        <v>0.33686010268848021</v>
      </c>
      <c r="AH63" s="35">
        <f t="shared" si="50"/>
        <v>0.34325690955869737</v>
      </c>
      <c r="AI63" s="35">
        <f t="shared" si="50"/>
        <v>0.34940289404389901</v>
      </c>
      <c r="AJ63" s="35">
        <f t="shared" si="50"/>
        <v>0.35530789103047478</v>
      </c>
      <c r="AK63" s="35">
        <f t="shared" si="50"/>
        <v>0.36098134977340296</v>
      </c>
      <c r="AL63" s="35">
        <f t="shared" si="50"/>
        <v>0.36643234901707478</v>
      </c>
      <c r="AM63" s="35">
        <f t="shared" si="50"/>
        <v>0.37166961152322209</v>
      </c>
      <c r="AN63" s="35">
        <f t="shared" si="50"/>
        <v>0.37670151802919677</v>
      </c>
      <c r="AO63" s="35">
        <f t="shared" si="50"/>
        <v>0.38153612065893916</v>
      </c>
      <c r="AP63" s="35">
        <f t="shared" si="50"/>
        <v>0.38618115580809365</v>
      </c>
      <c r="AQ63" s="35">
        <f t="shared" si="50"/>
        <v>0.39064405652389261</v>
      </c>
      <c r="AR63" s="35">
        <f t="shared" si="50"/>
        <v>0.39493196439961764</v>
      </c>
      <c r="AS63" s="35">
        <f t="shared" si="50"/>
        <v>0.39905174100267232</v>
      </c>
      <c r="AT63" s="35">
        <f t="shared" si="50"/>
        <v>0.40300997885455403</v>
      </c>
      <c r="AU63" s="35">
        <f t="shared" si="50"/>
        <v>0.40681301198029501</v>
      </c>
      <c r="AV63" s="35">
        <f t="shared" si="50"/>
        <v>0.41046692604425339</v>
      </c>
      <c r="AW63" s="35">
        <f t="shared" si="50"/>
        <v>0.41397756808847475</v>
      </c>
      <c r="AX63" s="35">
        <f t="shared" si="50"/>
        <v>0.41735055588920672</v>
      </c>
      <c r="AY63" s="35">
        <f t="shared" si="50"/>
        <v>0.42059128694653963</v>
      </c>
      <c r="AZ63" s="35">
        <f t="shared" si="50"/>
        <v>0.42370494712155804</v>
      </c>
      <c r="BA63" s="35">
        <f t="shared" si="50"/>
        <v>0.42669651893482485</v>
      </c>
      <c r="BB63" s="35">
        <f t="shared" si="50"/>
        <v>0.42957078953947753</v>
      </c>
      <c r="BC63" s="35">
        <f t="shared" si="50"/>
        <v>0.43233235838169365</v>
      </c>
      <c r="BD63" s="34"/>
    </row>
    <row r="64" spans="1:56" s="28" customFormat="1" ht="14.4">
      <c r="B64" s="80"/>
      <c r="C64" s="116" t="s">
        <v>157</v>
      </c>
      <c r="D64" s="82" t="s">
        <v>95</v>
      </c>
      <c r="E64" s="80">
        <v>0</v>
      </c>
      <c r="F64" s="127">
        <f>50*(1-EXP(-0.6*F$60))/100</f>
        <v>2.9117733207875637E-2</v>
      </c>
      <c r="G64" s="127">
        <f t="shared" ref="G64:BC64" si="51">50*(1-EXP(-0.6*G$60))/100</f>
        <v>5.6539781641421261E-2</v>
      </c>
      <c r="H64" s="35">
        <f t="shared" si="51"/>
        <v>8.2364894294363999E-2</v>
      </c>
      <c r="I64" s="35">
        <f t="shared" si="51"/>
        <v>0.10668606946672327</v>
      </c>
      <c r="J64" s="35">
        <f t="shared" si="51"/>
        <v>0.12959088965914106</v>
      </c>
      <c r="K64" s="35">
        <f t="shared" si="51"/>
        <v>0.15116183696448449</v>
      </c>
      <c r="L64" s="35">
        <f t="shared" si="51"/>
        <v>0.17147659009247163</v>
      </c>
      <c r="M64" s="35">
        <f t="shared" si="51"/>
        <v>0.19060830409692958</v>
      </c>
      <c r="N64" s="127">
        <f t="shared" si="51"/>
        <v>0.20862587381300518</v>
      </c>
      <c r="O64" s="127">
        <f t="shared" si="51"/>
        <v>0.22559418195298681</v>
      </c>
      <c r="P64" s="35">
        <f t="shared" si="51"/>
        <v>0.24157433275415041</v>
      </c>
      <c r="Q64" s="35">
        <f t="shared" si="51"/>
        <v>0.25662387202001413</v>
      </c>
      <c r="R64" s="35">
        <f t="shared" si="51"/>
        <v>0.27079699434738824</v>
      </c>
      <c r="S64" s="35">
        <f t="shared" si="51"/>
        <v>0.28414473828546016</v>
      </c>
      <c r="T64" s="35">
        <f t="shared" si="51"/>
        <v>0.29671517012970039</v>
      </c>
      <c r="U64" s="35">
        <f t="shared" si="51"/>
        <v>0.30855355701244397</v>
      </c>
      <c r="V64" s="35">
        <f t="shared" si="51"/>
        <v>0.31970252991346082</v>
      </c>
      <c r="W64" s="35">
        <f t="shared" si="51"/>
        <v>0.3302022371775305</v>
      </c>
      <c r="X64" s="35">
        <f t="shared" si="51"/>
        <v>0.34009048909184808</v>
      </c>
      <c r="Y64" s="35">
        <f t="shared" si="51"/>
        <v>0.34940289404389885</v>
      </c>
      <c r="Z64" s="35">
        <f t="shared" si="51"/>
        <v>0.35817298675011477</v>
      </c>
      <c r="AA64" s="35">
        <f t="shared" si="51"/>
        <v>0.36643234901707478</v>
      </c>
      <c r="AB64" s="35">
        <f t="shared" si="51"/>
        <v>0.37421072347012169</v>
      </c>
      <c r="AC64" s="35">
        <f t="shared" si="51"/>
        <v>0.3815361206589391</v>
      </c>
      <c r="AD64" s="35">
        <f t="shared" si="51"/>
        <v>0.38843491992578516</v>
      </c>
      <c r="AE64" s="35">
        <f t="shared" si="51"/>
        <v>0.39493196439961764</v>
      </c>
      <c r="AF64" s="35">
        <f t="shared" si="51"/>
        <v>0.40105065045819266</v>
      </c>
      <c r="AG64" s="35">
        <f t="shared" si="51"/>
        <v>0.40681301198029501</v>
      </c>
      <c r="AH64" s="35">
        <f t="shared" si="51"/>
        <v>0.4122397996915016</v>
      </c>
      <c r="AI64" s="35">
        <f t="shared" si="51"/>
        <v>0.41735055588920672</v>
      </c>
      <c r="AJ64" s="35">
        <f t="shared" si="51"/>
        <v>0.42216368481600131</v>
      </c>
      <c r="AK64" s="35">
        <f t="shared" si="51"/>
        <v>0.42669651893482485</v>
      </c>
      <c r="AL64" s="35">
        <f t="shared" si="51"/>
        <v>0.43096538134455359</v>
      </c>
      <c r="AM64" s="35">
        <f t="shared" si="51"/>
        <v>0.43498564456078703</v>
      </c>
      <c r="AN64" s="35">
        <f t="shared" si="51"/>
        <v>0.43877178587350907</v>
      </c>
      <c r="AO64" s="35">
        <f t="shared" si="51"/>
        <v>0.44233743948096882</v>
      </c>
      <c r="AP64" s="35">
        <f t="shared" si="51"/>
        <v>0.445695445587521</v>
      </c>
      <c r="AQ64" s="35">
        <f t="shared" si="51"/>
        <v>0.44885789664223125</v>
      </c>
      <c r="AR64" s="35">
        <f t="shared" si="51"/>
        <v>0.45183618088475347</v>
      </c>
      <c r="AS64" s="35">
        <f t="shared" si="51"/>
        <v>0.45464102335529377</v>
      </c>
      <c r="AT64" s="35">
        <f t="shared" si="51"/>
        <v>0.45728252451633933</v>
      </c>
      <c r="AU64" s="35">
        <f t="shared" si="51"/>
        <v>0.45977019662523377</v>
      </c>
      <c r="AV64" s="35">
        <f t="shared" si="51"/>
        <v>0.46211299798857725</v>
      </c>
      <c r="AW64" s="35">
        <f t="shared" si="51"/>
        <v>0.46431936522180695</v>
      </c>
      <c r="AX64" s="35">
        <f t="shared" si="51"/>
        <v>0.46639724363012514</v>
      </c>
      <c r="AY64" s="35">
        <f t="shared" si="51"/>
        <v>0.46835411582017961</v>
      </c>
      <c r="AZ64" s="35">
        <f t="shared" si="51"/>
        <v>0.47019702864553031</v>
      </c>
      <c r="BA64" s="35">
        <f t="shared" si="51"/>
        <v>0.47193261858293312</v>
      </c>
      <c r="BB64" s="35">
        <f t="shared" si="51"/>
        <v>0.47356713563082481</v>
      </c>
      <c r="BC64" s="35">
        <f t="shared" si="51"/>
        <v>0.47510646581606797</v>
      </c>
      <c r="BD64" s="34"/>
    </row>
    <row r="65" spans="1:61" s="17" customFormat="1" ht="14.4">
      <c r="A65" s="79" t="e">
        <f>10*LOG(15*A60)/100</f>
        <v>#VALUE!</v>
      </c>
      <c r="C65" s="116" t="s">
        <v>158</v>
      </c>
      <c r="D65" s="82" t="s">
        <v>96</v>
      </c>
      <c r="E65" s="80">
        <v>0</v>
      </c>
      <c r="F65" s="35">
        <f>50*(1-EXP(-0.8*F$60))/100</f>
        <v>3.8441826806682122E-2</v>
      </c>
      <c r="G65" s="35">
        <f t="shared" ref="G65:BC65" si="52">50*(1-EXP(-0.8*G$60))/100</f>
        <v>7.3928105516894327E-2</v>
      </c>
      <c r="H65" s="35">
        <f t="shared" si="52"/>
        <v>0.10668606946672327</v>
      </c>
      <c r="I65" s="35">
        <f t="shared" si="52"/>
        <v>0.13692548146315459</v>
      </c>
      <c r="J65" s="35">
        <f t="shared" si="52"/>
        <v>0.16483997698218034</v>
      </c>
      <c r="K65" s="35">
        <f t="shared" si="52"/>
        <v>0.19060830409692958</v>
      </c>
      <c r="L65" s="35">
        <f t="shared" si="52"/>
        <v>0.21439546807559257</v>
      </c>
      <c r="M65" s="35">
        <f t="shared" si="52"/>
        <v>0.23635378797847573</v>
      </c>
      <c r="N65" s="35">
        <f t="shared" si="52"/>
        <v>0.25662387202001419</v>
      </c>
      <c r="O65" s="35">
        <f t="shared" si="52"/>
        <v>0.27533551794138922</v>
      </c>
      <c r="P65" s="35">
        <f t="shared" si="52"/>
        <v>0.29260854415920934</v>
      </c>
      <c r="Q65" s="35">
        <f t="shared" si="52"/>
        <v>0.30855355701244397</v>
      </c>
      <c r="R65" s="35">
        <f t="shared" si="52"/>
        <v>0.32327265902060992</v>
      </c>
      <c r="S65" s="35">
        <f t="shared" si="52"/>
        <v>0.33686010268848021</v>
      </c>
      <c r="T65" s="35">
        <f t="shared" si="52"/>
        <v>0.34940289404389901</v>
      </c>
      <c r="U65" s="35">
        <f t="shared" si="52"/>
        <v>0.36098134977340296</v>
      </c>
      <c r="V65" s="35">
        <f t="shared" si="52"/>
        <v>0.37166961152322209</v>
      </c>
      <c r="W65" s="35">
        <f t="shared" si="52"/>
        <v>0.38153612065893916</v>
      </c>
      <c r="X65" s="35">
        <f t="shared" si="52"/>
        <v>0.39064405652389261</v>
      </c>
      <c r="Y65" s="35">
        <f t="shared" si="52"/>
        <v>0.39905174100267232</v>
      </c>
      <c r="Z65" s="35">
        <f t="shared" si="52"/>
        <v>0.40681301198029501</v>
      </c>
      <c r="AA65" s="35">
        <f t="shared" si="52"/>
        <v>0.41397756808847475</v>
      </c>
      <c r="AB65" s="35">
        <f t="shared" si="52"/>
        <v>0.42059128694653963</v>
      </c>
      <c r="AC65" s="35">
        <f t="shared" si="52"/>
        <v>0.42669651893482485</v>
      </c>
      <c r="AD65" s="35">
        <f t="shared" si="52"/>
        <v>0.43233235838169365</v>
      </c>
      <c r="AE65" s="35">
        <f t="shared" si="52"/>
        <v>0.43753489390070877</v>
      </c>
      <c r="AF65" s="35">
        <f t="shared" si="52"/>
        <v>0.44233743948096882</v>
      </c>
      <c r="AG65" s="35">
        <f t="shared" si="52"/>
        <v>0.44677074781037357</v>
      </c>
      <c r="AH65" s="35">
        <f t="shared" si="52"/>
        <v>0.45086320719781925</v>
      </c>
      <c r="AI65" s="35">
        <f t="shared" si="52"/>
        <v>0.45464102335529377</v>
      </c>
      <c r="AJ65" s="35">
        <f t="shared" si="52"/>
        <v>0.45812838720390203</v>
      </c>
      <c r="AK65" s="35">
        <f t="shared" si="52"/>
        <v>0.46134762977835014</v>
      </c>
      <c r="AL65" s="35">
        <f t="shared" si="52"/>
        <v>0.46431936522180695</v>
      </c>
      <c r="AM65" s="35">
        <f t="shared" si="52"/>
        <v>0.46706262278679861</v>
      </c>
      <c r="AN65" s="35">
        <f t="shared" si="52"/>
        <v>0.46959496868739103</v>
      </c>
      <c r="AO65" s="35">
        <f t="shared" si="52"/>
        <v>0.47193261858293317</v>
      </c>
      <c r="AP65" s="35">
        <f t="shared" si="52"/>
        <v>0.4740905414136371</v>
      </c>
      <c r="AQ65" s="35">
        <f t="shared" si="52"/>
        <v>0.47608255525290083</v>
      </c>
      <c r="AR65" s="35">
        <f t="shared" si="52"/>
        <v>0.47792141579015357</v>
      </c>
      <c r="AS65" s="35">
        <f t="shared" si="52"/>
        <v>0.47961889801081692</v>
      </c>
      <c r="AT65" s="35">
        <f t="shared" si="52"/>
        <v>0.48118587159641196</v>
      </c>
      <c r="AU65" s="35">
        <f t="shared" si="52"/>
        <v>0.48263237052763075</v>
      </c>
      <c r="AV65" s="35">
        <f t="shared" si="52"/>
        <v>0.48396765733606961</v>
      </c>
      <c r="AW65" s="35">
        <f t="shared" si="52"/>
        <v>0.48520028241605401</v>
      </c>
      <c r="AX65" s="35">
        <f t="shared" si="52"/>
        <v>0.48633813877635373</v>
      </c>
      <c r="AY65" s="35">
        <f t="shared" si="52"/>
        <v>0.48738851258238641</v>
      </c>
      <c r="AZ65" s="35">
        <f t="shared" si="52"/>
        <v>0.4883581298125515</v>
      </c>
      <c r="BA65" s="35">
        <f t="shared" si="52"/>
        <v>0.48925319932745504</v>
      </c>
      <c r="BB65" s="35">
        <f t="shared" si="52"/>
        <v>0.49007945262781488</v>
      </c>
      <c r="BC65" s="35">
        <f t="shared" si="52"/>
        <v>0.49084218055563289</v>
      </c>
    </row>
    <row r="66" spans="1:61" ht="14.4">
      <c r="A66" s="79" t="e">
        <f>10*LOG(20*A60)/100</f>
        <v>#VALUE!</v>
      </c>
      <c r="B66" s="128"/>
      <c r="C66" s="119" t="s">
        <v>154</v>
      </c>
      <c r="D66" s="82" t="s">
        <v>100</v>
      </c>
      <c r="E66" s="28">
        <v>0</v>
      </c>
      <c r="F66" s="123">
        <f>50*(1-EXP(-1*F$60))/100</f>
        <v>4.7581290982020248E-2</v>
      </c>
      <c r="G66" s="123">
        <f t="shared" ref="G66:BC66" si="53">50*(1-EXP(-1*G$60))/100</f>
        <v>9.063462346100909E-2</v>
      </c>
      <c r="H66" s="35">
        <f t="shared" si="53"/>
        <v>0.12959088965914106</v>
      </c>
      <c r="I66" s="35">
        <f t="shared" si="53"/>
        <v>0.16483997698218034</v>
      </c>
      <c r="J66" s="35">
        <f t="shared" si="53"/>
        <v>0.19673467014368329</v>
      </c>
      <c r="K66" s="35">
        <f t="shared" si="53"/>
        <v>0.22559418195298681</v>
      </c>
      <c r="L66" s="35">
        <f t="shared" si="53"/>
        <v>0.25170734810429524</v>
      </c>
      <c r="M66" s="35">
        <f t="shared" si="53"/>
        <v>0.27533551794138922</v>
      </c>
      <c r="N66" s="123">
        <f t="shared" si="53"/>
        <v>0.29671517012970045</v>
      </c>
      <c r="O66" s="123">
        <f t="shared" si="53"/>
        <v>0.31606027941427883</v>
      </c>
      <c r="P66" s="35">
        <f t="shared" si="53"/>
        <v>0.33356445815096025</v>
      </c>
      <c r="Q66" s="35">
        <f t="shared" si="53"/>
        <v>0.34940289404389885</v>
      </c>
      <c r="R66" s="35">
        <f t="shared" si="53"/>
        <v>0.36373410348299373</v>
      </c>
      <c r="S66" s="35">
        <f t="shared" si="53"/>
        <v>0.37670151802919677</v>
      </c>
      <c r="T66" s="35">
        <f t="shared" si="53"/>
        <v>0.38843491992578516</v>
      </c>
      <c r="U66" s="35">
        <f t="shared" si="53"/>
        <v>0.39905174100267232</v>
      </c>
      <c r="V66" s="35">
        <f t="shared" si="53"/>
        <v>0.4086582379736326</v>
      </c>
      <c r="W66" s="35">
        <f t="shared" si="53"/>
        <v>0.41735055588920672</v>
      </c>
      <c r="X66" s="35">
        <f t="shared" si="53"/>
        <v>0.42521569038868245</v>
      </c>
      <c r="Y66" s="35">
        <f t="shared" si="53"/>
        <v>0.43233235838169365</v>
      </c>
      <c r="Z66" s="35">
        <f t="shared" si="53"/>
        <v>0.43877178587350907</v>
      </c>
      <c r="AA66" s="35">
        <f t="shared" si="53"/>
        <v>0.444598420818833</v>
      </c>
      <c r="AB66" s="35">
        <f t="shared" si="53"/>
        <v>0.44987057813859804</v>
      </c>
      <c r="AC66" s="35">
        <f t="shared" si="53"/>
        <v>0.45464102335529377</v>
      </c>
      <c r="AD66" s="35">
        <f t="shared" si="53"/>
        <v>0.45895750068805058</v>
      </c>
      <c r="AE66" s="35">
        <f t="shared" si="53"/>
        <v>0.46286321089283305</v>
      </c>
      <c r="AF66" s="35">
        <f t="shared" si="53"/>
        <v>0.46639724363012514</v>
      </c>
      <c r="AG66" s="35">
        <f t="shared" si="53"/>
        <v>0.46959496868739103</v>
      </c>
      <c r="AH66" s="35">
        <f t="shared" si="53"/>
        <v>0.47248838997179637</v>
      </c>
      <c r="AI66" s="35">
        <f t="shared" si="53"/>
        <v>0.47510646581606797</v>
      </c>
      <c r="AJ66" s="35">
        <f t="shared" si="53"/>
        <v>0.4774753988032211</v>
      </c>
      <c r="AK66" s="35">
        <f t="shared" si="53"/>
        <v>0.47961889801081692</v>
      </c>
      <c r="AL66" s="35">
        <f t="shared" si="53"/>
        <v>0.48155841629938001</v>
      </c>
      <c r="AM66" s="35">
        <f t="shared" si="53"/>
        <v>0.48331336501983702</v>
      </c>
      <c r="AN66" s="35">
        <f t="shared" si="53"/>
        <v>0.48490130828884076</v>
      </c>
      <c r="AO66" s="35">
        <f t="shared" si="53"/>
        <v>0.48633813877635373</v>
      </c>
      <c r="AP66" s="35">
        <f t="shared" si="53"/>
        <v>0.48763823676483026</v>
      </c>
      <c r="AQ66" s="35">
        <f t="shared" si="53"/>
        <v>0.48881461407191718</v>
      </c>
      <c r="AR66" s="35">
        <f t="shared" si="53"/>
        <v>0.48987904427709789</v>
      </c>
      <c r="AS66" s="35">
        <f t="shared" si="53"/>
        <v>0.49084218055563289</v>
      </c>
      <c r="AT66" s="35">
        <f t="shared" si="53"/>
        <v>0.49171366229911939</v>
      </c>
      <c r="AU66" s="35">
        <f t="shared" si="53"/>
        <v>0.49250221158976115</v>
      </c>
      <c r="AV66" s="35">
        <f t="shared" si="53"/>
        <v>0.49321572049389956</v>
      </c>
      <c r="AW66" s="35">
        <f t="shared" si="53"/>
        <v>0.49386133004846577</v>
      </c>
      <c r="AX66" s="35">
        <f t="shared" si="53"/>
        <v>0.49444550173087892</v>
      </c>
      <c r="AY66" s="35">
        <f t="shared" si="53"/>
        <v>0.49497408212768318</v>
      </c>
      <c r="AZ66" s="35">
        <f t="shared" si="53"/>
        <v>0.49545236144915206</v>
      </c>
      <c r="BA66" s="35">
        <f t="shared" si="53"/>
        <v>0.49588512647548993</v>
      </c>
      <c r="BB66" s="35">
        <f t="shared" si="53"/>
        <v>0.49627670846453781</v>
      </c>
      <c r="BC66" s="35">
        <f t="shared" si="53"/>
        <v>0.49663102650045732</v>
      </c>
    </row>
    <row r="67" spans="1:61" s="85" customFormat="1" ht="14.4">
      <c r="A67" s="89" t="e">
        <f>19.5*LOG(1.5*A60)/100</f>
        <v>#VALUE!</v>
      </c>
      <c r="C67" s="99" t="s">
        <v>126</v>
      </c>
      <c r="D67" s="87" t="s">
        <v>108</v>
      </c>
      <c r="E67" s="86">
        <v>0</v>
      </c>
      <c r="F67" s="86">
        <f t="shared" ref="F67:AB67" si="54">19.5*LOG(1.5*F60)/100</f>
        <v>-0.16066220448414215</v>
      </c>
      <c r="G67" s="86">
        <f t="shared" si="54"/>
        <v>-0.10196135532966581</v>
      </c>
      <c r="H67" s="86">
        <f t="shared" si="54"/>
        <v>-6.7623559813807993E-2</v>
      </c>
      <c r="I67" s="86">
        <f t="shared" si="54"/>
        <v>-4.3260506175189485E-2</v>
      </c>
      <c r="J67" s="86">
        <f t="shared" si="54"/>
        <v>-2.4363053638618491E-2</v>
      </c>
      <c r="K67" s="86">
        <f t="shared" si="54"/>
        <v>-8.9227106593316591E-3</v>
      </c>
      <c r="L67" s="86">
        <f t="shared" si="54"/>
        <v>4.1319133186379095E-3</v>
      </c>
      <c r="M67" s="86">
        <f t="shared" si="54"/>
        <v>1.5440342979286852E-2</v>
      </c>
      <c r="N67" s="86">
        <f t="shared" si="54"/>
        <v>2.5415084856526198E-2</v>
      </c>
      <c r="O67" s="86">
        <f t="shared" si="54"/>
        <v>3.433779551585784E-2</v>
      </c>
      <c r="P67" s="86">
        <f t="shared" si="54"/>
        <v>4.2409369121711726E-2</v>
      </c>
      <c r="Q67" s="86">
        <f t="shared" si="54"/>
        <v>4.9778138495144668E-2</v>
      </c>
      <c r="R67" s="86">
        <f t="shared" si="54"/>
        <v>5.6556749215691024E-2</v>
      </c>
      <c r="S67" s="86">
        <f t="shared" si="54"/>
        <v>6.2832762473114243E-2</v>
      </c>
      <c r="T67" s="86">
        <f t="shared" si="54"/>
        <v>6.867559103171568E-2</v>
      </c>
      <c r="U67" s="86">
        <f t="shared" si="54"/>
        <v>7.414119213376319E-2</v>
      </c>
      <c r="V67" s="86">
        <f t="shared" si="54"/>
        <v>7.9275335184621251E-2</v>
      </c>
      <c r="W67" s="86">
        <f t="shared" si="54"/>
        <v>8.4115934011002536E-2</v>
      </c>
      <c r="X67" s="86">
        <f t="shared" si="54"/>
        <v>8.8694747701659471E-2</v>
      </c>
      <c r="Y67" s="86">
        <f t="shared" si="54"/>
        <v>9.3038644670334167E-2</v>
      </c>
      <c r="Z67" s="86">
        <f t="shared" si="54"/>
        <v>9.7170557988972103E-2</v>
      </c>
      <c r="AA67" s="86">
        <f t="shared" si="54"/>
        <v>0.10111021827618806</v>
      </c>
      <c r="AB67" s="86">
        <f t="shared" si="54"/>
        <v>0.10487472353928844</v>
      </c>
      <c r="AC67" s="86">
        <f>19.5*LOG(1.5*AC60)/100</f>
        <v>0.10847898764962101</v>
      </c>
      <c r="AD67" s="78">
        <f>19.5*LOG(1.5*AD60)/100</f>
        <v>0.11193609720690517</v>
      </c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86"/>
      <c r="AZ67" s="86"/>
      <c r="BA67" s="86"/>
      <c r="BB67" s="86"/>
    </row>
    <row r="68" spans="1:61" s="17" customFormat="1" ht="14.4">
      <c r="A68" s="96" t="e">
        <f>15*LOG(3*A60)/100</f>
        <v>#VALUE!</v>
      </c>
      <c r="C68" s="90" t="s">
        <v>111</v>
      </c>
      <c r="D68" s="97" t="s">
        <v>125</v>
      </c>
      <c r="E68" s="79">
        <v>0</v>
      </c>
      <c r="F68" s="79">
        <f>15*LOG(3*F60)/100</f>
        <v>-7.8431811792050624E-2</v>
      </c>
      <c r="G68" s="79">
        <f t="shared" ref="G68:U68" si="55">15*LOG(3*G60)/100</f>
        <v>-3.3277312442453445E-2</v>
      </c>
      <c r="H68" s="79">
        <f t="shared" si="55"/>
        <v>-6.8636235841012761E-3</v>
      </c>
      <c r="I68" s="79">
        <f t="shared" si="55"/>
        <v>1.1877186907143733E-2</v>
      </c>
      <c r="J68" s="79">
        <f t="shared" si="55"/>
        <v>2.6413688858352186E-2</v>
      </c>
      <c r="K68" s="79">
        <f t="shared" si="55"/>
        <v>3.8290875765495905E-2</v>
      </c>
      <c r="L68" s="79">
        <f t="shared" si="55"/>
        <v>4.8332894210087879E-2</v>
      </c>
      <c r="M68" s="79">
        <f t="shared" si="55"/>
        <v>5.7031686256740911E-2</v>
      </c>
      <c r="N68" s="79">
        <f t="shared" si="55"/>
        <v>6.4704564623848104E-2</v>
      </c>
      <c r="O68" s="79">
        <f t="shared" si="55"/>
        <v>7.1568188207949357E-2</v>
      </c>
      <c r="P68" s="79">
        <f t="shared" si="55"/>
        <v>7.7777090981683117E-2</v>
      </c>
      <c r="Q68" s="79">
        <f t="shared" si="55"/>
        <v>8.344537511509309E-2</v>
      </c>
      <c r="R68" s="79">
        <f t="shared" si="55"/>
        <v>8.8659691053974879E-2</v>
      </c>
      <c r="S68" s="79">
        <f t="shared" si="55"/>
        <v>9.348739355968505E-2</v>
      </c>
      <c r="T68" s="79">
        <f t="shared" si="55"/>
        <v>9.7981877066301556E-2</v>
      </c>
      <c r="U68" s="79">
        <f t="shared" si="55"/>
        <v>0.10218618560633809</v>
      </c>
      <c r="V68" s="79">
        <f>15*LOG(3*V60)/100</f>
        <v>0.10613552641469046</v>
      </c>
      <c r="W68" s="79">
        <f t="shared" ref="W68:AD68" si="56">15*LOG(3*W60)/100</f>
        <v>0.10985906397344528</v>
      </c>
      <c r="X68" s="79">
        <f t="shared" si="56"/>
        <v>0.11338122835087371</v>
      </c>
      <c r="Y68" s="79">
        <f t="shared" si="56"/>
        <v>0.11672268755754654</v>
      </c>
      <c r="Z68" s="79">
        <f t="shared" si="56"/>
        <v>0.11990108241803726</v>
      </c>
      <c r="AA68" s="79">
        <f t="shared" si="56"/>
        <v>0.12293159033128029</v>
      </c>
      <c r="AB68" s="79">
        <f t="shared" si="56"/>
        <v>0.1258273636105883</v>
      </c>
      <c r="AC68" s="79">
        <f t="shared" si="56"/>
        <v>0.12859987446469026</v>
      </c>
      <c r="AD68" s="79">
        <f t="shared" si="56"/>
        <v>0.13125918950875501</v>
      </c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</row>
    <row r="69" spans="1:61" ht="14.4">
      <c r="C69" s="90" t="s">
        <v>110</v>
      </c>
      <c r="E69" s="4">
        <f>2.5*E60/100</f>
        <v>0</v>
      </c>
      <c r="F69" s="4">
        <f t="shared" ref="F69:O69" si="57">2.5*F60/100</f>
        <v>2.5000000000000001E-3</v>
      </c>
      <c r="G69" s="4">
        <f t="shared" si="57"/>
        <v>5.0000000000000001E-3</v>
      </c>
      <c r="H69" s="4">
        <f t="shared" si="57"/>
        <v>7.4999999999999997E-3</v>
      </c>
      <c r="I69" s="4">
        <f t="shared" si="57"/>
        <v>0.01</v>
      </c>
      <c r="J69" s="4">
        <f t="shared" si="57"/>
        <v>1.2500000000000001E-2</v>
      </c>
      <c r="K69" s="4">
        <f t="shared" si="57"/>
        <v>1.4999999999999999E-2</v>
      </c>
      <c r="L69" s="4">
        <f t="shared" si="57"/>
        <v>1.7500000000000002E-2</v>
      </c>
      <c r="M69" s="4">
        <f t="shared" si="57"/>
        <v>0.02</v>
      </c>
      <c r="N69" s="4">
        <f t="shared" si="57"/>
        <v>2.2499999999999999E-2</v>
      </c>
      <c r="O69" s="4">
        <f t="shared" si="57"/>
        <v>2.5000000000000001E-2</v>
      </c>
      <c r="AD69" s="7">
        <v>36.5</v>
      </c>
    </row>
    <row r="74" spans="1:61" s="10" customFormat="1">
      <c r="A74" s="10" t="s">
        <v>79</v>
      </c>
      <c r="C74" s="10">
        <v>1960</v>
      </c>
      <c r="D74" s="10">
        <v>1961</v>
      </c>
      <c r="E74" s="10">
        <v>1962</v>
      </c>
      <c r="F74" s="10">
        <v>1963</v>
      </c>
      <c r="G74" s="10">
        <v>1964</v>
      </c>
      <c r="H74" s="10">
        <v>1965</v>
      </c>
      <c r="I74" s="10">
        <v>1966</v>
      </c>
      <c r="J74" s="10">
        <v>1967</v>
      </c>
      <c r="K74" s="10">
        <v>1968</v>
      </c>
      <c r="L74" s="10">
        <v>1969</v>
      </c>
      <c r="M74" s="10">
        <v>1970</v>
      </c>
      <c r="N74" s="10">
        <v>1971</v>
      </c>
      <c r="O74" s="10">
        <v>1972</v>
      </c>
      <c r="P74" s="10">
        <v>1973</v>
      </c>
      <c r="Q74" s="10">
        <v>1974</v>
      </c>
      <c r="R74" s="10">
        <v>1975</v>
      </c>
      <c r="S74" s="10">
        <v>1976</v>
      </c>
      <c r="T74" s="10">
        <v>1977</v>
      </c>
      <c r="U74" s="10">
        <v>1978</v>
      </c>
      <c r="V74" s="10">
        <v>1979</v>
      </c>
      <c r="W74" s="10">
        <v>1980</v>
      </c>
      <c r="X74" s="10">
        <v>1981</v>
      </c>
      <c r="Y74" s="10">
        <v>1982</v>
      </c>
      <c r="Z74" s="10">
        <v>1983</v>
      </c>
      <c r="AA74" s="10">
        <v>1984</v>
      </c>
      <c r="AB74" s="10">
        <v>1985</v>
      </c>
      <c r="AC74" s="10">
        <v>1986</v>
      </c>
      <c r="AD74" s="10">
        <v>1987</v>
      </c>
      <c r="AE74" s="10">
        <v>1988</v>
      </c>
      <c r="AF74" s="10">
        <v>1989</v>
      </c>
      <c r="AG74" s="10">
        <v>1990</v>
      </c>
      <c r="AH74" s="10">
        <v>1991</v>
      </c>
      <c r="AI74" s="10">
        <v>1992</v>
      </c>
      <c r="AJ74" s="10">
        <v>1993</v>
      </c>
      <c r="AK74" s="10">
        <v>1994</v>
      </c>
      <c r="AL74" s="10">
        <v>1995</v>
      </c>
      <c r="AM74" s="10">
        <v>1996</v>
      </c>
      <c r="AN74" s="10">
        <v>1997</v>
      </c>
      <c r="AO74" s="10">
        <v>1998</v>
      </c>
      <c r="AP74" s="10">
        <v>1999</v>
      </c>
      <c r="AQ74" s="10">
        <v>2000</v>
      </c>
      <c r="AR74" s="10">
        <v>2001</v>
      </c>
      <c r="AS74" s="10">
        <v>2002</v>
      </c>
      <c r="AT74" s="10">
        <v>2003</v>
      </c>
      <c r="AU74" s="10">
        <v>2004</v>
      </c>
      <c r="AV74" s="10">
        <v>2005</v>
      </c>
      <c r="AW74" s="10">
        <v>2006</v>
      </c>
      <c r="AX74" s="10">
        <v>2007</v>
      </c>
      <c r="AY74" s="10">
        <v>2008</v>
      </c>
      <c r="AZ74" s="10">
        <v>2009</v>
      </c>
      <c r="BA74" s="10">
        <v>2010</v>
      </c>
      <c r="BB74" s="10">
        <v>2011</v>
      </c>
      <c r="BC74" s="10">
        <v>2012</v>
      </c>
      <c r="BD74" s="10">
        <v>2013</v>
      </c>
      <c r="BE74" s="10">
        <v>2014</v>
      </c>
      <c r="BF74" s="10">
        <v>2015</v>
      </c>
      <c r="BG74" s="10">
        <v>2016</v>
      </c>
      <c r="BH74" s="10">
        <v>2017</v>
      </c>
      <c r="BI74" s="10">
        <v>2018</v>
      </c>
    </row>
    <row r="75" spans="1:61">
      <c r="A75" s="44" t="str">
        <f>A108</f>
        <v>Class I freight, car-miles</v>
      </c>
      <c r="C75" s="1">
        <f>C108</f>
        <v>28170</v>
      </c>
      <c r="D75" s="42">
        <f t="shared" ref="D75:G77" si="58">C75+($H75-$C75)/5</f>
        <v>28403.200000000001</v>
      </c>
      <c r="E75" s="42">
        <f t="shared" si="58"/>
        <v>28636.400000000001</v>
      </c>
      <c r="F75" s="42">
        <f t="shared" si="58"/>
        <v>28869.600000000002</v>
      </c>
      <c r="G75" s="42">
        <f t="shared" si="58"/>
        <v>29102.800000000003</v>
      </c>
      <c r="H75" s="1">
        <f>H108</f>
        <v>29336</v>
      </c>
      <c r="I75" s="42">
        <f t="shared" ref="I75:L77" si="59">H75+($M75-$H75)/5</f>
        <v>29446.799999999999</v>
      </c>
      <c r="J75" s="42">
        <f t="shared" si="59"/>
        <v>29557.599999999999</v>
      </c>
      <c r="K75" s="42">
        <f t="shared" si="59"/>
        <v>29668.399999999998</v>
      </c>
      <c r="L75" s="42">
        <f t="shared" si="59"/>
        <v>29779.199999999997</v>
      </c>
      <c r="M75" s="1">
        <f>M108</f>
        <v>29890</v>
      </c>
      <c r="N75" s="42">
        <f t="shared" ref="N75:Q77" si="60">M75+($R75-$M75)/5</f>
        <v>29443.200000000001</v>
      </c>
      <c r="O75" s="42">
        <f t="shared" si="60"/>
        <v>28996.400000000001</v>
      </c>
      <c r="P75" s="42">
        <f t="shared" si="60"/>
        <v>28549.600000000002</v>
      </c>
      <c r="Q75" s="42">
        <f t="shared" si="60"/>
        <v>28102.800000000003</v>
      </c>
      <c r="R75" s="1">
        <f>R108</f>
        <v>27656</v>
      </c>
      <c r="S75" s="42">
        <f t="shared" ref="S75:V77" si="61">R75+($W75-$R75)/5</f>
        <v>27980.2</v>
      </c>
      <c r="T75" s="42">
        <f t="shared" si="61"/>
        <v>28304.400000000001</v>
      </c>
      <c r="U75" s="42">
        <f t="shared" si="61"/>
        <v>28628.600000000002</v>
      </c>
      <c r="V75" s="42">
        <f t="shared" si="61"/>
        <v>28952.800000000003</v>
      </c>
      <c r="W75" s="1">
        <f>W108</f>
        <v>29277</v>
      </c>
      <c r="X75" s="42">
        <f t="shared" ref="X75:AA77" si="62">W75+($AB75-$W75)/5</f>
        <v>28405.599999999999</v>
      </c>
      <c r="Y75" s="42">
        <f t="shared" si="62"/>
        <v>27534.199999999997</v>
      </c>
      <c r="Z75" s="42">
        <f t="shared" si="62"/>
        <v>26662.799999999996</v>
      </c>
      <c r="AA75" s="42">
        <f t="shared" si="62"/>
        <v>25791.399999999994</v>
      </c>
      <c r="AB75" s="1">
        <f>AB108</f>
        <v>24920</v>
      </c>
      <c r="AC75" s="42">
        <f>AB75+($AG75-$AB75)/5</f>
        <v>25167.8</v>
      </c>
      <c r="AD75" s="42">
        <f>AC75+($AG75-$AB75)/5</f>
        <v>25415.599999999999</v>
      </c>
      <c r="AE75" s="42">
        <f>AD75+($AG75-$AB75)/5</f>
        <v>25663.399999999998</v>
      </c>
      <c r="AF75" s="42">
        <f>AE75+($AG75-$AB75)/5</f>
        <v>25911.199999999997</v>
      </c>
      <c r="AG75" s="1">
        <f t="shared" ref="AG75:BB75" si="63">AG108</f>
        <v>26159</v>
      </c>
      <c r="AH75" s="1">
        <f t="shared" si="63"/>
        <v>25628</v>
      </c>
      <c r="AI75" s="1">
        <f t="shared" si="63"/>
        <v>26128</v>
      </c>
      <c r="AJ75" s="1">
        <f t="shared" si="63"/>
        <v>26883</v>
      </c>
      <c r="AK75" s="1">
        <f t="shared" si="63"/>
        <v>28485</v>
      </c>
      <c r="AL75" s="1">
        <f t="shared" si="63"/>
        <v>30383</v>
      </c>
      <c r="AM75" s="1">
        <f t="shared" si="63"/>
        <v>31715</v>
      </c>
      <c r="AN75" s="1">
        <f t="shared" si="63"/>
        <v>31660</v>
      </c>
      <c r="AO75" s="1">
        <f t="shared" si="63"/>
        <v>32657</v>
      </c>
      <c r="AP75" s="1">
        <f t="shared" si="63"/>
        <v>33851</v>
      </c>
      <c r="AQ75" s="1">
        <f t="shared" si="63"/>
        <v>34590</v>
      </c>
      <c r="AR75" s="1">
        <f t="shared" si="63"/>
        <v>34243</v>
      </c>
      <c r="AS75" s="1">
        <f t="shared" si="63"/>
        <v>34680</v>
      </c>
      <c r="AT75" s="1">
        <f t="shared" si="63"/>
        <v>35555</v>
      </c>
      <c r="AU75" s="1">
        <f t="shared" si="63"/>
        <v>37071</v>
      </c>
      <c r="AV75" s="1">
        <f t="shared" si="63"/>
        <v>37712</v>
      </c>
      <c r="AW75" s="1">
        <f t="shared" si="63"/>
        <v>38955</v>
      </c>
      <c r="AX75" s="1">
        <f t="shared" si="63"/>
        <v>38186</v>
      </c>
      <c r="AY75" s="1">
        <f t="shared" si="63"/>
        <v>37226</v>
      </c>
      <c r="AZ75" s="1">
        <f t="shared" si="63"/>
        <v>32115</v>
      </c>
      <c r="BA75" s="1">
        <f t="shared" si="63"/>
        <v>35541</v>
      </c>
      <c r="BB75" s="1">
        <f t="shared" si="63"/>
        <v>36649</v>
      </c>
    </row>
    <row r="76" spans="1:61">
      <c r="A76" s="44" t="str">
        <f>A110</f>
        <v>Intercity/Amtrakh, car-miles</v>
      </c>
      <c r="C76" s="1">
        <f>C110</f>
        <v>2208</v>
      </c>
      <c r="D76" s="42">
        <f t="shared" si="58"/>
        <v>2121.4</v>
      </c>
      <c r="E76" s="42">
        <f t="shared" si="58"/>
        <v>2034.8000000000002</v>
      </c>
      <c r="F76" s="42">
        <f t="shared" si="58"/>
        <v>1948.2000000000003</v>
      </c>
      <c r="G76" s="42">
        <f t="shared" si="58"/>
        <v>1861.6000000000004</v>
      </c>
      <c r="H76" s="1">
        <f>H110</f>
        <v>1775</v>
      </c>
      <c r="I76" s="42">
        <f t="shared" si="59"/>
        <v>1558</v>
      </c>
      <c r="J76" s="42">
        <f t="shared" si="59"/>
        <v>1341</v>
      </c>
      <c r="K76" s="42">
        <f t="shared" si="59"/>
        <v>1124</v>
      </c>
      <c r="L76" s="42">
        <f t="shared" si="59"/>
        <v>907</v>
      </c>
      <c r="M76" s="1">
        <f>M110</f>
        <v>690</v>
      </c>
      <c r="N76" s="42">
        <f t="shared" si="60"/>
        <v>602.6</v>
      </c>
      <c r="O76" s="42">
        <f t="shared" si="60"/>
        <v>515.20000000000005</v>
      </c>
      <c r="P76" s="42">
        <f t="shared" si="60"/>
        <v>427.80000000000007</v>
      </c>
      <c r="Q76" s="42">
        <f t="shared" si="60"/>
        <v>340.40000000000009</v>
      </c>
      <c r="R76" s="1">
        <f>R110</f>
        <v>253</v>
      </c>
      <c r="S76" s="42">
        <f t="shared" si="61"/>
        <v>249.4</v>
      </c>
      <c r="T76" s="42">
        <f t="shared" si="61"/>
        <v>245.8</v>
      </c>
      <c r="U76" s="42">
        <f t="shared" si="61"/>
        <v>242.20000000000002</v>
      </c>
      <c r="V76" s="42">
        <f t="shared" si="61"/>
        <v>238.60000000000002</v>
      </c>
      <c r="W76" s="1">
        <f>W110</f>
        <v>235</v>
      </c>
      <c r="X76" s="42">
        <f t="shared" si="62"/>
        <v>238.2</v>
      </c>
      <c r="Y76" s="42">
        <f t="shared" si="62"/>
        <v>241.39999999999998</v>
      </c>
      <c r="Z76" s="42">
        <f t="shared" si="62"/>
        <v>244.59999999999997</v>
      </c>
      <c r="AA76" s="42">
        <f t="shared" si="62"/>
        <v>247.79999999999995</v>
      </c>
      <c r="AB76" s="1">
        <f>AB110</f>
        <v>251</v>
      </c>
      <c r="AC76" s="42">
        <f t="shared" ref="AC76:AF77" si="64">AB76+($AG76-$AB76)/5</f>
        <v>261</v>
      </c>
      <c r="AD76" s="42">
        <f t="shared" si="64"/>
        <v>271</v>
      </c>
      <c r="AE76" s="42">
        <f t="shared" si="64"/>
        <v>281</v>
      </c>
      <c r="AF76" s="42">
        <f t="shared" si="64"/>
        <v>291</v>
      </c>
      <c r="AG76" s="1">
        <f t="shared" ref="AG76:BB76" si="65">AG110</f>
        <v>301</v>
      </c>
      <c r="AH76" s="1">
        <f t="shared" si="65"/>
        <v>313</v>
      </c>
      <c r="AI76" s="1">
        <f t="shared" si="65"/>
        <v>307</v>
      </c>
      <c r="AJ76" s="1">
        <f t="shared" si="65"/>
        <v>303</v>
      </c>
      <c r="AK76" s="1">
        <f t="shared" si="65"/>
        <v>304</v>
      </c>
      <c r="AL76" s="1">
        <f t="shared" si="65"/>
        <v>292</v>
      </c>
      <c r="AM76" s="1">
        <f t="shared" si="65"/>
        <v>276</v>
      </c>
      <c r="AN76" s="1">
        <f t="shared" si="65"/>
        <v>288</v>
      </c>
      <c r="AO76" s="1">
        <f t="shared" si="65"/>
        <v>312</v>
      </c>
      <c r="AP76" s="1">
        <f t="shared" si="65"/>
        <v>342</v>
      </c>
      <c r="AQ76" s="1">
        <f t="shared" si="65"/>
        <v>368</v>
      </c>
      <c r="AR76" s="1">
        <f t="shared" si="65"/>
        <v>378</v>
      </c>
      <c r="AS76" s="1">
        <f t="shared" si="65"/>
        <v>379</v>
      </c>
      <c r="AT76" s="1">
        <f t="shared" si="65"/>
        <v>332</v>
      </c>
      <c r="AU76" s="1">
        <f t="shared" si="65"/>
        <v>308</v>
      </c>
      <c r="AV76" s="1">
        <f t="shared" si="65"/>
        <v>265</v>
      </c>
      <c r="AW76" s="1">
        <f t="shared" si="65"/>
        <v>264</v>
      </c>
      <c r="AX76" s="1">
        <f t="shared" si="65"/>
        <v>267</v>
      </c>
      <c r="AY76" s="1">
        <f t="shared" si="65"/>
        <v>272</v>
      </c>
      <c r="AZ76" s="1">
        <f t="shared" si="65"/>
        <v>283</v>
      </c>
      <c r="BA76" s="1">
        <f t="shared" si="65"/>
        <v>295</v>
      </c>
      <c r="BB76" s="1">
        <f t="shared" si="65"/>
        <v>296</v>
      </c>
    </row>
    <row r="77" spans="1:61" s="10" customFormat="1">
      <c r="A77" s="10" t="s">
        <v>80</v>
      </c>
      <c r="C77" s="13">
        <f>C75+C76</f>
        <v>30378</v>
      </c>
      <c r="D77" s="41">
        <f t="shared" si="58"/>
        <v>30524.6</v>
      </c>
      <c r="E77" s="41">
        <f t="shared" si="58"/>
        <v>30671.199999999997</v>
      </c>
      <c r="F77" s="41">
        <f t="shared" si="58"/>
        <v>30817.799999999996</v>
      </c>
      <c r="G77" s="41">
        <f t="shared" si="58"/>
        <v>30964.399999999994</v>
      </c>
      <c r="H77" s="13">
        <f>H75+H76</f>
        <v>31111</v>
      </c>
      <c r="I77" s="41">
        <f t="shared" si="59"/>
        <v>31004.799999999999</v>
      </c>
      <c r="J77" s="41">
        <f t="shared" si="59"/>
        <v>30898.6</v>
      </c>
      <c r="K77" s="41">
        <f t="shared" si="59"/>
        <v>30792.399999999998</v>
      </c>
      <c r="L77" s="41">
        <f t="shared" si="59"/>
        <v>30686.199999999997</v>
      </c>
      <c r="M77" s="13">
        <f>M75+M76</f>
        <v>30580</v>
      </c>
      <c r="N77" s="41">
        <f t="shared" si="60"/>
        <v>30045.8</v>
      </c>
      <c r="O77" s="41">
        <f t="shared" si="60"/>
        <v>29511.599999999999</v>
      </c>
      <c r="P77" s="41">
        <f t="shared" si="60"/>
        <v>28977.399999999998</v>
      </c>
      <c r="Q77" s="41">
        <f t="shared" si="60"/>
        <v>28443.199999999997</v>
      </c>
      <c r="R77" s="13">
        <f>R75+R76</f>
        <v>27909</v>
      </c>
      <c r="S77" s="41">
        <f t="shared" si="61"/>
        <v>28229.599999999999</v>
      </c>
      <c r="T77" s="41">
        <f t="shared" si="61"/>
        <v>28550.199999999997</v>
      </c>
      <c r="U77" s="41">
        <f t="shared" si="61"/>
        <v>28870.799999999996</v>
      </c>
      <c r="V77" s="41">
        <f t="shared" si="61"/>
        <v>29191.399999999994</v>
      </c>
      <c r="W77" s="13">
        <f>W75+W76</f>
        <v>29512</v>
      </c>
      <c r="X77" s="41">
        <f t="shared" si="62"/>
        <v>28643.8</v>
      </c>
      <c r="Y77" s="41">
        <f t="shared" si="62"/>
        <v>27775.599999999999</v>
      </c>
      <c r="Z77" s="41">
        <f t="shared" si="62"/>
        <v>26907.399999999998</v>
      </c>
      <c r="AA77" s="41">
        <f t="shared" si="62"/>
        <v>26039.199999999997</v>
      </c>
      <c r="AB77" s="13">
        <f>AB75+AB76</f>
        <v>25171</v>
      </c>
      <c r="AC77" s="41">
        <f t="shared" si="64"/>
        <v>25428.799999999999</v>
      </c>
      <c r="AD77" s="41">
        <f t="shared" si="64"/>
        <v>25686.6</v>
      </c>
      <c r="AE77" s="41">
        <f t="shared" si="64"/>
        <v>25944.399999999998</v>
      </c>
      <c r="AF77" s="41">
        <f t="shared" si="64"/>
        <v>26202.199999999997</v>
      </c>
      <c r="AG77" s="13">
        <f t="shared" ref="AG77:BB77" si="66">AG75+AG76</f>
        <v>26460</v>
      </c>
      <c r="AH77" s="13">
        <f t="shared" si="66"/>
        <v>25941</v>
      </c>
      <c r="AI77" s="13">
        <f t="shared" si="66"/>
        <v>26435</v>
      </c>
      <c r="AJ77" s="13">
        <f t="shared" si="66"/>
        <v>27186</v>
      </c>
      <c r="AK77" s="13">
        <f t="shared" si="66"/>
        <v>28789</v>
      </c>
      <c r="AL77" s="13">
        <f t="shared" si="66"/>
        <v>30675</v>
      </c>
      <c r="AM77" s="13">
        <f t="shared" si="66"/>
        <v>31991</v>
      </c>
      <c r="AN77" s="13">
        <f t="shared" si="66"/>
        <v>31948</v>
      </c>
      <c r="AO77" s="13">
        <f t="shared" si="66"/>
        <v>32969</v>
      </c>
      <c r="AP77" s="13">
        <f t="shared" si="66"/>
        <v>34193</v>
      </c>
      <c r="AQ77" s="13">
        <f t="shared" si="66"/>
        <v>34958</v>
      </c>
      <c r="AR77" s="13">
        <f t="shared" si="66"/>
        <v>34621</v>
      </c>
      <c r="AS77" s="13">
        <f t="shared" si="66"/>
        <v>35059</v>
      </c>
      <c r="AT77" s="13">
        <f t="shared" si="66"/>
        <v>35887</v>
      </c>
      <c r="AU77" s="13">
        <f t="shared" si="66"/>
        <v>37379</v>
      </c>
      <c r="AV77" s="13">
        <f t="shared" si="66"/>
        <v>37977</v>
      </c>
      <c r="AW77" s="13">
        <f t="shared" si="66"/>
        <v>39219</v>
      </c>
      <c r="AX77" s="13">
        <f t="shared" si="66"/>
        <v>38453</v>
      </c>
      <c r="AY77" s="13">
        <f t="shared" si="66"/>
        <v>37498</v>
      </c>
      <c r="AZ77" s="13">
        <f t="shared" si="66"/>
        <v>32398</v>
      </c>
      <c r="BA77" s="13">
        <f t="shared" si="66"/>
        <v>35836</v>
      </c>
      <c r="BB77" s="13">
        <f t="shared" si="66"/>
        <v>36945</v>
      </c>
    </row>
    <row r="78" spans="1:61">
      <c r="D78" s="7"/>
      <c r="E78" s="7"/>
      <c r="F78" s="7"/>
      <c r="G78" s="7"/>
      <c r="I78" s="7"/>
      <c r="J78" s="7"/>
      <c r="K78" s="7"/>
      <c r="L78" s="7"/>
      <c r="BC78" s="18" t="s">
        <v>139</v>
      </c>
    </row>
    <row r="79" spans="1:61">
      <c r="A79" s="44" t="str">
        <f>A107</f>
        <v>Class I freight, train-miles</v>
      </c>
      <c r="C79" s="44">
        <f>C107</f>
        <v>404</v>
      </c>
      <c r="D79" s="42">
        <f t="shared" ref="D79:G81" si="67">C79+($H79-$C79)/5</f>
        <v>407.4</v>
      </c>
      <c r="E79" s="42">
        <f t="shared" si="67"/>
        <v>410.79999999999995</v>
      </c>
      <c r="F79" s="42">
        <f t="shared" si="67"/>
        <v>414.19999999999993</v>
      </c>
      <c r="G79" s="42">
        <f t="shared" si="67"/>
        <v>417.59999999999991</v>
      </c>
      <c r="H79" s="44">
        <f>H107</f>
        <v>421</v>
      </c>
      <c r="I79" s="42">
        <f t="shared" ref="I79:L81" si="68">H79+($M79-$H79)/5</f>
        <v>422.2</v>
      </c>
      <c r="J79" s="42">
        <f t="shared" si="68"/>
        <v>423.4</v>
      </c>
      <c r="K79" s="42">
        <f t="shared" si="68"/>
        <v>424.59999999999997</v>
      </c>
      <c r="L79" s="42">
        <f t="shared" si="68"/>
        <v>425.79999999999995</v>
      </c>
      <c r="M79" s="44">
        <f>M107</f>
        <v>427</v>
      </c>
      <c r="N79" s="42">
        <f t="shared" ref="N79:Q81" si="69">M79+($R79-$M79)/5</f>
        <v>422.2</v>
      </c>
      <c r="O79" s="42">
        <f t="shared" si="69"/>
        <v>417.4</v>
      </c>
      <c r="P79" s="42">
        <f t="shared" si="69"/>
        <v>412.59999999999997</v>
      </c>
      <c r="Q79" s="42">
        <f t="shared" si="69"/>
        <v>407.79999999999995</v>
      </c>
      <c r="R79" s="44">
        <f>R107</f>
        <v>403</v>
      </c>
      <c r="S79" s="42">
        <f t="shared" ref="S79:V81" si="70">R79+($W79-$R79)/5</f>
        <v>408</v>
      </c>
      <c r="T79" s="42">
        <f t="shared" si="70"/>
        <v>413</v>
      </c>
      <c r="U79" s="42">
        <f t="shared" si="70"/>
        <v>418</v>
      </c>
      <c r="V79" s="42">
        <f t="shared" si="70"/>
        <v>423</v>
      </c>
      <c r="W79" s="44">
        <f>W107</f>
        <v>428</v>
      </c>
      <c r="X79" s="42">
        <f t="shared" ref="X79:AA81" si="71">W79+($AB79-$W79)/5</f>
        <v>411.8</v>
      </c>
      <c r="Y79" s="42">
        <f t="shared" si="71"/>
        <v>395.6</v>
      </c>
      <c r="Z79" s="42">
        <f t="shared" si="71"/>
        <v>379.40000000000003</v>
      </c>
      <c r="AA79" s="42">
        <f t="shared" si="71"/>
        <v>363.20000000000005</v>
      </c>
      <c r="AB79" s="44">
        <f>AB107</f>
        <v>347</v>
      </c>
      <c r="AC79" s="42">
        <f>AB79+($AG79-$AB79)/5</f>
        <v>353.6</v>
      </c>
      <c r="AD79" s="42">
        <f>AC79+($AG79-$AB79)/5</f>
        <v>360.20000000000005</v>
      </c>
      <c r="AE79" s="42">
        <f>AD79+($AG79-$AB79)/5</f>
        <v>366.80000000000007</v>
      </c>
      <c r="AF79" s="42">
        <f>AE79+($AG79-$AB79)/5</f>
        <v>373.40000000000009</v>
      </c>
      <c r="AG79" s="44">
        <f t="shared" ref="AG79:BA79" si="72">AG107</f>
        <v>380</v>
      </c>
      <c r="AH79" s="44">
        <f t="shared" si="72"/>
        <v>375</v>
      </c>
      <c r="AI79" s="44">
        <f t="shared" si="72"/>
        <v>390</v>
      </c>
      <c r="AJ79" s="44">
        <f t="shared" si="72"/>
        <v>405</v>
      </c>
      <c r="AK79" s="44">
        <f t="shared" si="72"/>
        <v>441</v>
      </c>
      <c r="AL79" s="44">
        <f t="shared" si="72"/>
        <v>458</v>
      </c>
      <c r="AM79" s="44">
        <f t="shared" si="72"/>
        <v>469</v>
      </c>
      <c r="AN79" s="44">
        <f t="shared" si="72"/>
        <v>475</v>
      </c>
      <c r="AO79" s="44">
        <f t="shared" si="72"/>
        <v>475</v>
      </c>
      <c r="AP79" s="44">
        <f t="shared" si="72"/>
        <v>490</v>
      </c>
      <c r="AQ79" s="44">
        <f t="shared" si="72"/>
        <v>504</v>
      </c>
      <c r="AR79" s="44">
        <f t="shared" si="72"/>
        <v>500</v>
      </c>
      <c r="AS79" s="44">
        <f t="shared" si="72"/>
        <v>500</v>
      </c>
      <c r="AT79" s="44">
        <f t="shared" si="72"/>
        <v>516</v>
      </c>
      <c r="AU79" s="44">
        <f t="shared" si="72"/>
        <v>535</v>
      </c>
      <c r="AV79" s="44">
        <f t="shared" si="72"/>
        <v>548</v>
      </c>
      <c r="AW79" s="44">
        <f t="shared" si="72"/>
        <v>563</v>
      </c>
      <c r="AX79" s="44">
        <f t="shared" si="72"/>
        <v>543</v>
      </c>
      <c r="AY79" s="44">
        <f t="shared" si="72"/>
        <v>524</v>
      </c>
      <c r="AZ79" s="44">
        <f t="shared" si="72"/>
        <v>436</v>
      </c>
      <c r="BA79" s="44">
        <f t="shared" si="72"/>
        <v>476</v>
      </c>
      <c r="BB79" s="110">
        <v>493.31099999999998</v>
      </c>
      <c r="BC79" s="111">
        <v>500.14800000000002</v>
      </c>
      <c r="BD79" s="111">
        <v>503.98399999999998</v>
      </c>
      <c r="BE79" s="111">
        <v>518.16700000000003</v>
      </c>
      <c r="BF79" s="111">
        <v>494.59</v>
      </c>
      <c r="BG79" s="111">
        <v>452.846</v>
      </c>
      <c r="BH79" s="111">
        <v>465.25200000000001</v>
      </c>
      <c r="BI79" s="111">
        <v>476.52199999999999</v>
      </c>
    </row>
    <row r="80" spans="1:61">
      <c r="A80" s="44" t="str">
        <f>A109</f>
        <v>Intercity/Amtrakh, train-miles</v>
      </c>
      <c r="C80" s="44">
        <f>C109</f>
        <v>209</v>
      </c>
      <c r="D80" s="42">
        <f t="shared" si="67"/>
        <v>201.6</v>
      </c>
      <c r="E80" s="42">
        <f t="shared" si="67"/>
        <v>194.2</v>
      </c>
      <c r="F80" s="42">
        <f t="shared" si="67"/>
        <v>186.79999999999998</v>
      </c>
      <c r="G80" s="42">
        <f t="shared" si="67"/>
        <v>179.39999999999998</v>
      </c>
      <c r="H80" s="44">
        <f>H109</f>
        <v>172</v>
      </c>
      <c r="I80" s="42">
        <f t="shared" si="68"/>
        <v>156.19999999999999</v>
      </c>
      <c r="J80" s="42">
        <f t="shared" si="68"/>
        <v>140.39999999999998</v>
      </c>
      <c r="K80" s="42">
        <f t="shared" si="68"/>
        <v>124.59999999999998</v>
      </c>
      <c r="L80" s="42">
        <f t="shared" si="68"/>
        <v>108.79999999999998</v>
      </c>
      <c r="M80" s="44">
        <f>M109</f>
        <v>93</v>
      </c>
      <c r="N80" s="42">
        <f t="shared" si="69"/>
        <v>80.400000000000006</v>
      </c>
      <c r="O80" s="42">
        <f t="shared" si="69"/>
        <v>67.800000000000011</v>
      </c>
      <c r="P80" s="42">
        <f t="shared" si="69"/>
        <v>55.20000000000001</v>
      </c>
      <c r="Q80" s="42">
        <f t="shared" si="69"/>
        <v>42.600000000000009</v>
      </c>
      <c r="R80" s="44">
        <f>R109</f>
        <v>30</v>
      </c>
      <c r="S80" s="42">
        <f t="shared" si="70"/>
        <v>30</v>
      </c>
      <c r="T80" s="42">
        <f t="shared" si="70"/>
        <v>30</v>
      </c>
      <c r="U80" s="42">
        <f t="shared" si="70"/>
        <v>30</v>
      </c>
      <c r="V80" s="42">
        <f t="shared" si="70"/>
        <v>30</v>
      </c>
      <c r="W80" s="44">
        <f>W109</f>
        <v>30</v>
      </c>
      <c r="X80" s="42">
        <f t="shared" si="71"/>
        <v>30</v>
      </c>
      <c r="Y80" s="42">
        <f t="shared" si="71"/>
        <v>30</v>
      </c>
      <c r="Z80" s="42">
        <f t="shared" si="71"/>
        <v>30</v>
      </c>
      <c r="AA80" s="42">
        <f t="shared" si="71"/>
        <v>30</v>
      </c>
      <c r="AB80" s="44">
        <f>AB109</f>
        <v>30</v>
      </c>
      <c r="AC80" s="42">
        <f t="shared" ref="AC80:AF81" si="73">AB80+($AG80-$AB80)/5</f>
        <v>30.6</v>
      </c>
      <c r="AD80" s="42">
        <f t="shared" si="73"/>
        <v>31.200000000000003</v>
      </c>
      <c r="AE80" s="42">
        <f t="shared" si="73"/>
        <v>31.800000000000004</v>
      </c>
      <c r="AF80" s="42">
        <f t="shared" si="73"/>
        <v>32.400000000000006</v>
      </c>
      <c r="AG80" s="44">
        <f t="shared" ref="AG80:BA80" si="74">AG109</f>
        <v>33</v>
      </c>
      <c r="AH80" s="44">
        <f t="shared" si="74"/>
        <v>34</v>
      </c>
      <c r="AI80" s="44">
        <f t="shared" si="74"/>
        <v>34</v>
      </c>
      <c r="AJ80" s="44">
        <f t="shared" si="74"/>
        <v>35</v>
      </c>
      <c r="AK80" s="44">
        <f t="shared" si="74"/>
        <v>34</v>
      </c>
      <c r="AL80" s="44">
        <f t="shared" si="74"/>
        <v>32</v>
      </c>
      <c r="AM80" s="44">
        <f t="shared" si="74"/>
        <v>30</v>
      </c>
      <c r="AN80" s="44">
        <f t="shared" si="74"/>
        <v>32</v>
      </c>
      <c r="AO80" s="44">
        <f t="shared" si="74"/>
        <v>33</v>
      </c>
      <c r="AP80" s="44">
        <f t="shared" si="74"/>
        <v>34</v>
      </c>
      <c r="AQ80" s="44">
        <f t="shared" si="74"/>
        <v>35</v>
      </c>
      <c r="AR80" s="44">
        <f t="shared" si="74"/>
        <v>36</v>
      </c>
      <c r="AS80" s="44">
        <f t="shared" si="74"/>
        <v>38</v>
      </c>
      <c r="AT80" s="44">
        <f t="shared" si="74"/>
        <v>37</v>
      </c>
      <c r="AU80" s="44">
        <f t="shared" si="74"/>
        <v>37</v>
      </c>
      <c r="AV80" s="44">
        <f t="shared" si="74"/>
        <v>36</v>
      </c>
      <c r="AW80" s="44">
        <f t="shared" si="74"/>
        <v>36</v>
      </c>
      <c r="AX80" s="44">
        <f t="shared" si="74"/>
        <v>37</v>
      </c>
      <c r="AY80" s="44">
        <f t="shared" si="74"/>
        <v>38</v>
      </c>
      <c r="AZ80" s="44">
        <f t="shared" si="74"/>
        <v>38</v>
      </c>
      <c r="BA80" s="44">
        <f t="shared" si="74"/>
        <v>37</v>
      </c>
      <c r="BB80" s="110">
        <v>37.090000000000003</v>
      </c>
      <c r="BC80" s="111">
        <v>37.64</v>
      </c>
      <c r="BD80" s="111">
        <v>38.409999999999997</v>
      </c>
      <c r="BE80" s="111">
        <v>38.012999999999998</v>
      </c>
      <c r="BF80" s="111">
        <v>37.798127000000001</v>
      </c>
      <c r="BG80" s="111">
        <v>37.808</v>
      </c>
      <c r="BH80" s="111">
        <v>37.859000000000002</v>
      </c>
      <c r="BI80" s="111">
        <v>37.825000000000003</v>
      </c>
    </row>
    <row r="81" spans="1:61" s="10" customFormat="1">
      <c r="A81" s="10" t="s">
        <v>89</v>
      </c>
      <c r="C81" s="13">
        <f>C79+C80</f>
        <v>613</v>
      </c>
      <c r="D81" s="41">
        <f t="shared" si="67"/>
        <v>609</v>
      </c>
      <c r="E81" s="41">
        <f t="shared" si="67"/>
        <v>605</v>
      </c>
      <c r="F81" s="41">
        <f t="shared" si="67"/>
        <v>601</v>
      </c>
      <c r="G81" s="41">
        <f t="shared" si="67"/>
        <v>597</v>
      </c>
      <c r="H81" s="13">
        <f>H79+H80</f>
        <v>593</v>
      </c>
      <c r="I81" s="41">
        <f t="shared" si="68"/>
        <v>578.4</v>
      </c>
      <c r="J81" s="41">
        <f t="shared" si="68"/>
        <v>563.79999999999995</v>
      </c>
      <c r="K81" s="41">
        <f t="shared" si="68"/>
        <v>549.19999999999993</v>
      </c>
      <c r="L81" s="41">
        <f t="shared" si="68"/>
        <v>534.59999999999991</v>
      </c>
      <c r="M81" s="13">
        <f>M79+M80</f>
        <v>520</v>
      </c>
      <c r="N81" s="41">
        <f t="shared" si="69"/>
        <v>502.6</v>
      </c>
      <c r="O81" s="41">
        <f t="shared" si="69"/>
        <v>485.20000000000005</v>
      </c>
      <c r="P81" s="41">
        <f t="shared" si="69"/>
        <v>467.80000000000007</v>
      </c>
      <c r="Q81" s="41">
        <f t="shared" si="69"/>
        <v>450.40000000000009</v>
      </c>
      <c r="R81" s="13">
        <f>R79+R80</f>
        <v>433</v>
      </c>
      <c r="S81" s="41">
        <f t="shared" si="70"/>
        <v>438</v>
      </c>
      <c r="T81" s="41">
        <f t="shared" si="70"/>
        <v>443</v>
      </c>
      <c r="U81" s="41">
        <f t="shared" si="70"/>
        <v>448</v>
      </c>
      <c r="V81" s="41">
        <f t="shared" si="70"/>
        <v>453</v>
      </c>
      <c r="W81" s="13">
        <f>W79+W80</f>
        <v>458</v>
      </c>
      <c r="X81" s="41">
        <f t="shared" si="71"/>
        <v>441.8</v>
      </c>
      <c r="Y81" s="41">
        <f t="shared" si="71"/>
        <v>425.6</v>
      </c>
      <c r="Z81" s="41">
        <f t="shared" si="71"/>
        <v>409.40000000000003</v>
      </c>
      <c r="AA81" s="41">
        <f t="shared" si="71"/>
        <v>393.20000000000005</v>
      </c>
      <c r="AB81" s="13">
        <f>AB79+AB80</f>
        <v>377</v>
      </c>
      <c r="AC81" s="41">
        <f t="shared" si="73"/>
        <v>384.2</v>
      </c>
      <c r="AD81" s="41">
        <f t="shared" si="73"/>
        <v>391.4</v>
      </c>
      <c r="AE81" s="41">
        <f t="shared" si="73"/>
        <v>398.59999999999997</v>
      </c>
      <c r="AF81" s="41">
        <f t="shared" si="73"/>
        <v>405.79999999999995</v>
      </c>
      <c r="AG81" s="13">
        <f t="shared" ref="AG81:BI81" si="75">AG79+AG80</f>
        <v>413</v>
      </c>
      <c r="AH81" s="13">
        <f t="shared" si="75"/>
        <v>409</v>
      </c>
      <c r="AI81" s="13">
        <f t="shared" si="75"/>
        <v>424</v>
      </c>
      <c r="AJ81" s="13">
        <f t="shared" si="75"/>
        <v>440</v>
      </c>
      <c r="AK81" s="13">
        <f t="shared" si="75"/>
        <v>475</v>
      </c>
      <c r="AL81" s="13">
        <f t="shared" si="75"/>
        <v>490</v>
      </c>
      <c r="AM81" s="13">
        <f t="shared" si="75"/>
        <v>499</v>
      </c>
      <c r="AN81" s="13">
        <f t="shared" si="75"/>
        <v>507</v>
      </c>
      <c r="AO81" s="13">
        <f t="shared" si="75"/>
        <v>508</v>
      </c>
      <c r="AP81" s="13">
        <f t="shared" si="75"/>
        <v>524</v>
      </c>
      <c r="AQ81" s="13">
        <f t="shared" si="75"/>
        <v>539</v>
      </c>
      <c r="AR81" s="13">
        <f t="shared" si="75"/>
        <v>536</v>
      </c>
      <c r="AS81" s="13">
        <f t="shared" si="75"/>
        <v>538</v>
      </c>
      <c r="AT81" s="13">
        <f t="shared" si="75"/>
        <v>553</v>
      </c>
      <c r="AU81" s="13">
        <f t="shared" si="75"/>
        <v>572</v>
      </c>
      <c r="AV81" s="13">
        <f t="shared" si="75"/>
        <v>584</v>
      </c>
      <c r="AW81" s="13">
        <f t="shared" si="75"/>
        <v>599</v>
      </c>
      <c r="AX81" s="13">
        <f t="shared" si="75"/>
        <v>580</v>
      </c>
      <c r="AY81" s="13">
        <f t="shared" si="75"/>
        <v>562</v>
      </c>
      <c r="AZ81" s="13">
        <f t="shared" si="75"/>
        <v>474</v>
      </c>
      <c r="BA81" s="13">
        <f t="shared" si="75"/>
        <v>513</v>
      </c>
      <c r="BB81" s="13">
        <f t="shared" si="75"/>
        <v>530.40099999999995</v>
      </c>
      <c r="BC81" s="112">
        <f t="shared" si="75"/>
        <v>537.78800000000001</v>
      </c>
      <c r="BD81" s="112">
        <f t="shared" si="75"/>
        <v>542.39400000000001</v>
      </c>
      <c r="BE81" s="112">
        <f t="shared" si="75"/>
        <v>556.18000000000006</v>
      </c>
      <c r="BF81" s="112">
        <f t="shared" si="75"/>
        <v>532.38812699999994</v>
      </c>
      <c r="BG81" s="112">
        <f t="shared" si="75"/>
        <v>490.654</v>
      </c>
      <c r="BH81" s="112">
        <f t="shared" si="75"/>
        <v>503.11099999999999</v>
      </c>
      <c r="BI81" s="112">
        <f t="shared" si="75"/>
        <v>514.34699999999998</v>
      </c>
    </row>
    <row r="82" spans="1:61">
      <c r="D82" s="7"/>
      <c r="E82" s="7"/>
      <c r="F82" s="7"/>
      <c r="G82" s="7"/>
      <c r="I82" s="7"/>
      <c r="J82" s="7"/>
      <c r="K82" s="7"/>
      <c r="L82" s="7"/>
    </row>
    <row r="83" spans="1:61">
      <c r="A83" s="44" t="s">
        <v>127</v>
      </c>
      <c r="C83" s="6">
        <f>C75/C79</f>
        <v>69.727722772277232</v>
      </c>
      <c r="D83" s="6">
        <f t="shared" ref="D83:BB84" si="76">D75/D79</f>
        <v>69.718213058419252</v>
      </c>
      <c r="E83" s="6">
        <f t="shared" si="76"/>
        <v>69.708860759493689</v>
      </c>
      <c r="F83" s="6">
        <f t="shared" si="76"/>
        <v>69.699661999034305</v>
      </c>
      <c r="G83" s="6">
        <f t="shared" si="76"/>
        <v>69.690613026819946</v>
      </c>
      <c r="H83" s="6">
        <f t="shared" si="76"/>
        <v>69.681710213776725</v>
      </c>
      <c r="I83" s="6">
        <f t="shared" si="76"/>
        <v>69.746091899573656</v>
      </c>
      <c r="J83" s="6">
        <f t="shared" si="76"/>
        <v>69.810108644307988</v>
      </c>
      <c r="K83" s="6">
        <f t="shared" si="76"/>
        <v>69.87376354215732</v>
      </c>
      <c r="L83" s="6">
        <f t="shared" si="76"/>
        <v>69.937059652418981</v>
      </c>
      <c r="M83" s="6">
        <f t="shared" si="76"/>
        <v>70</v>
      </c>
      <c r="N83" s="6">
        <f t="shared" si="76"/>
        <v>69.737565135007102</v>
      </c>
      <c r="O83" s="6">
        <f t="shared" si="76"/>
        <v>69.469094393866797</v>
      </c>
      <c r="P83" s="6">
        <f t="shared" si="76"/>
        <v>69.194377120698022</v>
      </c>
      <c r="Q83" s="6">
        <f t="shared" si="76"/>
        <v>68.913192741539987</v>
      </c>
      <c r="R83" s="6">
        <f t="shared" si="76"/>
        <v>68.625310173697272</v>
      </c>
      <c r="S83" s="6">
        <f t="shared" si="76"/>
        <v>68.57892156862745</v>
      </c>
      <c r="T83" s="6">
        <f t="shared" si="76"/>
        <v>68.533656174334141</v>
      </c>
      <c r="U83" s="6">
        <f t="shared" si="76"/>
        <v>68.489473684210537</v>
      </c>
      <c r="V83" s="6">
        <f t="shared" si="76"/>
        <v>68.446335697399533</v>
      </c>
      <c r="W83" s="6">
        <f t="shared" si="76"/>
        <v>68.404205607476641</v>
      </c>
      <c r="X83" s="6">
        <f t="shared" si="76"/>
        <v>68.979116075764935</v>
      </c>
      <c r="Y83" s="6">
        <f t="shared" si="76"/>
        <v>69.60111223458037</v>
      </c>
      <c r="Z83" s="6">
        <f t="shared" si="76"/>
        <v>70.276225619399028</v>
      </c>
      <c r="AA83" s="6">
        <f t="shared" si="76"/>
        <v>71.011563876651962</v>
      </c>
      <c r="AB83" s="6">
        <f t="shared" si="76"/>
        <v>71.815561959654175</v>
      </c>
      <c r="AC83" s="6">
        <f t="shared" si="76"/>
        <v>71.175904977375552</v>
      </c>
      <c r="AD83" s="6">
        <f t="shared" si="76"/>
        <v>70.559689061632412</v>
      </c>
      <c r="AE83" s="6">
        <f t="shared" si="76"/>
        <v>69.965648854961813</v>
      </c>
      <c r="AF83" s="6">
        <f t="shared" si="76"/>
        <v>69.392608462774476</v>
      </c>
      <c r="AG83" s="6">
        <f t="shared" si="76"/>
        <v>68.839473684210532</v>
      </c>
      <c r="AH83" s="6">
        <f t="shared" si="76"/>
        <v>68.341333333333338</v>
      </c>
      <c r="AI83" s="6">
        <f t="shared" si="76"/>
        <v>66.994871794871798</v>
      </c>
      <c r="AJ83" s="6">
        <f t="shared" si="76"/>
        <v>66.37777777777778</v>
      </c>
      <c r="AK83" s="6">
        <f t="shared" si="76"/>
        <v>64.591836734693871</v>
      </c>
      <c r="AL83" s="6">
        <f t="shared" si="76"/>
        <v>66.338427947598248</v>
      </c>
      <c r="AM83" s="6">
        <f t="shared" si="76"/>
        <v>67.622601279317692</v>
      </c>
      <c r="AN83" s="6">
        <f t="shared" si="76"/>
        <v>66.652631578947364</v>
      </c>
      <c r="AO83" s="6">
        <f t="shared" si="76"/>
        <v>68.751578947368415</v>
      </c>
      <c r="AP83" s="6">
        <f t="shared" si="76"/>
        <v>69.083673469387762</v>
      </c>
      <c r="AQ83" s="6">
        <f t="shared" si="76"/>
        <v>68.63095238095238</v>
      </c>
      <c r="AR83" s="6">
        <f t="shared" si="76"/>
        <v>68.486000000000004</v>
      </c>
      <c r="AS83" s="6">
        <f t="shared" si="76"/>
        <v>69.36</v>
      </c>
      <c r="AT83" s="6">
        <f t="shared" si="76"/>
        <v>68.905038759689916</v>
      </c>
      <c r="AU83" s="6">
        <f t="shared" si="76"/>
        <v>69.291588785046727</v>
      </c>
      <c r="AV83" s="6">
        <f t="shared" si="76"/>
        <v>68.817518248175176</v>
      </c>
      <c r="AW83" s="6">
        <f t="shared" si="76"/>
        <v>69.191829484902314</v>
      </c>
      <c r="AX83" s="6">
        <f t="shared" si="76"/>
        <v>70.324125230202583</v>
      </c>
      <c r="AY83" s="6">
        <f t="shared" si="76"/>
        <v>71.041984732824432</v>
      </c>
      <c r="AZ83" s="6">
        <f t="shared" si="76"/>
        <v>73.658256880733944</v>
      </c>
      <c r="BA83" s="6">
        <f t="shared" si="76"/>
        <v>74.665966386554615</v>
      </c>
      <c r="BB83" s="6">
        <f t="shared" si="76"/>
        <v>74.291876726851825</v>
      </c>
    </row>
    <row r="84" spans="1:61">
      <c r="A84" s="44" t="s">
        <v>128</v>
      </c>
      <c r="C84" s="6">
        <f>C76/C80</f>
        <v>10.564593301435407</v>
      </c>
      <c r="D84" s="6">
        <f t="shared" si="76"/>
        <v>10.52281746031746</v>
      </c>
      <c r="E84" s="6">
        <f t="shared" si="76"/>
        <v>10.477857878475799</v>
      </c>
      <c r="F84" s="6">
        <f t="shared" si="76"/>
        <v>10.429336188436833</v>
      </c>
      <c r="G84" s="6">
        <f t="shared" si="76"/>
        <v>10.376811594202902</v>
      </c>
      <c r="H84" s="6">
        <f t="shared" si="76"/>
        <v>10.319767441860465</v>
      </c>
      <c r="I84" s="6">
        <f t="shared" si="76"/>
        <v>9.9743918053777207</v>
      </c>
      <c r="J84" s="6">
        <f t="shared" si="76"/>
        <v>9.5512820512820529</v>
      </c>
      <c r="K84" s="6">
        <f t="shared" si="76"/>
        <v>9.0208667736757633</v>
      </c>
      <c r="L84" s="6">
        <f t="shared" si="76"/>
        <v>8.3363970588235308</v>
      </c>
      <c r="M84" s="6">
        <f t="shared" si="76"/>
        <v>7.419354838709677</v>
      </c>
      <c r="N84" s="6">
        <f t="shared" si="76"/>
        <v>7.4950248756218905</v>
      </c>
      <c r="O84" s="6">
        <f t="shared" si="76"/>
        <v>7.5988200589970498</v>
      </c>
      <c r="P84" s="6">
        <f t="shared" si="76"/>
        <v>7.75</v>
      </c>
      <c r="Q84" s="6">
        <f t="shared" si="76"/>
        <v>7.990610328638498</v>
      </c>
      <c r="R84" s="6">
        <f t="shared" si="76"/>
        <v>8.4333333333333336</v>
      </c>
      <c r="S84" s="6">
        <f t="shared" si="76"/>
        <v>8.3133333333333344</v>
      </c>
      <c r="T84" s="6">
        <f t="shared" si="76"/>
        <v>8.1933333333333334</v>
      </c>
      <c r="U84" s="6">
        <f t="shared" si="76"/>
        <v>8.0733333333333341</v>
      </c>
      <c r="V84" s="6">
        <f t="shared" si="76"/>
        <v>7.953333333333334</v>
      </c>
      <c r="W84" s="6">
        <f t="shared" si="76"/>
        <v>7.833333333333333</v>
      </c>
      <c r="X84" s="6">
        <f t="shared" si="76"/>
        <v>7.9399999999999995</v>
      </c>
      <c r="Y84" s="6">
        <f t="shared" si="76"/>
        <v>8.0466666666666651</v>
      </c>
      <c r="Z84" s="6">
        <f t="shared" si="76"/>
        <v>8.1533333333333324</v>
      </c>
      <c r="AA84" s="6">
        <f t="shared" si="76"/>
        <v>8.259999999999998</v>
      </c>
      <c r="AB84" s="6">
        <f t="shared" si="76"/>
        <v>8.3666666666666671</v>
      </c>
      <c r="AC84" s="6">
        <f t="shared" si="76"/>
        <v>8.5294117647058822</v>
      </c>
      <c r="AD84" s="6">
        <f t="shared" si="76"/>
        <v>8.6858974358974343</v>
      </c>
      <c r="AE84" s="6">
        <f t="shared" si="76"/>
        <v>8.8364779874213824</v>
      </c>
      <c r="AF84" s="6">
        <f t="shared" si="76"/>
        <v>8.9814814814814792</v>
      </c>
      <c r="AG84" s="6">
        <f t="shared" si="76"/>
        <v>9.1212121212121211</v>
      </c>
      <c r="AH84" s="6">
        <f t="shared" si="76"/>
        <v>9.2058823529411757</v>
      </c>
      <c r="AI84" s="6">
        <f t="shared" si="76"/>
        <v>9.0294117647058822</v>
      </c>
      <c r="AJ84" s="6">
        <f t="shared" si="76"/>
        <v>8.6571428571428566</v>
      </c>
      <c r="AK84" s="6">
        <f t="shared" si="76"/>
        <v>8.9411764705882355</v>
      </c>
      <c r="AL84" s="6">
        <f t="shared" si="76"/>
        <v>9.125</v>
      </c>
      <c r="AM84" s="6">
        <f t="shared" si="76"/>
        <v>9.1999999999999993</v>
      </c>
      <c r="AN84" s="6">
        <f t="shared" si="76"/>
        <v>9</v>
      </c>
      <c r="AO84" s="6">
        <f t="shared" si="76"/>
        <v>9.454545454545455</v>
      </c>
      <c r="AP84" s="6">
        <f t="shared" si="76"/>
        <v>10.058823529411764</v>
      </c>
      <c r="AQ84" s="6">
        <f t="shared" si="76"/>
        <v>10.514285714285714</v>
      </c>
      <c r="AR84" s="6">
        <f t="shared" si="76"/>
        <v>10.5</v>
      </c>
      <c r="AS84" s="6">
        <f t="shared" si="76"/>
        <v>9.973684210526315</v>
      </c>
      <c r="AT84" s="6">
        <f t="shared" si="76"/>
        <v>8.9729729729729737</v>
      </c>
      <c r="AU84" s="6">
        <f t="shared" si="76"/>
        <v>8.3243243243243246</v>
      </c>
      <c r="AV84" s="6">
        <f t="shared" si="76"/>
        <v>7.3611111111111107</v>
      </c>
      <c r="AW84" s="6">
        <f t="shared" si="76"/>
        <v>7.333333333333333</v>
      </c>
      <c r="AX84" s="6">
        <f t="shared" si="76"/>
        <v>7.2162162162162158</v>
      </c>
      <c r="AY84" s="6">
        <f t="shared" si="76"/>
        <v>7.1578947368421053</v>
      </c>
      <c r="AZ84" s="6">
        <f t="shared" si="76"/>
        <v>7.4473684210526319</v>
      </c>
      <c r="BA84" s="6">
        <f t="shared" si="76"/>
        <v>7.9729729729729728</v>
      </c>
      <c r="BB84" s="6">
        <f t="shared" si="76"/>
        <v>7.9805877595039085</v>
      </c>
    </row>
    <row r="85" spans="1:61">
      <c r="D85" s="7"/>
      <c r="E85" s="7"/>
      <c r="F85" s="7"/>
      <c r="G85" s="7"/>
      <c r="I85" s="7"/>
      <c r="J85" s="7"/>
      <c r="K85" s="7"/>
      <c r="L85" s="7"/>
    </row>
    <row r="86" spans="1:61">
      <c r="A86" s="44" t="str">
        <f>A142</f>
        <v>Rail, Class I (in freight service)</v>
      </c>
      <c r="B86" s="44" t="str">
        <f>A119</f>
        <v>Distillate / diesel fuel (million gallons)</v>
      </c>
      <c r="C86" s="1">
        <f>C119</f>
        <v>3463</v>
      </c>
      <c r="D86" s="42">
        <f t="shared" ref="D86:G92" si="77">C86+($H86-$C86)/5</f>
        <v>3488.8</v>
      </c>
      <c r="E86" s="42">
        <f t="shared" si="77"/>
        <v>3514.6000000000004</v>
      </c>
      <c r="F86" s="42">
        <f t="shared" si="77"/>
        <v>3540.4000000000005</v>
      </c>
      <c r="G86" s="42">
        <f t="shared" si="77"/>
        <v>3566.2000000000007</v>
      </c>
      <c r="H86" s="1">
        <f>H119</f>
        <v>3592</v>
      </c>
      <c r="I86" s="42">
        <f t="shared" ref="I86:L99" si="78">H86+($M86-$H86)/5</f>
        <v>3582.6</v>
      </c>
      <c r="J86" s="42">
        <f t="shared" si="78"/>
        <v>3573.2</v>
      </c>
      <c r="K86" s="42">
        <f t="shared" si="78"/>
        <v>3563.7999999999997</v>
      </c>
      <c r="L86" s="42">
        <f t="shared" si="78"/>
        <v>3554.3999999999996</v>
      </c>
      <c r="M86" s="1">
        <f>M119</f>
        <v>3545</v>
      </c>
      <c r="N86" s="42">
        <f t="shared" ref="N86:Q92" si="79">M86+($R86-$M86)/5</f>
        <v>3567.4</v>
      </c>
      <c r="O86" s="42">
        <f t="shared" si="79"/>
        <v>3589.8</v>
      </c>
      <c r="P86" s="42">
        <f t="shared" si="79"/>
        <v>3612.2000000000003</v>
      </c>
      <c r="Q86" s="42">
        <f t="shared" si="79"/>
        <v>3634.6000000000004</v>
      </c>
      <c r="R86" s="1">
        <f>R119</f>
        <v>3657</v>
      </c>
      <c r="S86" s="42">
        <f t="shared" ref="S86:V92" si="80">R86+($W86-$R86)/5</f>
        <v>3706.4</v>
      </c>
      <c r="T86" s="42">
        <f t="shared" si="80"/>
        <v>3755.8</v>
      </c>
      <c r="U86" s="42">
        <f t="shared" si="80"/>
        <v>3805.2000000000003</v>
      </c>
      <c r="V86" s="42">
        <f t="shared" si="80"/>
        <v>3854.6000000000004</v>
      </c>
      <c r="W86" s="1">
        <f>W119</f>
        <v>3904</v>
      </c>
      <c r="X86" s="42">
        <f t="shared" ref="X86:AA92" si="81">W86+($AB86-$W86)/5</f>
        <v>3745.2</v>
      </c>
      <c r="Y86" s="42">
        <f t="shared" si="81"/>
        <v>3586.3999999999996</v>
      </c>
      <c r="Z86" s="42">
        <f t="shared" si="81"/>
        <v>3427.5999999999995</v>
      </c>
      <c r="AA86" s="42">
        <f t="shared" si="81"/>
        <v>3268.7999999999993</v>
      </c>
      <c r="AB86" s="1">
        <f>AB119</f>
        <v>3110</v>
      </c>
      <c r="AC86" s="42">
        <f>AB86+($AG86-$AB86)/5</f>
        <v>3111</v>
      </c>
      <c r="AD86" s="42">
        <f>AC86+($AG86-$AB86)/5</f>
        <v>3112</v>
      </c>
      <c r="AE86" s="42">
        <f>AD86+($AG86-$AB86)/5</f>
        <v>3113</v>
      </c>
      <c r="AF86" s="42">
        <f>AE86+($AG86-$AB86)/5</f>
        <v>3114</v>
      </c>
      <c r="AG86" s="1">
        <f t="shared" ref="AG86:BB86" si="82">AG119</f>
        <v>3115</v>
      </c>
      <c r="AH86" s="1">
        <f t="shared" si="82"/>
        <v>2906</v>
      </c>
      <c r="AI86" s="1">
        <f t="shared" si="82"/>
        <v>3005</v>
      </c>
      <c r="AJ86" s="1">
        <f t="shared" si="82"/>
        <v>3088</v>
      </c>
      <c r="AK86" s="1">
        <f t="shared" si="82"/>
        <v>3334</v>
      </c>
      <c r="AL86" s="1">
        <f t="shared" si="82"/>
        <v>3480</v>
      </c>
      <c r="AM86" s="1">
        <f t="shared" si="82"/>
        <v>3579</v>
      </c>
      <c r="AN86" s="1">
        <f t="shared" si="82"/>
        <v>3575</v>
      </c>
      <c r="AO86" s="1">
        <f t="shared" si="82"/>
        <v>3583</v>
      </c>
      <c r="AP86" s="1">
        <f t="shared" si="82"/>
        <v>3715</v>
      </c>
      <c r="AQ86" s="1">
        <f t="shared" si="82"/>
        <v>3700</v>
      </c>
      <c r="AR86" s="1">
        <f t="shared" si="82"/>
        <v>3710</v>
      </c>
      <c r="AS86" s="1">
        <f t="shared" si="82"/>
        <v>3730</v>
      </c>
      <c r="AT86" s="1">
        <f t="shared" si="82"/>
        <v>3826</v>
      </c>
      <c r="AU86" s="1">
        <f t="shared" si="82"/>
        <v>4059</v>
      </c>
      <c r="AV86" s="1">
        <f t="shared" si="82"/>
        <v>4098</v>
      </c>
      <c r="AW86" s="1">
        <f t="shared" si="82"/>
        <v>4192</v>
      </c>
      <c r="AX86" s="1">
        <f t="shared" si="82"/>
        <v>4062</v>
      </c>
      <c r="AY86" s="1">
        <f t="shared" si="82"/>
        <v>3886</v>
      </c>
      <c r="AZ86" s="1">
        <f t="shared" si="82"/>
        <v>3192</v>
      </c>
      <c r="BA86" s="1">
        <f t="shared" si="82"/>
        <v>3494</v>
      </c>
      <c r="BB86" s="1">
        <f t="shared" si="82"/>
        <v>3685</v>
      </c>
      <c r="BC86" s="120">
        <f>BC119</f>
        <v>3600</v>
      </c>
      <c r="BD86" s="120">
        <f t="shared" ref="BD86:BI86" si="83">BD119</f>
        <v>3682</v>
      </c>
      <c r="BE86" s="120">
        <f t="shared" si="83"/>
        <v>3867</v>
      </c>
      <c r="BF86" s="120">
        <f t="shared" si="83"/>
        <v>3692</v>
      </c>
      <c r="BG86" s="120">
        <f t="shared" si="83"/>
        <v>3385</v>
      </c>
      <c r="BH86" s="120">
        <f t="shared" si="83"/>
        <v>3495</v>
      </c>
      <c r="BI86" s="120">
        <f t="shared" si="83"/>
        <v>3656</v>
      </c>
    </row>
    <row r="87" spans="1:61">
      <c r="A87" s="44" t="str">
        <f>A120</f>
        <v>Amtrak</v>
      </c>
      <c r="B87" s="44" t="str">
        <f>A121</f>
        <v>Electricity  (million kWh)</v>
      </c>
      <c r="C87" s="7" t="str">
        <f>C121</f>
        <v>N</v>
      </c>
      <c r="D87" s="42" t="e">
        <f t="shared" si="77"/>
        <v>#VALUE!</v>
      </c>
      <c r="E87" s="42" t="e">
        <f t="shared" si="77"/>
        <v>#VALUE!</v>
      </c>
      <c r="F87" s="42" t="e">
        <f t="shared" si="77"/>
        <v>#VALUE!</v>
      </c>
      <c r="G87" s="42" t="e">
        <f t="shared" si="77"/>
        <v>#VALUE!</v>
      </c>
      <c r="H87" s="7" t="str">
        <f>H121</f>
        <v>N</v>
      </c>
      <c r="I87" s="42" t="e">
        <f t="shared" si="78"/>
        <v>#VALUE!</v>
      </c>
      <c r="J87" s="42" t="e">
        <f t="shared" si="78"/>
        <v>#VALUE!</v>
      </c>
      <c r="K87" s="42" t="e">
        <f t="shared" si="78"/>
        <v>#VALUE!</v>
      </c>
      <c r="L87" s="42" t="e">
        <f t="shared" si="78"/>
        <v>#VALUE!</v>
      </c>
      <c r="M87" s="7" t="str">
        <f>M121</f>
        <v>N</v>
      </c>
      <c r="N87" s="42" t="e">
        <f t="shared" si="79"/>
        <v>#VALUE!</v>
      </c>
      <c r="O87" s="42" t="e">
        <f t="shared" si="79"/>
        <v>#VALUE!</v>
      </c>
      <c r="P87" s="42" t="e">
        <f t="shared" si="79"/>
        <v>#VALUE!</v>
      </c>
      <c r="Q87" s="42" t="e">
        <f t="shared" si="79"/>
        <v>#VALUE!</v>
      </c>
      <c r="R87" s="44">
        <f>R121</f>
        <v>180</v>
      </c>
      <c r="S87" s="42">
        <f t="shared" si="80"/>
        <v>194.8</v>
      </c>
      <c r="T87" s="42">
        <f t="shared" si="80"/>
        <v>209.60000000000002</v>
      </c>
      <c r="U87" s="42">
        <f t="shared" si="80"/>
        <v>224.40000000000003</v>
      </c>
      <c r="V87" s="42">
        <f t="shared" si="80"/>
        <v>239.20000000000005</v>
      </c>
      <c r="W87" s="44">
        <f>W121</f>
        <v>254</v>
      </c>
      <c r="X87" s="42">
        <f t="shared" si="81"/>
        <v>262.2</v>
      </c>
      <c r="Y87" s="42">
        <f t="shared" si="81"/>
        <v>270.39999999999998</v>
      </c>
      <c r="Z87" s="42">
        <f t="shared" si="81"/>
        <v>278.59999999999997</v>
      </c>
      <c r="AA87" s="42">
        <f t="shared" si="81"/>
        <v>286.79999999999995</v>
      </c>
      <c r="AB87" s="44">
        <f>AB121</f>
        <v>295</v>
      </c>
      <c r="AC87" s="42">
        <f t="shared" ref="AC87:AF92" si="84">AB87+($AG87-$AB87)/5</f>
        <v>302</v>
      </c>
      <c r="AD87" s="42">
        <f t="shared" si="84"/>
        <v>309</v>
      </c>
      <c r="AE87" s="42">
        <f t="shared" si="84"/>
        <v>316</v>
      </c>
      <c r="AF87" s="42">
        <f t="shared" si="84"/>
        <v>323</v>
      </c>
      <c r="AG87" s="44">
        <f t="shared" ref="AG87:BB88" si="85">AG121</f>
        <v>330</v>
      </c>
      <c r="AH87" s="44">
        <f t="shared" si="85"/>
        <v>303</v>
      </c>
      <c r="AI87" s="44">
        <f t="shared" si="85"/>
        <v>300</v>
      </c>
      <c r="AJ87" s="44">
        <f t="shared" si="85"/>
        <v>301</v>
      </c>
      <c r="AK87" s="44">
        <f t="shared" si="85"/>
        <v>309</v>
      </c>
      <c r="AL87" s="44">
        <f t="shared" si="85"/>
        <v>336</v>
      </c>
      <c r="AM87" s="44">
        <f t="shared" si="85"/>
        <v>363</v>
      </c>
      <c r="AN87" s="44">
        <f t="shared" si="85"/>
        <v>390</v>
      </c>
      <c r="AO87" s="44">
        <f t="shared" si="85"/>
        <v>416</v>
      </c>
      <c r="AP87" s="44">
        <f t="shared" si="85"/>
        <v>443</v>
      </c>
      <c r="AQ87" s="44">
        <f t="shared" si="85"/>
        <v>470</v>
      </c>
      <c r="AR87" s="44">
        <f t="shared" si="85"/>
        <v>456</v>
      </c>
      <c r="AS87" s="44">
        <f t="shared" si="85"/>
        <v>518</v>
      </c>
      <c r="AT87" s="44">
        <f t="shared" si="85"/>
        <v>537</v>
      </c>
      <c r="AU87" s="44">
        <f t="shared" si="85"/>
        <v>551</v>
      </c>
      <c r="AV87" s="44">
        <f t="shared" si="85"/>
        <v>531</v>
      </c>
      <c r="AW87" s="44">
        <f t="shared" si="85"/>
        <v>549</v>
      </c>
      <c r="AX87" s="44">
        <f t="shared" si="85"/>
        <v>578</v>
      </c>
      <c r="AY87" s="44">
        <f t="shared" si="85"/>
        <v>582</v>
      </c>
      <c r="AZ87" s="44">
        <f t="shared" si="85"/>
        <v>565</v>
      </c>
      <c r="BA87" s="110">
        <f t="shared" si="85"/>
        <v>558.66156472799992</v>
      </c>
      <c r="BB87" s="110">
        <f t="shared" si="85"/>
        <v>555.42530999999997</v>
      </c>
      <c r="BC87" s="121">
        <f>BC121</f>
        <v>549.20125199999995</v>
      </c>
      <c r="BD87" s="121">
        <f t="shared" ref="BD87:BI87" si="86">BD121</f>
        <v>525.12718536</v>
      </c>
      <c r="BE87" s="121">
        <f t="shared" si="86"/>
        <v>515.33160797599999</v>
      </c>
      <c r="BF87" s="121">
        <f t="shared" si="86"/>
        <v>504.01684695199998</v>
      </c>
      <c r="BG87" s="121">
        <f t="shared" si="86"/>
        <v>515.71145795424002</v>
      </c>
      <c r="BH87" s="121">
        <f t="shared" si="86"/>
        <v>489.94912099999999</v>
      </c>
      <c r="BI87" s="121">
        <f t="shared" si="86"/>
        <v>484.97539565832</v>
      </c>
    </row>
    <row r="88" spans="1:61">
      <c r="A88" s="44" t="str">
        <f>A87</f>
        <v>Amtrak</v>
      </c>
      <c r="B88" s="44" t="str">
        <f>A122</f>
        <v>Distillate / diesel fuel (million gallons)</v>
      </c>
      <c r="C88" s="7" t="str">
        <f>C122</f>
        <v>N</v>
      </c>
      <c r="D88" s="42" t="e">
        <f t="shared" si="77"/>
        <v>#VALUE!</v>
      </c>
      <c r="E88" s="42" t="e">
        <f t="shared" si="77"/>
        <v>#VALUE!</v>
      </c>
      <c r="F88" s="42" t="e">
        <f t="shared" si="77"/>
        <v>#VALUE!</v>
      </c>
      <c r="G88" s="42" t="e">
        <f t="shared" si="77"/>
        <v>#VALUE!</v>
      </c>
      <c r="H88" s="7" t="str">
        <f>H122</f>
        <v>N</v>
      </c>
      <c r="I88" s="42" t="e">
        <f t="shared" si="78"/>
        <v>#VALUE!</v>
      </c>
      <c r="J88" s="42" t="e">
        <f t="shared" si="78"/>
        <v>#VALUE!</v>
      </c>
      <c r="K88" s="42" t="e">
        <f t="shared" si="78"/>
        <v>#VALUE!</v>
      </c>
      <c r="L88" s="42" t="e">
        <f t="shared" si="78"/>
        <v>#VALUE!</v>
      </c>
      <c r="M88" s="7" t="str">
        <f>M122</f>
        <v>N</v>
      </c>
      <c r="N88" s="42" t="e">
        <f t="shared" si="79"/>
        <v>#VALUE!</v>
      </c>
      <c r="O88" s="42" t="e">
        <f t="shared" si="79"/>
        <v>#VALUE!</v>
      </c>
      <c r="P88" s="42" t="e">
        <f t="shared" si="79"/>
        <v>#VALUE!</v>
      </c>
      <c r="Q88" s="42" t="e">
        <f t="shared" si="79"/>
        <v>#VALUE!</v>
      </c>
      <c r="R88" s="44">
        <f>R122</f>
        <v>63</v>
      </c>
      <c r="S88" s="42">
        <f t="shared" si="80"/>
        <v>63.2</v>
      </c>
      <c r="T88" s="42">
        <f t="shared" si="80"/>
        <v>63.400000000000006</v>
      </c>
      <c r="U88" s="42">
        <f t="shared" si="80"/>
        <v>63.600000000000009</v>
      </c>
      <c r="V88" s="42">
        <f t="shared" si="80"/>
        <v>63.800000000000011</v>
      </c>
      <c r="W88" s="44">
        <f>W122</f>
        <v>64</v>
      </c>
      <c r="X88" s="42">
        <f t="shared" si="81"/>
        <v>64.2</v>
      </c>
      <c r="Y88" s="42">
        <f t="shared" si="81"/>
        <v>64.400000000000006</v>
      </c>
      <c r="Z88" s="42">
        <f t="shared" si="81"/>
        <v>64.600000000000009</v>
      </c>
      <c r="AA88" s="42">
        <f t="shared" si="81"/>
        <v>64.800000000000011</v>
      </c>
      <c r="AB88" s="44">
        <f>AB122</f>
        <v>65</v>
      </c>
      <c r="AC88" s="42">
        <f t="shared" si="84"/>
        <v>68.400000000000006</v>
      </c>
      <c r="AD88" s="42">
        <f t="shared" si="84"/>
        <v>71.800000000000011</v>
      </c>
      <c r="AE88" s="42">
        <f t="shared" si="84"/>
        <v>75.200000000000017</v>
      </c>
      <c r="AF88" s="42">
        <f t="shared" si="84"/>
        <v>78.600000000000023</v>
      </c>
      <c r="AG88" s="44">
        <f t="shared" si="85"/>
        <v>82</v>
      </c>
      <c r="AH88" s="44">
        <f t="shared" si="85"/>
        <v>82</v>
      </c>
      <c r="AI88" s="44">
        <f t="shared" si="85"/>
        <v>82</v>
      </c>
      <c r="AJ88" s="44">
        <f t="shared" si="85"/>
        <v>83</v>
      </c>
      <c r="AK88" s="44">
        <f t="shared" si="85"/>
        <v>74</v>
      </c>
      <c r="AL88" s="44">
        <f t="shared" si="85"/>
        <v>72</v>
      </c>
      <c r="AM88" s="44">
        <f t="shared" si="85"/>
        <v>71</v>
      </c>
      <c r="AN88" s="44">
        <f t="shared" si="85"/>
        <v>76</v>
      </c>
      <c r="AO88" s="44">
        <f t="shared" si="85"/>
        <v>76</v>
      </c>
      <c r="AP88" s="44">
        <f t="shared" si="85"/>
        <v>79</v>
      </c>
      <c r="AQ88" s="44">
        <f t="shared" si="85"/>
        <v>95</v>
      </c>
      <c r="AR88" s="44">
        <f t="shared" si="85"/>
        <v>97</v>
      </c>
      <c r="AS88" s="44">
        <f t="shared" si="85"/>
        <v>84</v>
      </c>
      <c r="AT88" s="44">
        <f t="shared" si="85"/>
        <v>75</v>
      </c>
      <c r="AU88" s="44">
        <f t="shared" si="85"/>
        <v>69</v>
      </c>
      <c r="AV88" s="44">
        <f t="shared" si="85"/>
        <v>65</v>
      </c>
      <c r="AW88" s="44">
        <f t="shared" si="85"/>
        <v>62</v>
      </c>
      <c r="AX88" s="44">
        <f t="shared" si="85"/>
        <v>62</v>
      </c>
      <c r="AY88" s="44">
        <f t="shared" si="85"/>
        <v>63</v>
      </c>
      <c r="AZ88" s="44">
        <f t="shared" si="85"/>
        <v>62</v>
      </c>
      <c r="BA88" s="110">
        <f t="shared" si="85"/>
        <v>63.474021</v>
      </c>
      <c r="BB88" s="110">
        <f t="shared" si="85"/>
        <v>63.450471</v>
      </c>
      <c r="BC88" s="121">
        <f>BC122</f>
        <v>63.057507000000001</v>
      </c>
      <c r="BD88" s="121">
        <f t="shared" ref="BD88:BI88" si="87">BD122</f>
        <v>66.036326000000003</v>
      </c>
      <c r="BE88" s="121">
        <f t="shared" si="87"/>
        <v>65.711447000000007</v>
      </c>
      <c r="BF88" s="121">
        <f t="shared" si="87"/>
        <v>62.467827</v>
      </c>
      <c r="BG88" s="121">
        <f t="shared" si="87"/>
        <v>60.212339999999998</v>
      </c>
      <c r="BH88" s="121">
        <f t="shared" si="87"/>
        <v>64.009735000000006</v>
      </c>
      <c r="BI88" s="121">
        <f t="shared" si="87"/>
        <v>65.463733000000005</v>
      </c>
    </row>
    <row r="89" spans="1:61">
      <c r="A89" s="44" t="s">
        <v>23</v>
      </c>
      <c r="B89" s="44" t="s">
        <v>24</v>
      </c>
      <c r="C89" s="1">
        <f>C86</f>
        <v>3463</v>
      </c>
      <c r="D89" s="42">
        <f t="shared" si="77"/>
        <v>3488.8</v>
      </c>
      <c r="E89" s="42">
        <f t="shared" si="77"/>
        <v>3514.6000000000004</v>
      </c>
      <c r="F89" s="42">
        <f t="shared" si="77"/>
        <v>3540.4000000000005</v>
      </c>
      <c r="G89" s="42">
        <f t="shared" si="77"/>
        <v>3566.2000000000007</v>
      </c>
      <c r="H89" s="1">
        <f>H86</f>
        <v>3592</v>
      </c>
      <c r="I89" s="42">
        <f t="shared" si="78"/>
        <v>3582.6</v>
      </c>
      <c r="J89" s="42">
        <f t="shared" si="78"/>
        <v>3573.2</v>
      </c>
      <c r="K89" s="42">
        <f t="shared" si="78"/>
        <v>3563.7999999999997</v>
      </c>
      <c r="L89" s="42">
        <f t="shared" si="78"/>
        <v>3554.3999999999996</v>
      </c>
      <c r="M89" s="1">
        <f>M86</f>
        <v>3545</v>
      </c>
      <c r="N89" s="42">
        <f t="shared" si="79"/>
        <v>3567.4</v>
      </c>
      <c r="O89" s="42">
        <f t="shared" si="79"/>
        <v>3589.8</v>
      </c>
      <c r="P89" s="42">
        <f t="shared" si="79"/>
        <v>3612.2000000000003</v>
      </c>
      <c r="Q89" s="42">
        <f t="shared" si="79"/>
        <v>3634.6000000000004</v>
      </c>
      <c r="R89" s="1">
        <f>R86</f>
        <v>3657</v>
      </c>
      <c r="S89" s="42">
        <f t="shared" si="80"/>
        <v>3706.4</v>
      </c>
      <c r="T89" s="42">
        <f t="shared" si="80"/>
        <v>3755.8</v>
      </c>
      <c r="U89" s="42">
        <f t="shared" si="80"/>
        <v>3805.2000000000003</v>
      </c>
      <c r="V89" s="42">
        <f t="shared" si="80"/>
        <v>3854.6000000000004</v>
      </c>
      <c r="W89" s="1">
        <f>W86</f>
        <v>3904</v>
      </c>
      <c r="X89" s="42">
        <f t="shared" si="81"/>
        <v>3745.2</v>
      </c>
      <c r="Y89" s="42">
        <f t="shared" si="81"/>
        <v>3586.3999999999996</v>
      </c>
      <c r="Z89" s="42">
        <f t="shared" si="81"/>
        <v>3427.5999999999995</v>
      </c>
      <c r="AA89" s="42">
        <f t="shared" si="81"/>
        <v>3268.7999999999993</v>
      </c>
      <c r="AB89" s="1">
        <f>AB86</f>
        <v>3110</v>
      </c>
      <c r="AC89" s="42">
        <f t="shared" si="84"/>
        <v>3111</v>
      </c>
      <c r="AD89" s="42">
        <f t="shared" si="84"/>
        <v>3112</v>
      </c>
      <c r="AE89" s="42">
        <f t="shared" si="84"/>
        <v>3113</v>
      </c>
      <c r="AF89" s="42">
        <f t="shared" si="84"/>
        <v>3114</v>
      </c>
      <c r="AG89" s="1">
        <f t="shared" ref="AG89:BB89" si="88">AG86</f>
        <v>3115</v>
      </c>
      <c r="AH89" s="1">
        <f t="shared" si="88"/>
        <v>2906</v>
      </c>
      <c r="AI89" s="1">
        <f t="shared" si="88"/>
        <v>3005</v>
      </c>
      <c r="AJ89" s="1">
        <f t="shared" si="88"/>
        <v>3088</v>
      </c>
      <c r="AK89" s="1">
        <f t="shared" si="88"/>
        <v>3334</v>
      </c>
      <c r="AL89" s="1">
        <f t="shared" si="88"/>
        <v>3480</v>
      </c>
      <c r="AM89" s="1">
        <f t="shared" si="88"/>
        <v>3579</v>
      </c>
      <c r="AN89" s="1">
        <f t="shared" si="88"/>
        <v>3575</v>
      </c>
      <c r="AO89" s="1">
        <f t="shared" si="88"/>
        <v>3583</v>
      </c>
      <c r="AP89" s="1">
        <f t="shared" si="88"/>
        <v>3715</v>
      </c>
      <c r="AQ89" s="1">
        <f t="shared" si="88"/>
        <v>3700</v>
      </c>
      <c r="AR89" s="1">
        <f t="shared" si="88"/>
        <v>3710</v>
      </c>
      <c r="AS89" s="1">
        <f t="shared" si="88"/>
        <v>3730</v>
      </c>
      <c r="AT89" s="1">
        <f t="shared" si="88"/>
        <v>3826</v>
      </c>
      <c r="AU89" s="1">
        <f t="shared" si="88"/>
        <v>4059</v>
      </c>
      <c r="AV89" s="1">
        <f t="shared" si="88"/>
        <v>4098</v>
      </c>
      <c r="AW89" s="1">
        <f t="shared" si="88"/>
        <v>4192</v>
      </c>
      <c r="AX89" s="1">
        <f t="shared" si="88"/>
        <v>4062</v>
      </c>
      <c r="AY89" s="1">
        <f t="shared" si="88"/>
        <v>3886</v>
      </c>
      <c r="AZ89" s="1">
        <f t="shared" si="88"/>
        <v>3192</v>
      </c>
      <c r="BA89" s="1">
        <f t="shared" si="88"/>
        <v>3494</v>
      </c>
      <c r="BB89" s="1">
        <f t="shared" si="88"/>
        <v>3685</v>
      </c>
    </row>
    <row r="90" spans="1:61">
      <c r="A90" s="44" t="s">
        <v>25</v>
      </c>
      <c r="B90" s="18" t="s">
        <v>87</v>
      </c>
      <c r="C90" s="72">
        <f>C$76/$R$76*$R90</f>
        <v>38.655315975890133</v>
      </c>
      <c r="D90" s="42">
        <f t="shared" si="77"/>
        <v>37.139215267777779</v>
      </c>
      <c r="E90" s="42">
        <f t="shared" si="77"/>
        <v>35.623114559665424</v>
      </c>
      <c r="F90" s="42">
        <f t="shared" si="77"/>
        <v>34.10701385155307</v>
      </c>
      <c r="G90" s="42">
        <f t="shared" si="77"/>
        <v>32.590913143440716</v>
      </c>
      <c r="H90" s="72">
        <f>H$76/$R$76*$R90</f>
        <v>31.074812435328347</v>
      </c>
      <c r="I90" s="42">
        <f t="shared" si="78"/>
        <v>27.27580719675581</v>
      </c>
      <c r="J90" s="42">
        <f t="shared" si="78"/>
        <v>23.476801958183273</v>
      </c>
      <c r="K90" s="42">
        <f t="shared" si="78"/>
        <v>19.677796719610736</v>
      </c>
      <c r="L90" s="42">
        <f t="shared" si="78"/>
        <v>15.878791481038199</v>
      </c>
      <c r="M90" s="72">
        <f>M$76/$R$76*$R90</f>
        <v>12.079786242465666</v>
      </c>
      <c r="N90" s="42">
        <f t="shared" si="79"/>
        <v>10.549679985086682</v>
      </c>
      <c r="O90" s="42">
        <f t="shared" si="79"/>
        <v>9.0195737277076979</v>
      </c>
      <c r="P90" s="42">
        <f t="shared" si="79"/>
        <v>7.4894674703287141</v>
      </c>
      <c r="Q90" s="42">
        <f t="shared" si="79"/>
        <v>5.9593612129497302</v>
      </c>
      <c r="R90" s="1">
        <f>R87*1/$D$22</f>
        <v>4.4292549555707446</v>
      </c>
      <c r="S90" s="42">
        <f t="shared" si="80"/>
        <v>4.7934381408065612</v>
      </c>
      <c r="T90" s="42">
        <f t="shared" si="80"/>
        <v>5.1576213260423778</v>
      </c>
      <c r="U90" s="42">
        <f t="shared" si="80"/>
        <v>5.5218045112781944</v>
      </c>
      <c r="V90" s="42">
        <f t="shared" si="80"/>
        <v>5.885987696514011</v>
      </c>
      <c r="W90" s="1">
        <f>W87*1/$D$22</f>
        <v>6.2501708817498285</v>
      </c>
      <c r="X90" s="42">
        <f t="shared" si="81"/>
        <v>6.451948051948051</v>
      </c>
      <c r="Y90" s="42">
        <f t="shared" si="81"/>
        <v>6.6537252221462735</v>
      </c>
      <c r="Z90" s="42">
        <f t="shared" si="81"/>
        <v>6.855502392344496</v>
      </c>
      <c r="AA90" s="42">
        <f t="shared" si="81"/>
        <v>7.0572795625427185</v>
      </c>
      <c r="AB90" s="1">
        <f>AB87*1/$D$22</f>
        <v>7.2590567327409428</v>
      </c>
      <c r="AC90" s="42">
        <f t="shared" si="84"/>
        <v>7.4313055365686935</v>
      </c>
      <c r="AD90" s="42">
        <f t="shared" si="84"/>
        <v>7.6035543403964443</v>
      </c>
      <c r="AE90" s="42">
        <f t="shared" si="84"/>
        <v>7.7758031442241951</v>
      </c>
      <c r="AF90" s="42">
        <f t="shared" si="84"/>
        <v>7.9480519480519458</v>
      </c>
      <c r="AG90" s="1">
        <f t="shared" ref="AG90:BA90" si="89">AG87*1/$D$22</f>
        <v>8.1203007518796984</v>
      </c>
      <c r="AH90" s="1">
        <f>AH87*1/$D$22</f>
        <v>7.4559125085440865</v>
      </c>
      <c r="AI90" s="1">
        <f t="shared" si="89"/>
        <v>7.3820915926179076</v>
      </c>
      <c r="AJ90" s="1">
        <f t="shared" si="89"/>
        <v>7.4066985645933006</v>
      </c>
      <c r="AK90" s="1">
        <f t="shared" si="89"/>
        <v>7.6035543403964452</v>
      </c>
      <c r="AL90" s="1">
        <f t="shared" si="89"/>
        <v>8.2679425837320561</v>
      </c>
      <c r="AM90" s="1">
        <f t="shared" si="89"/>
        <v>8.932330827067668</v>
      </c>
      <c r="AN90" s="1">
        <f t="shared" si="89"/>
        <v>9.5967190704032799</v>
      </c>
      <c r="AO90" s="1">
        <f t="shared" si="89"/>
        <v>10.236500341763499</v>
      </c>
      <c r="AP90" s="1">
        <f t="shared" si="89"/>
        <v>10.900888585099111</v>
      </c>
      <c r="AQ90" s="1">
        <f t="shared" si="89"/>
        <v>11.565276828434722</v>
      </c>
      <c r="AR90" s="1">
        <f t="shared" si="89"/>
        <v>11.220779220779219</v>
      </c>
      <c r="AS90" s="1">
        <f t="shared" si="89"/>
        <v>12.746411483253587</v>
      </c>
      <c r="AT90" s="1">
        <f t="shared" si="89"/>
        <v>13.213943950786055</v>
      </c>
      <c r="AU90" s="1">
        <f t="shared" si="89"/>
        <v>13.558441558441556</v>
      </c>
      <c r="AV90" s="1">
        <f t="shared" si="89"/>
        <v>13.066302118933697</v>
      </c>
      <c r="AW90" s="1">
        <f t="shared" si="89"/>
        <v>13.50922761449077</v>
      </c>
      <c r="AX90" s="1">
        <f t="shared" si="89"/>
        <v>14.222829801777168</v>
      </c>
      <c r="AY90" s="1">
        <f t="shared" si="89"/>
        <v>14.321257689678742</v>
      </c>
      <c r="AZ90" s="1">
        <f t="shared" si="89"/>
        <v>13.90293916609706</v>
      </c>
      <c r="BA90" s="1">
        <f t="shared" si="89"/>
        <v>13.746969466991111</v>
      </c>
      <c r="BB90" s="1">
        <f>BB87*1/$D$22</f>
        <v>13.667335037593983</v>
      </c>
      <c r="BC90" s="1">
        <f t="shared" ref="BC90:BI90" si="90">BC87*1/$D$22</f>
        <v>13.514179816814762</v>
      </c>
      <c r="BD90" s="1">
        <f t="shared" si="90"/>
        <v>12.921789933670539</v>
      </c>
      <c r="BE90" s="1">
        <f t="shared" si="90"/>
        <v>12.680750435499657</v>
      </c>
      <c r="BF90" s="1">
        <f t="shared" si="90"/>
        <v>12.402328428073819</v>
      </c>
      <c r="BG90" s="1">
        <f t="shared" si="90"/>
        <v>12.690097393269063</v>
      </c>
      <c r="BH90" s="1">
        <f t="shared" si="90"/>
        <v>12.056164289815447</v>
      </c>
      <c r="BI90" s="1">
        <f t="shared" si="90"/>
        <v>11.933775969719425</v>
      </c>
    </row>
    <row r="91" spans="1:61">
      <c r="A91" s="44" t="s">
        <v>25</v>
      </c>
      <c r="B91" s="44" t="s">
        <v>24</v>
      </c>
      <c r="C91" s="72">
        <f>C$76/$R$76*$R91</f>
        <v>549.81818181818176</v>
      </c>
      <c r="D91" s="42">
        <f t="shared" si="77"/>
        <v>528.25375494071136</v>
      </c>
      <c r="E91" s="42">
        <f t="shared" si="77"/>
        <v>506.68932806324102</v>
      </c>
      <c r="F91" s="42">
        <f t="shared" si="77"/>
        <v>485.12490118577068</v>
      </c>
      <c r="G91" s="42">
        <f t="shared" si="77"/>
        <v>463.56047430830034</v>
      </c>
      <c r="H91" s="72">
        <f>H$76/$R$76*$R91</f>
        <v>441.99604743083006</v>
      </c>
      <c r="I91" s="42">
        <f t="shared" si="78"/>
        <v>387.96047430830043</v>
      </c>
      <c r="J91" s="42">
        <f t="shared" si="78"/>
        <v>333.92490118577081</v>
      </c>
      <c r="K91" s="42">
        <f t="shared" si="78"/>
        <v>279.88932806324118</v>
      </c>
      <c r="L91" s="42">
        <f t="shared" si="78"/>
        <v>225.85375494071153</v>
      </c>
      <c r="M91" s="72">
        <f>M$76/$R$76*$R91</f>
        <v>171.81818181818181</v>
      </c>
      <c r="N91" s="41">
        <f t="shared" si="79"/>
        <v>150.05454545454546</v>
      </c>
      <c r="O91" s="41">
        <f t="shared" si="79"/>
        <v>128.29090909090911</v>
      </c>
      <c r="P91" s="41">
        <f t="shared" si="79"/>
        <v>106.52727272727275</v>
      </c>
      <c r="Q91" s="41">
        <f t="shared" si="79"/>
        <v>84.76363636363638</v>
      </c>
      <c r="R91" s="44">
        <f>R88</f>
        <v>63</v>
      </c>
      <c r="S91" s="42">
        <f t="shared" si="80"/>
        <v>63.2</v>
      </c>
      <c r="T91" s="42">
        <f t="shared" si="80"/>
        <v>63.400000000000006</v>
      </c>
      <c r="U91" s="42">
        <f t="shared" si="80"/>
        <v>63.600000000000009</v>
      </c>
      <c r="V91" s="42">
        <f t="shared" si="80"/>
        <v>63.800000000000011</v>
      </c>
      <c r="W91" s="44">
        <f>W88</f>
        <v>64</v>
      </c>
      <c r="X91" s="42">
        <f t="shared" si="81"/>
        <v>64.2</v>
      </c>
      <c r="Y91" s="42">
        <f t="shared" si="81"/>
        <v>64.400000000000006</v>
      </c>
      <c r="Z91" s="42">
        <f t="shared" si="81"/>
        <v>64.600000000000009</v>
      </c>
      <c r="AA91" s="42">
        <f t="shared" si="81"/>
        <v>64.800000000000011</v>
      </c>
      <c r="AB91" s="44">
        <f>AB88</f>
        <v>65</v>
      </c>
      <c r="AC91" s="42">
        <f t="shared" si="84"/>
        <v>68.400000000000006</v>
      </c>
      <c r="AD91" s="42">
        <f t="shared" si="84"/>
        <v>71.800000000000011</v>
      </c>
      <c r="AE91" s="42">
        <f t="shared" si="84"/>
        <v>75.200000000000017</v>
      </c>
      <c r="AF91" s="42">
        <f t="shared" si="84"/>
        <v>78.600000000000023</v>
      </c>
      <c r="AG91" s="44">
        <f t="shared" ref="AG91:BB91" si="91">AG88</f>
        <v>82</v>
      </c>
      <c r="AH91" s="44">
        <f t="shared" si="91"/>
        <v>82</v>
      </c>
      <c r="AI91" s="44">
        <f t="shared" si="91"/>
        <v>82</v>
      </c>
      <c r="AJ91" s="44">
        <f t="shared" si="91"/>
        <v>83</v>
      </c>
      <c r="AK91" s="44">
        <f t="shared" si="91"/>
        <v>74</v>
      </c>
      <c r="AL91" s="44">
        <f t="shared" si="91"/>
        <v>72</v>
      </c>
      <c r="AM91" s="44">
        <f t="shared" si="91"/>
        <v>71</v>
      </c>
      <c r="AN91" s="44">
        <f t="shared" si="91"/>
        <v>76</v>
      </c>
      <c r="AO91" s="44">
        <f t="shared" si="91"/>
        <v>76</v>
      </c>
      <c r="AP91" s="44">
        <f t="shared" si="91"/>
        <v>79</v>
      </c>
      <c r="AQ91" s="44">
        <f t="shared" si="91"/>
        <v>95</v>
      </c>
      <c r="AR91" s="44">
        <f t="shared" si="91"/>
        <v>97</v>
      </c>
      <c r="AS91" s="44">
        <f t="shared" si="91"/>
        <v>84</v>
      </c>
      <c r="AT91" s="44">
        <f t="shared" si="91"/>
        <v>75</v>
      </c>
      <c r="AU91" s="44">
        <f t="shared" si="91"/>
        <v>69</v>
      </c>
      <c r="AV91" s="44">
        <f t="shared" si="91"/>
        <v>65</v>
      </c>
      <c r="AW91" s="44">
        <f t="shared" si="91"/>
        <v>62</v>
      </c>
      <c r="AX91" s="44">
        <f t="shared" si="91"/>
        <v>62</v>
      </c>
      <c r="AY91" s="44">
        <f t="shared" si="91"/>
        <v>63</v>
      </c>
      <c r="AZ91" s="44">
        <f t="shared" si="91"/>
        <v>62</v>
      </c>
      <c r="BA91" s="110">
        <f t="shared" si="91"/>
        <v>63.474021</v>
      </c>
      <c r="BB91" s="110">
        <f t="shared" si="91"/>
        <v>63.450471</v>
      </c>
      <c r="BC91" s="110">
        <f t="shared" ref="BC91:BI91" si="92">BC88</f>
        <v>63.057507000000001</v>
      </c>
      <c r="BD91" s="110">
        <f t="shared" si="92"/>
        <v>66.036326000000003</v>
      </c>
      <c r="BE91" s="110">
        <f t="shared" si="92"/>
        <v>65.711447000000007</v>
      </c>
      <c r="BF91" s="110">
        <f t="shared" si="92"/>
        <v>62.467827</v>
      </c>
      <c r="BG91" s="110">
        <f t="shared" si="92"/>
        <v>60.212339999999998</v>
      </c>
      <c r="BH91" s="110">
        <f t="shared" si="92"/>
        <v>64.009735000000006</v>
      </c>
      <c r="BI91" s="110">
        <f t="shared" si="92"/>
        <v>65.463733000000005</v>
      </c>
    </row>
    <row r="92" spans="1:61" s="10" customFormat="1">
      <c r="A92" s="10" t="s">
        <v>3</v>
      </c>
      <c r="C92" s="24">
        <f>SUM(C89:C91)</f>
        <v>4051.4734977940716</v>
      </c>
      <c r="D92" s="41">
        <f t="shared" si="77"/>
        <v>4054.192970208489</v>
      </c>
      <c r="E92" s="41">
        <f t="shared" si="77"/>
        <v>4056.9124426229064</v>
      </c>
      <c r="F92" s="41">
        <f t="shared" si="77"/>
        <v>4059.6319150373238</v>
      </c>
      <c r="G92" s="41">
        <f t="shared" si="77"/>
        <v>4062.3513874517412</v>
      </c>
      <c r="H92" s="24">
        <f>SUM(H89:H91)</f>
        <v>4065.0708598661586</v>
      </c>
      <c r="I92" s="41">
        <f t="shared" si="78"/>
        <v>3997.8362815050564</v>
      </c>
      <c r="J92" s="41">
        <f t="shared" si="78"/>
        <v>3930.6017031439542</v>
      </c>
      <c r="K92" s="41">
        <f t="shared" si="78"/>
        <v>3863.367124782852</v>
      </c>
      <c r="L92" s="41">
        <f t="shared" si="78"/>
        <v>3796.1325464217498</v>
      </c>
      <c r="M92" s="24">
        <f>SUM(M89:M91)</f>
        <v>3728.8979680606476</v>
      </c>
      <c r="N92" s="41">
        <f t="shared" si="79"/>
        <v>3728.0042254396321</v>
      </c>
      <c r="O92" s="41">
        <f t="shared" si="79"/>
        <v>3727.1104828186167</v>
      </c>
      <c r="P92" s="41">
        <f t="shared" si="79"/>
        <v>3726.2167401976012</v>
      </c>
      <c r="Q92" s="41">
        <f t="shared" si="79"/>
        <v>3725.3229975765857</v>
      </c>
      <c r="R92" s="24">
        <f>SUM(R89:R91)</f>
        <v>3724.4292549555707</v>
      </c>
      <c r="S92" s="41">
        <f t="shared" si="80"/>
        <v>3774.3934381408067</v>
      </c>
      <c r="T92" s="41">
        <f t="shared" si="80"/>
        <v>3824.3576213260426</v>
      </c>
      <c r="U92" s="41">
        <f t="shared" si="80"/>
        <v>3874.3218045112785</v>
      </c>
      <c r="V92" s="41">
        <f t="shared" si="80"/>
        <v>3924.2859876965144</v>
      </c>
      <c r="W92" s="24">
        <f>SUM(W89:W91)</f>
        <v>3974.2501708817499</v>
      </c>
      <c r="X92" s="41">
        <f t="shared" si="81"/>
        <v>3815.8519480519481</v>
      </c>
      <c r="Y92" s="41">
        <f t="shared" si="81"/>
        <v>3657.4537252221462</v>
      </c>
      <c r="Z92" s="41">
        <f t="shared" si="81"/>
        <v>3499.0555023923444</v>
      </c>
      <c r="AA92" s="41">
        <f t="shared" si="81"/>
        <v>3340.6572795625425</v>
      </c>
      <c r="AB92" s="24">
        <f>SUM(AB89:AB91)</f>
        <v>3182.2590567327411</v>
      </c>
      <c r="AC92" s="41">
        <f t="shared" si="84"/>
        <v>3186.8313055365688</v>
      </c>
      <c r="AD92" s="41">
        <f t="shared" si="84"/>
        <v>3191.4035543403966</v>
      </c>
      <c r="AE92" s="41">
        <f t="shared" si="84"/>
        <v>3195.9758031442243</v>
      </c>
      <c r="AF92" s="41">
        <f t="shared" si="84"/>
        <v>3200.548051948052</v>
      </c>
      <c r="AG92" s="24">
        <f t="shared" ref="AG92:BB92" si="93">SUM(AG89:AG91)</f>
        <v>3205.1203007518798</v>
      </c>
      <c r="AH92" s="24">
        <f t="shared" si="93"/>
        <v>2995.4559125085439</v>
      </c>
      <c r="AI92" s="24">
        <f t="shared" si="93"/>
        <v>3094.3820915926181</v>
      </c>
      <c r="AJ92" s="24">
        <f t="shared" si="93"/>
        <v>3178.4066985645932</v>
      </c>
      <c r="AK92" s="24">
        <f t="shared" si="93"/>
        <v>3415.6035543403964</v>
      </c>
      <c r="AL92" s="24">
        <f t="shared" si="93"/>
        <v>3560.2679425837318</v>
      </c>
      <c r="AM92" s="24">
        <f t="shared" si="93"/>
        <v>3658.9323308270677</v>
      </c>
      <c r="AN92" s="24">
        <f t="shared" si="93"/>
        <v>3660.5967190704032</v>
      </c>
      <c r="AO92" s="24">
        <f t="shared" si="93"/>
        <v>3669.2365003417635</v>
      </c>
      <c r="AP92" s="24">
        <f t="shared" si="93"/>
        <v>3804.900888585099</v>
      </c>
      <c r="AQ92" s="24">
        <f t="shared" si="93"/>
        <v>3806.5652768284349</v>
      </c>
      <c r="AR92" s="24">
        <f t="shared" si="93"/>
        <v>3818.2207792207791</v>
      </c>
      <c r="AS92" s="24">
        <f t="shared" si="93"/>
        <v>3826.7464114832537</v>
      </c>
      <c r="AT92" s="24">
        <f t="shared" si="93"/>
        <v>3914.213943950786</v>
      </c>
      <c r="AU92" s="24">
        <f t="shared" si="93"/>
        <v>4141.5584415584417</v>
      </c>
      <c r="AV92" s="24">
        <f t="shared" si="93"/>
        <v>4176.0663021189339</v>
      </c>
      <c r="AW92" s="24">
        <f t="shared" si="93"/>
        <v>4267.5092276144906</v>
      </c>
      <c r="AX92" s="24">
        <f t="shared" si="93"/>
        <v>4138.2228298017772</v>
      </c>
      <c r="AY92" s="24">
        <f t="shared" si="93"/>
        <v>3963.3212576896785</v>
      </c>
      <c r="AZ92" s="24">
        <f t="shared" si="93"/>
        <v>3267.902939166097</v>
      </c>
      <c r="BA92" s="24">
        <f t="shared" si="93"/>
        <v>3571.2209904669912</v>
      </c>
      <c r="BB92" s="24">
        <f t="shared" si="93"/>
        <v>3762.1178060375942</v>
      </c>
    </row>
    <row r="93" spans="1:61" s="10" customFormat="1">
      <c r="D93" s="75"/>
      <c r="E93" s="75"/>
      <c r="F93" s="75"/>
      <c r="G93" s="75"/>
      <c r="I93" s="75"/>
      <c r="J93" s="75"/>
      <c r="K93" s="75"/>
      <c r="L93" s="75"/>
      <c r="R93" s="24"/>
      <c r="W93" s="24"/>
      <c r="AB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</row>
    <row r="94" spans="1:61" s="10" customFormat="1">
      <c r="A94" s="10" t="s">
        <v>23</v>
      </c>
      <c r="B94" s="10" t="s">
        <v>88</v>
      </c>
      <c r="C94" s="32">
        <f>C75/C86</f>
        <v>8.134565405717586</v>
      </c>
      <c r="D94" s="76">
        <f t="shared" ref="D94:G95" si="94">C94+($H94-$C94)/5</f>
        <v>8.1410598969571417</v>
      </c>
      <c r="E94" s="76">
        <f t="shared" si="94"/>
        <v>8.1475543881966974</v>
      </c>
      <c r="F94" s="76">
        <f t="shared" si="94"/>
        <v>8.1540488794362531</v>
      </c>
      <c r="G94" s="76">
        <f t="shared" si="94"/>
        <v>8.1605433706758088</v>
      </c>
      <c r="H94" s="32">
        <f>H75/H86</f>
        <v>8.1670378619153681</v>
      </c>
      <c r="I94" s="76">
        <f t="shared" si="78"/>
        <v>8.2199490483475266</v>
      </c>
      <c r="J94" s="76">
        <f t="shared" si="78"/>
        <v>8.2728602347796851</v>
      </c>
      <c r="K94" s="76">
        <f t="shared" si="78"/>
        <v>8.3257714212118437</v>
      </c>
      <c r="L94" s="76">
        <f t="shared" si="78"/>
        <v>8.3786826076440022</v>
      </c>
      <c r="M94" s="32">
        <f>M75/M86</f>
        <v>8.4315937940761643</v>
      </c>
      <c r="N94" s="76">
        <f t="shared" ref="N94:Q99" si="95">M94+($R94-$M94)/5</f>
        <v>8.2577716171586619</v>
      </c>
      <c r="O94" s="76">
        <f t="shared" si="95"/>
        <v>8.0839494402411596</v>
      </c>
      <c r="P94" s="76">
        <f t="shared" si="95"/>
        <v>7.9101272633236572</v>
      </c>
      <c r="Q94" s="76">
        <f t="shared" si="95"/>
        <v>7.7363050864061549</v>
      </c>
      <c r="R94" s="32">
        <f>R75/R86</f>
        <v>7.5624829094886517</v>
      </c>
      <c r="S94" s="76">
        <f t="shared" ref="S94:V95" si="96">R94+($W94-$R94)/5</f>
        <v>7.5498326390663308</v>
      </c>
      <c r="T94" s="76">
        <f t="shared" si="96"/>
        <v>7.53718236864401</v>
      </c>
      <c r="U94" s="76">
        <f t="shared" si="96"/>
        <v>7.5245320982216892</v>
      </c>
      <c r="V94" s="76">
        <f t="shared" si="96"/>
        <v>7.5118818277993684</v>
      </c>
      <c r="W94" s="32">
        <f>W75/W86</f>
        <v>7.4992315573770494</v>
      </c>
      <c r="X94" s="76">
        <f t="shared" ref="X94:AA95" si="97">W94+($AB94-$W94)/5</f>
        <v>7.601957593168521</v>
      </c>
      <c r="Y94" s="76">
        <f t="shared" si="97"/>
        <v>7.7046836289599927</v>
      </c>
      <c r="Z94" s="76">
        <f t="shared" si="97"/>
        <v>7.8074096647514644</v>
      </c>
      <c r="AA94" s="76">
        <f t="shared" si="97"/>
        <v>7.910135700542936</v>
      </c>
      <c r="AB94" s="32">
        <f>AB75/AB86</f>
        <v>8.0128617363344059</v>
      </c>
      <c r="AC94" s="76">
        <f>AB94+($AB94-$W94)/5</f>
        <v>8.1155877721258776</v>
      </c>
      <c r="AD94" s="76">
        <f>AC94+($AB94-$W94)/5</f>
        <v>8.2183138079173492</v>
      </c>
      <c r="AE94" s="76">
        <f>AD94+($AB94-$W94)/5</f>
        <v>8.3210398437088209</v>
      </c>
      <c r="AF94" s="76">
        <f>AE94+($AB94-$W94)/5</f>
        <v>8.4237658795002925</v>
      </c>
      <c r="AG94" s="32">
        <f t="shared" ref="AG94:BB94" si="98">AG75/AG86</f>
        <v>8.3977528089887645</v>
      </c>
      <c r="AH94" s="32">
        <f t="shared" si="98"/>
        <v>8.8189951823812809</v>
      </c>
      <c r="AI94" s="32">
        <f t="shared" si="98"/>
        <v>8.694841930116473</v>
      </c>
      <c r="AJ94" s="32">
        <f t="shared" si="98"/>
        <v>8.7056347150259068</v>
      </c>
      <c r="AK94" s="32">
        <f t="shared" si="98"/>
        <v>8.5437912417516504</v>
      </c>
      <c r="AL94" s="32">
        <f t="shared" si="98"/>
        <v>8.730747126436782</v>
      </c>
      <c r="AM94" s="32">
        <f t="shared" si="98"/>
        <v>8.8614138027381948</v>
      </c>
      <c r="AN94" s="32">
        <f t="shared" si="98"/>
        <v>8.8559440559440556</v>
      </c>
      <c r="AO94" s="32">
        <f t="shared" si="98"/>
        <v>9.1144292492324865</v>
      </c>
      <c r="AP94" s="32">
        <f t="shared" si="98"/>
        <v>9.1119784656796767</v>
      </c>
      <c r="AQ94" s="32">
        <f t="shared" si="98"/>
        <v>9.3486486486486484</v>
      </c>
      <c r="AR94" s="32">
        <f t="shared" si="98"/>
        <v>9.2299191374663074</v>
      </c>
      <c r="AS94" s="32">
        <f t="shared" si="98"/>
        <v>9.2975871313672922</v>
      </c>
      <c r="AT94" s="32">
        <f t="shared" si="98"/>
        <v>9.2929952953476214</v>
      </c>
      <c r="AU94" s="32">
        <f t="shared" si="98"/>
        <v>9.1330376940133036</v>
      </c>
      <c r="AV94" s="32">
        <f t="shared" si="98"/>
        <v>9.202537823328452</v>
      </c>
      <c r="AW94" s="32">
        <f t="shared" si="98"/>
        <v>9.2927003816793885</v>
      </c>
      <c r="AX94" s="32">
        <f t="shared" si="98"/>
        <v>9.4007877892663707</v>
      </c>
      <c r="AY94" s="32">
        <f t="shared" si="98"/>
        <v>9.5795162120432327</v>
      </c>
      <c r="AZ94" s="32">
        <f t="shared" si="98"/>
        <v>10.061090225563909</v>
      </c>
      <c r="BA94" s="32">
        <f t="shared" si="98"/>
        <v>10.172009158557527</v>
      </c>
      <c r="BB94" s="32">
        <f t="shared" si="98"/>
        <v>9.9454545454545453</v>
      </c>
    </row>
    <row r="95" spans="1:61" s="10" customFormat="1">
      <c r="A95" s="10" t="s">
        <v>25</v>
      </c>
      <c r="B95" s="10" t="s">
        <v>88</v>
      </c>
      <c r="C95" s="74">
        <v>3.75</v>
      </c>
      <c r="D95" s="76">
        <f t="shared" si="94"/>
        <v>3.75</v>
      </c>
      <c r="E95" s="76">
        <f t="shared" si="94"/>
        <v>3.75</v>
      </c>
      <c r="F95" s="76">
        <f t="shared" si="94"/>
        <v>3.75</v>
      </c>
      <c r="G95" s="76">
        <f t="shared" si="94"/>
        <v>3.75</v>
      </c>
      <c r="H95" s="74">
        <v>3.75</v>
      </c>
      <c r="I95" s="76">
        <f t="shared" si="78"/>
        <v>3.75</v>
      </c>
      <c r="J95" s="76">
        <f t="shared" si="78"/>
        <v>3.75</v>
      </c>
      <c r="K95" s="76">
        <f t="shared" si="78"/>
        <v>3.75</v>
      </c>
      <c r="L95" s="76">
        <f t="shared" si="78"/>
        <v>3.75</v>
      </c>
      <c r="M95" s="74">
        <v>3.75</v>
      </c>
      <c r="N95" s="76">
        <f t="shared" si="95"/>
        <v>3.7504161218055936</v>
      </c>
      <c r="O95" s="76">
        <f t="shared" si="95"/>
        <v>3.7508322436111872</v>
      </c>
      <c r="P95" s="76">
        <f t="shared" si="95"/>
        <v>3.7512483654167808</v>
      </c>
      <c r="Q95" s="76">
        <f t="shared" si="95"/>
        <v>3.7516644872223743</v>
      </c>
      <c r="R95" s="32">
        <f>R76/(R90+R91)</f>
        <v>3.7520806090279679</v>
      </c>
      <c r="S95" s="76">
        <f t="shared" si="96"/>
        <v>3.6707020057091806</v>
      </c>
      <c r="T95" s="76">
        <f t="shared" si="96"/>
        <v>3.5893234023903933</v>
      </c>
      <c r="U95" s="76">
        <f t="shared" si="96"/>
        <v>3.5079447990716059</v>
      </c>
      <c r="V95" s="76">
        <f t="shared" si="96"/>
        <v>3.4265661957528186</v>
      </c>
      <c r="W95" s="32">
        <f>W76/(W90+W91)</f>
        <v>3.3451875924340317</v>
      </c>
      <c r="X95" s="76">
        <f t="shared" si="97"/>
        <v>3.3708726771728794</v>
      </c>
      <c r="Y95" s="76">
        <f t="shared" si="97"/>
        <v>3.3965577619117271</v>
      </c>
      <c r="Z95" s="76">
        <f t="shared" si="97"/>
        <v>3.4222428466505748</v>
      </c>
      <c r="AA95" s="76">
        <f t="shared" si="97"/>
        <v>3.4479279313894224</v>
      </c>
      <c r="AB95" s="32">
        <f>AB76/(AB90+AB91)</f>
        <v>3.4736130161282692</v>
      </c>
      <c r="AC95" s="76">
        <f t="shared" ref="AC95:AF99" si="99">AB95+($AB95-$W95)/5</f>
        <v>3.4992981008671169</v>
      </c>
      <c r="AD95" s="76">
        <f t="shared" si="99"/>
        <v>3.5249831856059646</v>
      </c>
      <c r="AE95" s="76">
        <f t="shared" si="99"/>
        <v>3.5506682703448122</v>
      </c>
      <c r="AF95" s="76">
        <f t="shared" si="99"/>
        <v>3.5763533550836599</v>
      </c>
      <c r="AG95" s="32">
        <f t="shared" ref="AG95:BB95" si="100">AG76/(AG90+AG91)</f>
        <v>3.3399799766394129</v>
      </c>
      <c r="AH95" s="32">
        <f t="shared" si="100"/>
        <v>3.4989302688081665</v>
      </c>
      <c r="AI95" s="32">
        <f t="shared" si="100"/>
        <v>3.4346925041677498</v>
      </c>
      <c r="AJ95" s="32">
        <f t="shared" si="100"/>
        <v>3.3515215665519982</v>
      </c>
      <c r="AK95" s="32">
        <f t="shared" si="100"/>
        <v>3.7253279278977436</v>
      </c>
      <c r="AL95" s="32">
        <f t="shared" si="100"/>
        <v>3.6378159275154984</v>
      </c>
      <c r="AM95" s="32">
        <f t="shared" si="100"/>
        <v>3.4529207036026714</v>
      </c>
      <c r="AN95" s="32">
        <f t="shared" si="100"/>
        <v>3.3646149423451623</v>
      </c>
      <c r="AO95" s="32">
        <f t="shared" si="100"/>
        <v>3.6179575790241274</v>
      </c>
      <c r="AP95" s="32">
        <f t="shared" si="100"/>
        <v>3.8041893176202244</v>
      </c>
      <c r="AQ95" s="32">
        <f t="shared" si="100"/>
        <v>3.4532824476443991</v>
      </c>
      <c r="AR95" s="32">
        <f t="shared" si="100"/>
        <v>3.4928597143885756</v>
      </c>
      <c r="AS95" s="32">
        <f t="shared" si="100"/>
        <v>3.9174579624134522</v>
      </c>
      <c r="AT95" s="32">
        <f t="shared" si="100"/>
        <v>3.7635773340461967</v>
      </c>
      <c r="AU95" s="32">
        <f t="shared" si="100"/>
        <v>3.7306905773163441</v>
      </c>
      <c r="AV95" s="32">
        <f t="shared" si="100"/>
        <v>3.3945504373484168</v>
      </c>
      <c r="AW95" s="32">
        <f t="shared" si="100"/>
        <v>3.4962614284421112</v>
      </c>
      <c r="AX95" s="32">
        <f t="shared" si="100"/>
        <v>3.502887529816884</v>
      </c>
      <c r="AY95" s="32">
        <f t="shared" si="100"/>
        <v>3.5177906843114894</v>
      </c>
      <c r="AZ95" s="32">
        <f t="shared" si="100"/>
        <v>3.728445869279398</v>
      </c>
      <c r="BA95" s="32">
        <f t="shared" si="100"/>
        <v>3.8202048201661012</v>
      </c>
      <c r="BB95" s="32">
        <f t="shared" si="100"/>
        <v>3.8382834679672246</v>
      </c>
    </row>
    <row r="96" spans="1:61" s="10" customFormat="1">
      <c r="A96" s="10" t="s">
        <v>98</v>
      </c>
      <c r="B96" s="10" t="s">
        <v>88</v>
      </c>
      <c r="C96" s="73">
        <f>C77/C92</f>
        <v>7.4980127641313903</v>
      </c>
      <c r="D96" s="73">
        <f t="shared" ref="D96:BB96" si="101">D77/D92</f>
        <v>7.5291433398223901</v>
      </c>
      <c r="E96" s="73">
        <f t="shared" si="101"/>
        <v>7.5602321799605354</v>
      </c>
      <c r="F96" s="73">
        <f t="shared" si="101"/>
        <v>7.5912793684194542</v>
      </c>
      <c r="G96" s="73">
        <f t="shared" si="101"/>
        <v>7.6222849888481825</v>
      </c>
      <c r="H96" s="73">
        <f t="shared" si="101"/>
        <v>7.6532491246719179</v>
      </c>
      <c r="I96" s="73">
        <f t="shared" si="101"/>
        <v>7.7553951229657887</v>
      </c>
      <c r="J96" s="73">
        <f t="shared" si="101"/>
        <v>7.8610356209038583</v>
      </c>
      <c r="K96" s="73">
        <f t="shared" si="101"/>
        <v>7.9703530639042608</v>
      </c>
      <c r="L96" s="73">
        <f t="shared" si="101"/>
        <v>8.0835428227934081</v>
      </c>
      <c r="M96" s="73">
        <f t="shared" si="101"/>
        <v>8.2008143590757108</v>
      </c>
      <c r="N96" s="73">
        <f t="shared" si="101"/>
        <v>8.0594865732634169</v>
      </c>
      <c r="O96" s="73">
        <f t="shared" si="101"/>
        <v>7.9180910080459794</v>
      </c>
      <c r="P96" s="73">
        <f t="shared" si="101"/>
        <v>7.7766276146522078</v>
      </c>
      <c r="Q96" s="73">
        <f t="shared" si="101"/>
        <v>7.6350963442641078</v>
      </c>
      <c r="R96" s="73">
        <f>R77/R92</f>
        <v>7.493497148016826</v>
      </c>
      <c r="S96" s="73">
        <f t="shared" si="101"/>
        <v>7.4792414894366059</v>
      </c>
      <c r="T96" s="73">
        <f t="shared" si="101"/>
        <v>7.4653583233935672</v>
      </c>
      <c r="U96" s="73">
        <f t="shared" si="101"/>
        <v>7.4518332386284225</v>
      </c>
      <c r="V96" s="73">
        <f t="shared" si="101"/>
        <v>7.4386525578210527</v>
      </c>
      <c r="W96" s="73">
        <f t="shared" si="101"/>
        <v>7.4258032914551775</v>
      </c>
      <c r="X96" s="73">
        <f t="shared" si="101"/>
        <v>7.5065281331533598</v>
      </c>
      <c r="Y96" s="73">
        <f t="shared" si="101"/>
        <v>7.5942450914571626</v>
      </c>
      <c r="Z96" s="73">
        <f t="shared" si="101"/>
        <v>7.6899037416248754</v>
      </c>
      <c r="AA96" s="73">
        <f t="shared" si="101"/>
        <v>7.7946337564474195</v>
      </c>
      <c r="AB96" s="73">
        <f t="shared" si="101"/>
        <v>7.9097897283834993</v>
      </c>
      <c r="AC96" s="73">
        <f t="shared" si="101"/>
        <v>7.9793367022038009</v>
      </c>
      <c r="AD96" s="73">
        <f t="shared" si="101"/>
        <v>8.0486843993970982</v>
      </c>
      <c r="AE96" s="73">
        <f t="shared" si="101"/>
        <v>8.1178336752348716</v>
      </c>
      <c r="AF96" s="73">
        <f t="shared" si="101"/>
        <v>8.1867853801012966</v>
      </c>
      <c r="AG96" s="73">
        <f t="shared" si="101"/>
        <v>8.2555403595281049</v>
      </c>
      <c r="AH96" s="73">
        <f t="shared" si="101"/>
        <v>8.6601174437836121</v>
      </c>
      <c r="AI96" s="73">
        <f t="shared" si="101"/>
        <v>8.5429010437409882</v>
      </c>
      <c r="AJ96" s="73">
        <f t="shared" si="101"/>
        <v>8.5533421548216371</v>
      </c>
      <c r="AK96" s="73">
        <f t="shared" si="101"/>
        <v>8.4286714022815161</v>
      </c>
      <c r="AL96" s="73">
        <f t="shared" si="101"/>
        <v>8.6159245581215327</v>
      </c>
      <c r="AM96" s="73">
        <f t="shared" si="101"/>
        <v>8.7432609044094374</v>
      </c>
      <c r="AN96" s="73">
        <f t="shared" si="101"/>
        <v>8.7275388281812951</v>
      </c>
      <c r="AO96" s="73">
        <f t="shared" si="101"/>
        <v>8.9852480201069547</v>
      </c>
      <c r="AP96" s="73">
        <f t="shared" si="101"/>
        <v>8.9865678505794406</v>
      </c>
      <c r="AQ96" s="73">
        <f t="shared" si="101"/>
        <v>9.1836071255098535</v>
      </c>
      <c r="AR96" s="73">
        <f t="shared" si="101"/>
        <v>9.0673122383104943</v>
      </c>
      <c r="AS96" s="73">
        <f t="shared" si="101"/>
        <v>9.1615686617737158</v>
      </c>
      <c r="AT96" s="73">
        <f t="shared" si="101"/>
        <v>9.1683797855407185</v>
      </c>
      <c r="AU96" s="73">
        <f t="shared" si="101"/>
        <v>9.025346503606146</v>
      </c>
      <c r="AV96" s="73">
        <f t="shared" si="101"/>
        <v>9.0939648110305367</v>
      </c>
      <c r="AW96" s="73">
        <f t="shared" si="101"/>
        <v>9.1901383003975745</v>
      </c>
      <c r="AX96" s="73">
        <f t="shared" si="101"/>
        <v>9.2921530766969163</v>
      </c>
      <c r="AY96" s="73">
        <f t="shared" si="101"/>
        <v>9.4612567495622457</v>
      </c>
      <c r="AZ96" s="73">
        <f t="shared" si="101"/>
        <v>9.9140031399669777</v>
      </c>
      <c r="BA96" s="73">
        <f t="shared" si="101"/>
        <v>10.03466324141254</v>
      </c>
      <c r="BB96" s="73">
        <f t="shared" si="101"/>
        <v>9.820266643620041</v>
      </c>
    </row>
    <row r="97" spans="1:61">
      <c r="D97" s="76"/>
      <c r="E97" s="76"/>
      <c r="F97" s="76"/>
      <c r="G97" s="76"/>
      <c r="I97" s="76"/>
      <c r="J97" s="76"/>
      <c r="K97" s="76"/>
      <c r="L97" s="76"/>
    </row>
    <row r="98" spans="1:61" s="10" customFormat="1">
      <c r="A98" s="10" t="s">
        <v>23</v>
      </c>
      <c r="B98" s="10" t="s">
        <v>90</v>
      </c>
      <c r="C98" s="32">
        <f>C79/C89</f>
        <v>0.11666185388391569</v>
      </c>
      <c r="D98" s="76">
        <f t="shared" ref="D98:G99" si="102">C98+($H98-$C98)/5</f>
        <v>0.11677046306258912</v>
      </c>
      <c r="E98" s="76">
        <f t="shared" si="102"/>
        <v>0.11687907224126255</v>
      </c>
      <c r="F98" s="76">
        <f t="shared" si="102"/>
        <v>0.11698768141993598</v>
      </c>
      <c r="G98" s="76">
        <f t="shared" si="102"/>
        <v>0.11709629059860942</v>
      </c>
      <c r="H98" s="32">
        <f>H79/H89</f>
        <v>0.11720489977728285</v>
      </c>
      <c r="I98" s="76">
        <f t="shared" si="78"/>
        <v>0.11785418780490103</v>
      </c>
      <c r="J98" s="76">
        <f t="shared" si="78"/>
        <v>0.11850347583251922</v>
      </c>
      <c r="K98" s="76">
        <f t="shared" si="78"/>
        <v>0.1191527638601374</v>
      </c>
      <c r="L98" s="76">
        <f t="shared" si="78"/>
        <v>0.11980205188775558</v>
      </c>
      <c r="M98" s="32">
        <f>M79/M89</f>
        <v>0.12045133991537377</v>
      </c>
      <c r="N98" s="76">
        <f t="shared" si="95"/>
        <v>0.11840099536680818</v>
      </c>
      <c r="O98" s="76">
        <f t="shared" si="95"/>
        <v>0.11635065081824258</v>
      </c>
      <c r="P98" s="76">
        <f t="shared" si="95"/>
        <v>0.11430030626967699</v>
      </c>
      <c r="Q98" s="76">
        <f t="shared" si="95"/>
        <v>0.1122499617211114</v>
      </c>
      <c r="R98" s="32">
        <f>R79/R89</f>
        <v>0.1101996171725458</v>
      </c>
      <c r="S98" s="76">
        <f t="shared" ref="S98:V99" si="103">R98+($W98-$R98)/5</f>
        <v>0.11008592324623336</v>
      </c>
      <c r="T98" s="76">
        <f t="shared" si="103"/>
        <v>0.10997222931992091</v>
      </c>
      <c r="U98" s="76">
        <f t="shared" si="103"/>
        <v>0.10985853539360847</v>
      </c>
      <c r="V98" s="76">
        <f t="shared" si="103"/>
        <v>0.10974484146729603</v>
      </c>
      <c r="W98" s="32">
        <f>W79/W89</f>
        <v>0.1096311475409836</v>
      </c>
      <c r="X98" s="76">
        <f t="shared" ref="X98:AA99" si="104">W98+($AB98-$W98)/5</f>
        <v>0.11002003057297981</v>
      </c>
      <c r="Y98" s="76">
        <f t="shared" si="104"/>
        <v>0.11040891360497601</v>
      </c>
      <c r="Z98" s="76">
        <f t="shared" si="104"/>
        <v>0.11079779663697222</v>
      </c>
      <c r="AA98" s="76">
        <f t="shared" si="104"/>
        <v>0.11118667966896842</v>
      </c>
      <c r="AB98" s="32">
        <f>AB79/AB89</f>
        <v>0.11157556270096464</v>
      </c>
      <c r="AC98" s="76">
        <f t="shared" si="99"/>
        <v>0.11196444573296084</v>
      </c>
      <c r="AD98" s="76">
        <f t="shared" si="99"/>
        <v>0.11235332876495704</v>
      </c>
      <c r="AE98" s="76">
        <f t="shared" si="99"/>
        <v>0.11274221179695325</v>
      </c>
      <c r="AF98" s="76">
        <f t="shared" si="99"/>
        <v>0.11313109482894945</v>
      </c>
      <c r="AG98" s="32">
        <f t="shared" ref="AG98:BB98" si="105">AG79/AG89</f>
        <v>0.12199036918138041</v>
      </c>
      <c r="AH98" s="32">
        <f t="shared" si="105"/>
        <v>0.12904335856847901</v>
      </c>
      <c r="AI98" s="32">
        <f t="shared" si="105"/>
        <v>0.12978369384359401</v>
      </c>
      <c r="AJ98" s="32">
        <f t="shared" si="105"/>
        <v>0.13115284974093264</v>
      </c>
      <c r="AK98" s="32">
        <f t="shared" si="105"/>
        <v>0.13227354529094182</v>
      </c>
      <c r="AL98" s="32">
        <f t="shared" si="105"/>
        <v>0.13160919540229885</v>
      </c>
      <c r="AM98" s="32">
        <f t="shared" si="105"/>
        <v>0.13104219055602123</v>
      </c>
      <c r="AN98" s="32">
        <f t="shared" si="105"/>
        <v>0.13286713286713286</v>
      </c>
      <c r="AO98" s="32">
        <f t="shared" si="105"/>
        <v>0.13257047167178343</v>
      </c>
      <c r="AP98" s="32">
        <f t="shared" si="105"/>
        <v>0.13189771197846567</v>
      </c>
      <c r="AQ98" s="32">
        <f t="shared" si="105"/>
        <v>0.13621621621621621</v>
      </c>
      <c r="AR98" s="32">
        <f t="shared" si="105"/>
        <v>0.13477088948787061</v>
      </c>
      <c r="AS98" s="32">
        <f t="shared" si="105"/>
        <v>0.13404825737265416</v>
      </c>
      <c r="AT98" s="32">
        <f t="shared" si="105"/>
        <v>0.13486670151594354</v>
      </c>
      <c r="AU98" s="32">
        <f t="shared" si="105"/>
        <v>0.13180586351318058</v>
      </c>
      <c r="AV98" s="32">
        <f t="shared" si="105"/>
        <v>0.13372376769155686</v>
      </c>
      <c r="AW98" s="32">
        <f t="shared" si="105"/>
        <v>0.13430343511450382</v>
      </c>
      <c r="AX98" s="32">
        <f t="shared" si="105"/>
        <v>0.13367799113737075</v>
      </c>
      <c r="AY98" s="32">
        <f t="shared" si="105"/>
        <v>0.13484302624806999</v>
      </c>
      <c r="AZ98" s="32">
        <f t="shared" si="105"/>
        <v>0.13659147869674185</v>
      </c>
      <c r="BA98" s="32">
        <f t="shared" si="105"/>
        <v>0.13623354321694334</v>
      </c>
      <c r="BB98" s="32">
        <f t="shared" si="105"/>
        <v>0.13387001356852102</v>
      </c>
    </row>
    <row r="99" spans="1:61" s="10" customFormat="1">
      <c r="A99" s="10" t="s">
        <v>25</v>
      </c>
      <c r="B99" s="10" t="s">
        <v>90</v>
      </c>
      <c r="C99" s="74">
        <v>0.44</v>
      </c>
      <c r="D99" s="76">
        <f t="shared" si="102"/>
        <v>0.44</v>
      </c>
      <c r="E99" s="76">
        <f t="shared" si="102"/>
        <v>0.44</v>
      </c>
      <c r="F99" s="76">
        <f t="shared" si="102"/>
        <v>0.44</v>
      </c>
      <c r="G99" s="76">
        <f t="shared" si="102"/>
        <v>0.44</v>
      </c>
      <c r="H99" s="74">
        <v>0.44</v>
      </c>
      <c r="I99" s="76">
        <f t="shared" si="78"/>
        <v>0.44</v>
      </c>
      <c r="J99" s="76">
        <f t="shared" si="78"/>
        <v>0.44</v>
      </c>
      <c r="K99" s="76">
        <f t="shared" si="78"/>
        <v>0.44</v>
      </c>
      <c r="L99" s="76">
        <f t="shared" si="78"/>
        <v>0.44</v>
      </c>
      <c r="M99" s="74">
        <v>0.44</v>
      </c>
      <c r="N99" s="76">
        <f t="shared" si="95"/>
        <v>0.4409821488307028</v>
      </c>
      <c r="O99" s="76">
        <f t="shared" si="95"/>
        <v>0.4419642976614056</v>
      </c>
      <c r="P99" s="76">
        <f t="shared" si="95"/>
        <v>0.4429464464921084</v>
      </c>
      <c r="Q99" s="76">
        <f t="shared" si="95"/>
        <v>0.4439285953228112</v>
      </c>
      <c r="R99" s="32">
        <f>R80/(R90+R91)</f>
        <v>0.444910744153514</v>
      </c>
      <c r="S99" s="76">
        <f t="shared" si="103"/>
        <v>0.44133764023602051</v>
      </c>
      <c r="T99" s="76">
        <f t="shared" si="103"/>
        <v>0.43776453631852702</v>
      </c>
      <c r="U99" s="76">
        <f t="shared" si="103"/>
        <v>0.43419143240103353</v>
      </c>
      <c r="V99" s="76">
        <f t="shared" si="103"/>
        <v>0.43061832848354004</v>
      </c>
      <c r="W99" s="32">
        <f>W80/(W90+W91)</f>
        <v>0.4270452245660466</v>
      </c>
      <c r="X99" s="76">
        <f t="shared" si="104"/>
        <v>0.4246707537435529</v>
      </c>
      <c r="Y99" s="76">
        <f t="shared" si="104"/>
        <v>0.4222962829210592</v>
      </c>
      <c r="Z99" s="76">
        <f t="shared" si="104"/>
        <v>0.41992181209856549</v>
      </c>
      <c r="AA99" s="76">
        <f t="shared" si="104"/>
        <v>0.41754734127607179</v>
      </c>
      <c r="AB99" s="32">
        <f>AB80/(AB90+AB91)</f>
        <v>0.41517287045357804</v>
      </c>
      <c r="AC99" s="76">
        <f t="shared" si="99"/>
        <v>0.41279839963108433</v>
      </c>
      <c r="AD99" s="76">
        <f t="shared" si="99"/>
        <v>0.41042392880859063</v>
      </c>
      <c r="AE99" s="76">
        <f t="shared" si="99"/>
        <v>0.40804945798609693</v>
      </c>
      <c r="AF99" s="76">
        <f t="shared" si="99"/>
        <v>0.40567498716360323</v>
      </c>
      <c r="AG99" s="32">
        <f>AG80/(AG90/0.4+AG91)</f>
        <v>0.32257827429075409</v>
      </c>
      <c r="AH99" s="32">
        <f t="shared" ref="AH99:BB99" si="106">AH80/(AH90+AH91)</f>
        <v>0.38007549245839511</v>
      </c>
      <c r="AI99" s="32">
        <f t="shared" si="106"/>
        <v>0.38038939785571174</v>
      </c>
      <c r="AJ99" s="32">
        <f t="shared" si="106"/>
        <v>0.38713945488224399</v>
      </c>
      <c r="AK99" s="32">
        <f t="shared" si="106"/>
        <v>0.41664851825172133</v>
      </c>
      <c r="AL99" s="32">
        <f t="shared" si="106"/>
        <v>0.39866475917978067</v>
      </c>
      <c r="AM99" s="32">
        <f t="shared" si="106"/>
        <v>0.37531746778289904</v>
      </c>
      <c r="AN99" s="32">
        <f t="shared" si="106"/>
        <v>0.37384610470501806</v>
      </c>
      <c r="AO99" s="32">
        <f t="shared" si="106"/>
        <v>0.38266859008909038</v>
      </c>
      <c r="AP99" s="32">
        <f t="shared" si="106"/>
        <v>0.37819425964645503</v>
      </c>
      <c r="AQ99" s="32">
        <f t="shared" si="106"/>
        <v>0.32843718931400534</v>
      </c>
      <c r="AR99" s="32">
        <f t="shared" si="106"/>
        <v>0.33265330613224531</v>
      </c>
      <c r="AS99" s="32">
        <f t="shared" si="106"/>
        <v>0.3927794263105836</v>
      </c>
      <c r="AT99" s="32">
        <f>AT80/(AT90+AT91)</f>
        <v>0.41943482337261828</v>
      </c>
      <c r="AU99" s="32">
        <f t="shared" si="106"/>
        <v>0.44816737454774264</v>
      </c>
      <c r="AV99" s="32">
        <f t="shared" si="106"/>
        <v>0.46114647450770946</v>
      </c>
      <c r="AW99" s="32">
        <f t="shared" si="106"/>
        <v>0.47676292206028786</v>
      </c>
      <c r="AX99" s="32">
        <f t="shared" si="106"/>
        <v>0.48541887117312627</v>
      </c>
      <c r="AY99" s="32">
        <f t="shared" si="106"/>
        <v>0.49145605148469335</v>
      </c>
      <c r="AZ99" s="32">
        <f t="shared" si="106"/>
        <v>0.50063937467355879</v>
      </c>
      <c r="BA99" s="32">
        <f t="shared" si="106"/>
        <v>0.47914433337676526</v>
      </c>
      <c r="BB99" s="32">
        <f t="shared" si="106"/>
        <v>0.48095247914494721</v>
      </c>
    </row>
    <row r="100" spans="1:61" s="10" customFormat="1">
      <c r="B100" s="10" t="s">
        <v>138</v>
      </c>
      <c r="C100" s="106">
        <f>(C79+C80*(C91/(C90/0.35+C91)))/(C86+C91)</f>
        <v>0.14404839478539508</v>
      </c>
      <c r="D100" s="106">
        <f t="shared" ref="D100:BI100" si="107">(D79+D80*(D91/(D90/0.35+D91)))/(D86+D91)</f>
        <v>0.14320889644696955</v>
      </c>
      <c r="E100" s="106">
        <f t="shared" si="107"/>
        <v>0.14237116657448046</v>
      </c>
      <c r="F100" s="106">
        <f t="shared" si="107"/>
        <v>0.14153519958569918</v>
      </c>
      <c r="G100" s="106">
        <f t="shared" si="107"/>
        <v>0.14070098992186642</v>
      </c>
      <c r="H100" s="106">
        <f t="shared" si="107"/>
        <v>0.13986853204756899</v>
      </c>
      <c r="I100" s="106">
        <f t="shared" si="107"/>
        <v>0.13909170173063856</v>
      </c>
      <c r="J100" s="106">
        <f t="shared" si="107"/>
        <v>0.13828964638117411</v>
      </c>
      <c r="K100" s="106">
        <f t="shared" si="107"/>
        <v>0.13746111707066513</v>
      </c>
      <c r="L100" s="106">
        <f t="shared" si="107"/>
        <v>0.13660478103866697</v>
      </c>
      <c r="M100" s="106">
        <f t="shared" si="107"/>
        <v>0.13571921453893113</v>
      </c>
      <c r="N100" s="106">
        <f t="shared" si="107"/>
        <v>0.13158231621625535</v>
      </c>
      <c r="O100" s="106">
        <f t="shared" si="107"/>
        <v>0.12744683398141832</v>
      </c>
      <c r="P100" s="106">
        <f t="shared" si="107"/>
        <v>0.12331276710744006</v>
      </c>
      <c r="Q100" s="106">
        <f t="shared" si="107"/>
        <v>0.11918011486783803</v>
      </c>
      <c r="R100" s="106">
        <f t="shared" si="107"/>
        <v>0.11504887653662693</v>
      </c>
      <c r="S100" s="106">
        <f t="shared" si="107"/>
        <v>0.11477526194767537</v>
      </c>
      <c r="T100" s="106">
        <f t="shared" si="107"/>
        <v>0.11451145623160391</v>
      </c>
      <c r="U100" s="106">
        <f t="shared" si="107"/>
        <v>0.11425695706495864</v>
      </c>
      <c r="V100" s="106">
        <f t="shared" si="107"/>
        <v>0.11401129515850696</v>
      </c>
      <c r="W100" s="106">
        <f t="shared" si="107"/>
        <v>0.11377403162391163</v>
      </c>
      <c r="X100" s="106">
        <f t="shared" si="107"/>
        <v>0.11421944627315404</v>
      </c>
      <c r="Y100" s="106">
        <f t="shared" si="107"/>
        <v>0.11470431456958784</v>
      </c>
      <c r="Z100" s="106">
        <f t="shared" si="107"/>
        <v>0.11523399012976447</v>
      </c>
      <c r="AA100" s="106">
        <f t="shared" si="107"/>
        <v>0.11581484622406389</v>
      </c>
      <c r="AB100" s="106">
        <f t="shared" si="107"/>
        <v>0.11645453040958754</v>
      </c>
      <c r="AC100" s="106">
        <f t="shared" si="107"/>
        <v>0.11856054697638622</v>
      </c>
      <c r="AD100" s="106">
        <f t="shared" si="107"/>
        <v>0.12065854300991168</v>
      </c>
      <c r="AE100" s="106">
        <f t="shared" si="107"/>
        <v>0.12274881498931352</v>
      </c>
      <c r="AF100" s="106">
        <f t="shared" si="107"/>
        <v>0.12483161735691618</v>
      </c>
      <c r="AG100" s="106">
        <f t="shared" si="107"/>
        <v>0.1269071702710918</v>
      </c>
      <c r="AH100" s="106">
        <f t="shared" si="107"/>
        <v>0.13453436085750656</v>
      </c>
      <c r="AI100" s="106">
        <f t="shared" si="107"/>
        <v>0.1350968211159993</v>
      </c>
      <c r="AJ100" s="106">
        <f t="shared" si="107"/>
        <v>0.13651505851039294</v>
      </c>
      <c r="AK100" s="106">
        <f t="shared" si="107"/>
        <v>0.13711378476021685</v>
      </c>
      <c r="AL100" s="106">
        <f t="shared" si="107"/>
        <v>0.13572485892995415</v>
      </c>
      <c r="AM100" s="106">
        <f t="shared" si="107"/>
        <v>0.13453910933674884</v>
      </c>
      <c r="AN100" s="106">
        <f t="shared" si="107"/>
        <v>0.13654230169404111</v>
      </c>
      <c r="AO100" s="106">
        <f t="shared" si="107"/>
        <v>0.13632949584209392</v>
      </c>
      <c r="AP100" s="106">
        <f t="shared" si="107"/>
        <v>0.13557879518284491</v>
      </c>
      <c r="AQ100" s="106">
        <f t="shared" si="107"/>
        <v>0.13964893478136028</v>
      </c>
      <c r="AR100" s="106">
        <f t="shared" si="107"/>
        <v>0.13844426450010877</v>
      </c>
      <c r="AS100" s="106">
        <f t="shared" si="107"/>
        <v>0.13804603955177952</v>
      </c>
      <c r="AT100" s="106">
        <f t="shared" si="107"/>
        <v>0.13858268978778129</v>
      </c>
      <c r="AU100" s="106">
        <f t="shared" si="107"/>
        <v>0.13534309243736514</v>
      </c>
      <c r="AV100" s="106">
        <f t="shared" si="107"/>
        <v>0.13712867697625064</v>
      </c>
      <c r="AW100" s="106">
        <f t="shared" si="107"/>
        <v>0.13756167499803085</v>
      </c>
      <c r="AX100" s="106">
        <f t="shared" si="107"/>
        <v>0.13708794594721421</v>
      </c>
      <c r="AY100" s="106">
        <f t="shared" si="107"/>
        <v>0.13852555625935756</v>
      </c>
      <c r="AZ100" s="106">
        <f t="shared" si="107"/>
        <v>0.14110664079773136</v>
      </c>
      <c r="BA100" s="106">
        <f t="shared" si="107"/>
        <v>0.14022775223177669</v>
      </c>
      <c r="BB100" s="106">
        <f>(BB79+BB80*(BB91/(BB90/0.35+BB91)))/(BB86+BB91)</f>
        <v>0.13772912010797611</v>
      </c>
      <c r="BC100" s="122">
        <f>(BC79+BC80*(BC91/(BC90/0.35+BC91)))/(BC86+BC91)</f>
        <v>0.14291151854347869</v>
      </c>
      <c r="BD100" s="122">
        <f t="shared" si="107"/>
        <v>0.14103928652550302</v>
      </c>
      <c r="BE100" s="122">
        <f t="shared" si="107"/>
        <v>0.13798876716371508</v>
      </c>
      <c r="BF100" s="122">
        <f t="shared" si="107"/>
        <v>0.13815736930074216</v>
      </c>
      <c r="BG100" s="122">
        <f t="shared" si="107"/>
        <v>0.13829166554847172</v>
      </c>
      <c r="BH100" s="122">
        <f t="shared" si="107"/>
        <v>0.13764095478012112</v>
      </c>
      <c r="BI100" s="122">
        <f t="shared" si="107"/>
        <v>0.13473005969628374</v>
      </c>
    </row>
    <row r="101" spans="1:61">
      <c r="A101" s="18" t="s">
        <v>28</v>
      </c>
    </row>
    <row r="102" spans="1:61">
      <c r="C102" s="10">
        <v>1960</v>
      </c>
      <c r="D102" s="10"/>
      <c r="E102" s="10"/>
      <c r="F102" s="10"/>
      <c r="G102" s="10"/>
      <c r="H102" s="10">
        <v>1965</v>
      </c>
      <c r="M102" s="44">
        <v>1970</v>
      </c>
      <c r="R102" s="44">
        <v>1975</v>
      </c>
      <c r="W102" s="44">
        <v>1980</v>
      </c>
      <c r="AB102" s="44">
        <v>1985</v>
      </c>
      <c r="AG102" s="44">
        <v>1990</v>
      </c>
      <c r="AH102" s="44">
        <v>1991</v>
      </c>
      <c r="AI102" s="44">
        <v>1992</v>
      </c>
      <c r="AJ102" s="44">
        <v>1993</v>
      </c>
      <c r="AK102" s="44">
        <v>1994</v>
      </c>
      <c r="AL102" s="44">
        <v>1995</v>
      </c>
      <c r="AM102" s="44">
        <v>1996</v>
      </c>
      <c r="AN102" s="44">
        <v>1997</v>
      </c>
      <c r="AO102" s="44">
        <v>1998</v>
      </c>
      <c r="AP102" s="44">
        <v>1999</v>
      </c>
      <c r="AQ102" s="44">
        <v>2000</v>
      </c>
      <c r="AR102" s="44">
        <v>2001</v>
      </c>
      <c r="AS102" s="44">
        <v>2002</v>
      </c>
      <c r="AT102" s="44">
        <v>2003</v>
      </c>
      <c r="AU102" s="44">
        <v>2004</v>
      </c>
      <c r="AV102" s="44">
        <v>2005</v>
      </c>
      <c r="AW102" s="44">
        <v>2006</v>
      </c>
      <c r="AX102" s="44">
        <v>2007</v>
      </c>
      <c r="AY102" s="44">
        <v>2008</v>
      </c>
      <c r="AZ102" s="44">
        <v>2009</v>
      </c>
      <c r="BA102" s="44">
        <v>2010</v>
      </c>
      <c r="BB102" s="44">
        <v>2011</v>
      </c>
    </row>
    <row r="103" spans="1:61">
      <c r="A103" s="44" t="s">
        <v>29</v>
      </c>
      <c r="C103" s="44">
        <v>75</v>
      </c>
      <c r="D103" s="18" t="s">
        <v>91</v>
      </c>
      <c r="H103" s="44">
        <v>42</v>
      </c>
      <c r="M103" s="44">
        <v>34</v>
      </c>
      <c r="R103" s="44">
        <v>24</v>
      </c>
      <c r="W103" s="44">
        <v>18</v>
      </c>
      <c r="AB103" s="44">
        <v>17</v>
      </c>
      <c r="AG103" s="44">
        <v>24</v>
      </c>
      <c r="AH103" s="44">
        <v>28</v>
      </c>
      <c r="AI103" s="44">
        <v>29</v>
      </c>
      <c r="AJ103" s="44">
        <v>28</v>
      </c>
      <c r="AK103" s="44">
        <v>34</v>
      </c>
      <c r="AL103" s="44">
        <v>35</v>
      </c>
      <c r="AM103" s="44">
        <v>37</v>
      </c>
      <c r="AN103" s="44">
        <v>41</v>
      </c>
      <c r="AO103" s="44">
        <v>43</v>
      </c>
      <c r="AP103" s="44">
        <v>48</v>
      </c>
      <c r="AQ103" s="44">
        <v>52</v>
      </c>
      <c r="AR103" s="44">
        <v>54</v>
      </c>
      <c r="AS103" s="44">
        <v>61</v>
      </c>
      <c r="AT103" s="44">
        <v>64</v>
      </c>
      <c r="AU103" s="44">
        <v>67</v>
      </c>
      <c r="AV103" s="44">
        <v>69</v>
      </c>
      <c r="AW103" s="44">
        <v>74</v>
      </c>
      <c r="AX103" s="44">
        <v>84</v>
      </c>
      <c r="AY103" s="44">
        <v>88</v>
      </c>
      <c r="AZ103" s="44">
        <v>90</v>
      </c>
      <c r="BA103" s="44">
        <v>93</v>
      </c>
      <c r="BB103" s="44">
        <v>89</v>
      </c>
    </row>
    <row r="104" spans="1:61">
      <c r="A104" s="44" t="s">
        <v>30</v>
      </c>
      <c r="C104" s="44">
        <v>391</v>
      </c>
      <c r="H104" s="44">
        <v>395</v>
      </c>
      <c r="M104" s="44">
        <v>407</v>
      </c>
      <c r="R104" s="44">
        <v>423</v>
      </c>
      <c r="W104" s="44">
        <v>385</v>
      </c>
      <c r="AB104" s="44">
        <v>451</v>
      </c>
      <c r="AG104" s="44">
        <v>537</v>
      </c>
      <c r="AH104" s="44">
        <v>527</v>
      </c>
      <c r="AI104" s="44">
        <v>525</v>
      </c>
      <c r="AJ104" s="44">
        <v>522</v>
      </c>
      <c r="AK104" s="44">
        <v>532</v>
      </c>
      <c r="AL104" s="44">
        <v>537</v>
      </c>
      <c r="AM104" s="44">
        <v>543</v>
      </c>
      <c r="AN104" s="44">
        <v>558</v>
      </c>
      <c r="AO104" s="44">
        <v>566</v>
      </c>
      <c r="AP104" s="44">
        <v>578</v>
      </c>
      <c r="AQ104" s="44">
        <v>595</v>
      </c>
      <c r="AR104" s="44">
        <v>608</v>
      </c>
      <c r="AS104" s="44">
        <v>621</v>
      </c>
      <c r="AT104" s="44">
        <v>630</v>
      </c>
      <c r="AU104" s="44">
        <v>642</v>
      </c>
      <c r="AV104" s="44">
        <v>646</v>
      </c>
      <c r="AW104" s="44">
        <v>652</v>
      </c>
      <c r="AX104" s="44">
        <v>657</v>
      </c>
      <c r="AY104" s="44">
        <v>674</v>
      </c>
      <c r="AZ104" s="44">
        <v>685</v>
      </c>
      <c r="BA104" s="44">
        <v>666</v>
      </c>
      <c r="BB104" s="44">
        <v>655</v>
      </c>
    </row>
    <row r="105" spans="1:61">
      <c r="A105" s="44" t="s">
        <v>31</v>
      </c>
      <c r="C105" s="44" t="s">
        <v>21</v>
      </c>
      <c r="H105" s="44" t="s">
        <v>21</v>
      </c>
      <c r="M105" s="44" t="s">
        <v>21</v>
      </c>
      <c r="R105" s="44">
        <v>173</v>
      </c>
      <c r="W105" s="44">
        <v>179</v>
      </c>
      <c r="AB105" s="44">
        <v>183</v>
      </c>
      <c r="AG105" s="44">
        <v>213</v>
      </c>
      <c r="AH105" s="44">
        <v>215</v>
      </c>
      <c r="AI105" s="44">
        <v>219</v>
      </c>
      <c r="AJ105" s="44">
        <v>224</v>
      </c>
      <c r="AK105" s="44">
        <v>231</v>
      </c>
      <c r="AL105" s="44">
        <v>238</v>
      </c>
      <c r="AM105" s="44">
        <v>242</v>
      </c>
      <c r="AN105" s="44">
        <v>251</v>
      </c>
      <c r="AO105" s="44">
        <v>259</v>
      </c>
      <c r="AP105" s="44">
        <v>266</v>
      </c>
      <c r="AQ105" s="44">
        <v>271</v>
      </c>
      <c r="AR105" s="44">
        <v>277</v>
      </c>
      <c r="AS105" s="44">
        <v>284</v>
      </c>
      <c r="AT105" s="44">
        <v>286</v>
      </c>
      <c r="AU105" s="44">
        <v>295</v>
      </c>
      <c r="AV105" s="44">
        <v>303</v>
      </c>
      <c r="AW105" s="44">
        <v>315</v>
      </c>
      <c r="AX105" s="44">
        <v>325</v>
      </c>
      <c r="AY105" s="44">
        <v>337</v>
      </c>
      <c r="AZ105" s="44">
        <v>337</v>
      </c>
      <c r="BA105" s="44">
        <v>342</v>
      </c>
      <c r="BB105" s="44">
        <v>339</v>
      </c>
    </row>
    <row r="106" spans="1:61">
      <c r="A106" s="44" t="s">
        <v>2</v>
      </c>
    </row>
    <row r="107" spans="1:61">
      <c r="A107" s="44" t="s">
        <v>32</v>
      </c>
      <c r="C107" s="44">
        <v>404</v>
      </c>
      <c r="H107" s="44">
        <v>421</v>
      </c>
      <c r="M107" s="44">
        <v>427</v>
      </c>
      <c r="R107" s="44">
        <v>403</v>
      </c>
      <c r="W107" s="44">
        <v>428</v>
      </c>
      <c r="AB107" s="44">
        <v>347</v>
      </c>
      <c r="AG107" s="44">
        <v>380</v>
      </c>
      <c r="AH107" s="44">
        <v>375</v>
      </c>
      <c r="AI107" s="44">
        <v>390</v>
      </c>
      <c r="AJ107" s="44">
        <v>405</v>
      </c>
      <c r="AK107" s="44">
        <v>441</v>
      </c>
      <c r="AL107" s="44">
        <v>458</v>
      </c>
      <c r="AM107" s="44">
        <v>469</v>
      </c>
      <c r="AN107" s="44">
        <v>475</v>
      </c>
      <c r="AO107" s="44">
        <v>475</v>
      </c>
      <c r="AP107" s="44">
        <v>490</v>
      </c>
      <c r="AQ107" s="44">
        <v>504</v>
      </c>
      <c r="AR107" s="44">
        <v>500</v>
      </c>
      <c r="AS107" s="44">
        <v>500</v>
      </c>
      <c r="AT107" s="44">
        <v>516</v>
      </c>
      <c r="AU107" s="44">
        <v>535</v>
      </c>
      <c r="AV107" s="44">
        <v>548</v>
      </c>
      <c r="AW107" s="44">
        <v>563</v>
      </c>
      <c r="AX107" s="44">
        <v>543</v>
      </c>
      <c r="AY107" s="44">
        <v>524</v>
      </c>
      <c r="AZ107" s="44">
        <v>436</v>
      </c>
      <c r="BA107" s="44">
        <v>476</v>
      </c>
      <c r="BB107" s="44">
        <v>493</v>
      </c>
    </row>
    <row r="108" spans="1:61">
      <c r="A108" s="44" t="s">
        <v>33</v>
      </c>
      <c r="C108" s="1">
        <v>28170</v>
      </c>
      <c r="H108" s="1">
        <v>29336</v>
      </c>
      <c r="M108" s="1">
        <v>29890</v>
      </c>
      <c r="R108" s="1">
        <v>27656</v>
      </c>
      <c r="W108" s="1">
        <v>29277</v>
      </c>
      <c r="AB108" s="1">
        <v>24920</v>
      </c>
      <c r="AG108" s="1">
        <v>26159</v>
      </c>
      <c r="AH108" s="1">
        <v>25628</v>
      </c>
      <c r="AI108" s="1">
        <v>26128</v>
      </c>
      <c r="AJ108" s="1">
        <v>26883</v>
      </c>
      <c r="AK108" s="1">
        <v>28485</v>
      </c>
      <c r="AL108" s="1">
        <v>30383</v>
      </c>
      <c r="AM108" s="1">
        <v>31715</v>
      </c>
      <c r="AN108" s="1">
        <v>31660</v>
      </c>
      <c r="AO108" s="1">
        <v>32657</v>
      </c>
      <c r="AP108" s="1">
        <v>33851</v>
      </c>
      <c r="AQ108" s="1">
        <v>34590</v>
      </c>
      <c r="AR108" s="1">
        <v>34243</v>
      </c>
      <c r="AS108" s="1">
        <v>34680</v>
      </c>
      <c r="AT108" s="1">
        <v>35555</v>
      </c>
      <c r="AU108" s="1">
        <v>37071</v>
      </c>
      <c r="AV108" s="1">
        <v>37712</v>
      </c>
      <c r="AW108" s="1">
        <v>38955</v>
      </c>
      <c r="AX108" s="1">
        <v>38186</v>
      </c>
      <c r="AY108" s="1">
        <v>37226</v>
      </c>
      <c r="AZ108" s="1">
        <v>32115</v>
      </c>
      <c r="BA108" s="1">
        <v>35541</v>
      </c>
      <c r="BB108" s="1">
        <v>36649</v>
      </c>
    </row>
    <row r="109" spans="1:61">
      <c r="A109" s="44" t="s">
        <v>34</v>
      </c>
      <c r="C109" s="44">
        <v>209</v>
      </c>
      <c r="H109" s="44">
        <v>172</v>
      </c>
      <c r="M109" s="44">
        <v>93</v>
      </c>
      <c r="R109" s="44">
        <v>30</v>
      </c>
      <c r="W109" s="44">
        <v>30</v>
      </c>
      <c r="AB109" s="44">
        <v>30</v>
      </c>
      <c r="AG109" s="44">
        <v>33</v>
      </c>
      <c r="AH109" s="44">
        <v>34</v>
      </c>
      <c r="AI109" s="44">
        <v>34</v>
      </c>
      <c r="AJ109" s="44">
        <v>35</v>
      </c>
      <c r="AK109" s="44">
        <v>34</v>
      </c>
      <c r="AL109" s="44">
        <v>32</v>
      </c>
      <c r="AM109" s="44">
        <v>30</v>
      </c>
      <c r="AN109" s="44">
        <v>32</v>
      </c>
      <c r="AO109" s="44">
        <v>33</v>
      </c>
      <c r="AP109" s="44">
        <v>34</v>
      </c>
      <c r="AQ109" s="44">
        <v>35</v>
      </c>
      <c r="AR109" s="44">
        <v>36</v>
      </c>
      <c r="AS109" s="44">
        <v>38</v>
      </c>
      <c r="AT109" s="44">
        <v>37</v>
      </c>
      <c r="AU109" s="44">
        <v>37</v>
      </c>
      <c r="AV109" s="44">
        <v>36</v>
      </c>
      <c r="AW109" s="44">
        <v>36</v>
      </c>
      <c r="AX109" s="44">
        <v>37</v>
      </c>
      <c r="AY109" s="44">
        <v>38</v>
      </c>
      <c r="AZ109" s="44">
        <v>38</v>
      </c>
      <c r="BA109" s="44">
        <v>37</v>
      </c>
      <c r="BB109" s="44">
        <v>37</v>
      </c>
    </row>
    <row r="110" spans="1:61">
      <c r="A110" s="44" t="s">
        <v>35</v>
      </c>
      <c r="C110" s="1">
        <v>2208</v>
      </c>
      <c r="H110" s="1">
        <v>1775</v>
      </c>
      <c r="M110" s="44">
        <v>690</v>
      </c>
      <c r="R110" s="44">
        <v>253</v>
      </c>
      <c r="W110" s="44">
        <v>235</v>
      </c>
      <c r="AB110" s="44">
        <v>251</v>
      </c>
      <c r="AG110" s="44">
        <v>301</v>
      </c>
      <c r="AH110" s="44">
        <v>313</v>
      </c>
      <c r="AI110" s="44">
        <v>307</v>
      </c>
      <c r="AJ110" s="44">
        <v>303</v>
      </c>
      <c r="AK110" s="44">
        <v>304</v>
      </c>
      <c r="AL110" s="44">
        <v>292</v>
      </c>
      <c r="AM110" s="44">
        <v>276</v>
      </c>
      <c r="AN110" s="44">
        <v>288</v>
      </c>
      <c r="AO110" s="44">
        <v>312</v>
      </c>
      <c r="AP110" s="44">
        <v>342</v>
      </c>
      <c r="AQ110" s="44">
        <v>368</v>
      </c>
      <c r="AR110" s="44">
        <v>378</v>
      </c>
      <c r="AS110" s="44">
        <v>379</v>
      </c>
      <c r="AT110" s="44">
        <v>332</v>
      </c>
      <c r="AU110" s="44">
        <v>308</v>
      </c>
      <c r="AV110" s="44">
        <v>265</v>
      </c>
      <c r="AW110" s="44">
        <v>264</v>
      </c>
      <c r="AX110" s="44">
        <v>267</v>
      </c>
      <c r="AY110" s="44">
        <v>272</v>
      </c>
      <c r="AZ110" s="44">
        <v>283</v>
      </c>
      <c r="BA110" s="44">
        <v>295</v>
      </c>
      <c r="BB110" s="44">
        <v>296</v>
      </c>
    </row>
    <row r="111" spans="1:61">
      <c r="A111" s="5" t="s">
        <v>123</v>
      </c>
      <c r="B111" s="5"/>
      <c r="C111" s="5">
        <f>C110/C109</f>
        <v>10.564593301435407</v>
      </c>
      <c r="D111" s="5"/>
      <c r="E111" s="5"/>
      <c r="F111" s="5"/>
      <c r="G111" s="5"/>
      <c r="H111" s="5">
        <f>H110/H109</f>
        <v>10.319767441860465</v>
      </c>
      <c r="I111" s="5"/>
      <c r="J111" s="5"/>
      <c r="K111" s="5"/>
      <c r="L111" s="5"/>
      <c r="M111" s="5">
        <f>M110/M109</f>
        <v>7.419354838709677</v>
      </c>
      <c r="N111" s="5"/>
      <c r="O111" s="5"/>
      <c r="P111" s="5"/>
      <c r="Q111" s="5"/>
      <c r="R111" s="5">
        <f>R110/R109</f>
        <v>8.4333333333333336</v>
      </c>
      <c r="S111" s="5"/>
      <c r="T111" s="5"/>
      <c r="U111" s="5"/>
      <c r="V111" s="5"/>
      <c r="W111" s="5">
        <f>W110/W109</f>
        <v>7.833333333333333</v>
      </c>
      <c r="X111" s="5"/>
      <c r="Y111" s="5"/>
      <c r="Z111" s="5"/>
      <c r="AA111" s="5"/>
      <c r="AB111" s="5">
        <f>AB110/AB109</f>
        <v>8.3666666666666671</v>
      </c>
      <c r="AC111" s="5"/>
      <c r="AD111" s="5"/>
      <c r="AE111" s="5"/>
      <c r="AF111" s="5"/>
      <c r="AG111" s="5">
        <f t="shared" ref="AG111:BB111" si="108">AG110/AG109</f>
        <v>9.1212121212121211</v>
      </c>
      <c r="AH111" s="5">
        <f t="shared" si="108"/>
        <v>9.2058823529411757</v>
      </c>
      <c r="AI111" s="5">
        <f t="shared" si="108"/>
        <v>9.0294117647058822</v>
      </c>
      <c r="AJ111" s="5">
        <f t="shared" si="108"/>
        <v>8.6571428571428566</v>
      </c>
      <c r="AK111" s="5">
        <f t="shared" si="108"/>
        <v>8.9411764705882355</v>
      </c>
      <c r="AL111" s="5">
        <f t="shared" si="108"/>
        <v>9.125</v>
      </c>
      <c r="AM111" s="5">
        <f t="shared" si="108"/>
        <v>9.1999999999999993</v>
      </c>
      <c r="AN111" s="5">
        <f t="shared" si="108"/>
        <v>9</v>
      </c>
      <c r="AO111" s="5">
        <f t="shared" si="108"/>
        <v>9.454545454545455</v>
      </c>
      <c r="AP111" s="5">
        <f t="shared" si="108"/>
        <v>10.058823529411764</v>
      </c>
      <c r="AQ111" s="5">
        <f t="shared" si="108"/>
        <v>10.514285714285714</v>
      </c>
      <c r="AR111" s="5">
        <f t="shared" si="108"/>
        <v>10.5</v>
      </c>
      <c r="AS111" s="5">
        <f t="shared" si="108"/>
        <v>9.973684210526315</v>
      </c>
      <c r="AT111" s="5">
        <f t="shared" si="108"/>
        <v>8.9729729729729737</v>
      </c>
      <c r="AU111" s="5">
        <f t="shared" si="108"/>
        <v>8.3243243243243246</v>
      </c>
      <c r="AV111" s="5">
        <f t="shared" si="108"/>
        <v>7.3611111111111107</v>
      </c>
      <c r="AW111" s="5">
        <f t="shared" si="108"/>
        <v>7.333333333333333</v>
      </c>
      <c r="AX111" s="5">
        <f t="shared" si="108"/>
        <v>7.2162162162162158</v>
      </c>
      <c r="AY111" s="5">
        <f t="shared" si="108"/>
        <v>7.1578947368421053</v>
      </c>
      <c r="AZ111" s="5">
        <f t="shared" si="108"/>
        <v>7.4473684210526319</v>
      </c>
      <c r="BA111" s="5">
        <f t="shared" si="108"/>
        <v>7.9729729729729728</v>
      </c>
      <c r="BB111" s="5">
        <f t="shared" si="108"/>
        <v>8</v>
      </c>
    </row>
    <row r="112" spans="1:61">
      <c r="A112" s="44" t="s">
        <v>36</v>
      </c>
      <c r="C112" s="44">
        <v>613</v>
      </c>
      <c r="H112" s="44">
        <v>593</v>
      </c>
      <c r="M112" s="44">
        <v>520</v>
      </c>
      <c r="R112" s="44">
        <v>433</v>
      </c>
      <c r="W112" s="44">
        <v>458</v>
      </c>
      <c r="AB112" s="44">
        <v>377</v>
      </c>
      <c r="AG112" s="44">
        <v>413</v>
      </c>
      <c r="AH112" s="44">
        <v>409</v>
      </c>
      <c r="AI112" s="44">
        <v>424</v>
      </c>
      <c r="AJ112" s="44">
        <v>440</v>
      </c>
      <c r="AK112" s="44">
        <v>475</v>
      </c>
      <c r="AL112" s="44">
        <v>490</v>
      </c>
      <c r="AM112" s="44">
        <v>499</v>
      </c>
      <c r="AN112" s="44">
        <v>507</v>
      </c>
      <c r="AO112" s="44">
        <v>508</v>
      </c>
      <c r="AP112" s="44">
        <v>524</v>
      </c>
      <c r="AQ112" s="44">
        <v>539</v>
      </c>
      <c r="AR112" s="44">
        <v>536</v>
      </c>
      <c r="AS112" s="44">
        <v>537</v>
      </c>
      <c r="AT112" s="44">
        <v>553</v>
      </c>
      <c r="AU112" s="44">
        <v>572</v>
      </c>
      <c r="AV112" s="44">
        <v>584</v>
      </c>
      <c r="AW112" s="44">
        <v>599</v>
      </c>
      <c r="AX112" s="44">
        <v>581</v>
      </c>
      <c r="AY112" s="44">
        <v>562</v>
      </c>
      <c r="AZ112" s="44">
        <v>475</v>
      </c>
      <c r="BA112" s="44">
        <v>513</v>
      </c>
      <c r="BB112" s="44">
        <v>530</v>
      </c>
    </row>
    <row r="113" spans="1:61">
      <c r="A113" s="44" t="s">
        <v>37</v>
      </c>
    </row>
    <row r="116" spans="1:61" ht="16.2" thickBot="1">
      <c r="A116" s="164" t="s">
        <v>20</v>
      </c>
      <c r="B116" s="164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</row>
    <row r="117" spans="1:61">
      <c r="C117" s="44">
        <v>1960</v>
      </c>
      <c r="H117" s="44">
        <v>1965</v>
      </c>
      <c r="M117" s="44">
        <v>1970</v>
      </c>
      <c r="R117" s="44">
        <v>1975</v>
      </c>
      <c r="W117" s="44">
        <v>1980</v>
      </c>
      <c r="AB117" s="44">
        <v>1985</v>
      </c>
      <c r="AG117" s="44">
        <v>1990</v>
      </c>
      <c r="AH117" s="44">
        <v>1991</v>
      </c>
      <c r="AI117" s="44">
        <v>1992</v>
      </c>
      <c r="AJ117" s="44">
        <v>1993</v>
      </c>
      <c r="AK117" s="44">
        <v>1994</v>
      </c>
      <c r="AL117" s="44">
        <v>1995</v>
      </c>
      <c r="AM117" s="44">
        <v>1996</v>
      </c>
      <c r="AN117" s="44">
        <v>1997</v>
      </c>
      <c r="AO117" s="44">
        <v>1998</v>
      </c>
      <c r="AP117" s="44">
        <v>1999</v>
      </c>
      <c r="AQ117" s="44">
        <v>2000</v>
      </c>
      <c r="AR117" s="44">
        <v>2001</v>
      </c>
      <c r="AS117" s="44">
        <v>2002</v>
      </c>
      <c r="AT117" s="44">
        <v>2003</v>
      </c>
      <c r="AU117" s="44">
        <v>2004</v>
      </c>
      <c r="AV117" s="44">
        <v>2005</v>
      </c>
      <c r="AW117" s="44">
        <v>2006</v>
      </c>
      <c r="AX117" s="44">
        <v>2007</v>
      </c>
      <c r="AY117" s="44">
        <v>2008</v>
      </c>
      <c r="AZ117" s="44">
        <v>2009</v>
      </c>
      <c r="BA117" s="44">
        <v>2010</v>
      </c>
      <c r="BB117" s="44">
        <v>2011</v>
      </c>
      <c r="BC117" s="44">
        <v>2012</v>
      </c>
      <c r="BD117" s="44">
        <v>2013</v>
      </c>
      <c r="BE117" s="44">
        <v>2014</v>
      </c>
      <c r="BF117" s="44">
        <v>2015</v>
      </c>
      <c r="BG117" s="44">
        <v>2016</v>
      </c>
      <c r="BH117" s="44">
        <v>2017</v>
      </c>
      <c r="BI117" s="44">
        <v>2018</v>
      </c>
    </row>
    <row r="118" spans="1:61" s="43" customFormat="1" ht="14.4">
      <c r="A118" s="43" t="s">
        <v>23</v>
      </c>
    </row>
    <row r="119" spans="1:61">
      <c r="A119" s="44" t="s">
        <v>24</v>
      </c>
      <c r="C119" s="1">
        <v>3463</v>
      </c>
      <c r="H119" s="1">
        <v>3592</v>
      </c>
      <c r="M119" s="1">
        <v>3545</v>
      </c>
      <c r="R119" s="1">
        <v>3657</v>
      </c>
      <c r="W119" s="1">
        <v>3904</v>
      </c>
      <c r="AB119" s="1">
        <v>3110</v>
      </c>
      <c r="AG119" s="1">
        <v>3115</v>
      </c>
      <c r="AH119" s="1">
        <v>2906</v>
      </c>
      <c r="AI119" s="1">
        <v>3005</v>
      </c>
      <c r="AJ119" s="1">
        <v>3088</v>
      </c>
      <c r="AK119" s="1">
        <v>3334</v>
      </c>
      <c r="AL119" s="1">
        <v>3480</v>
      </c>
      <c r="AM119" s="1">
        <v>3579</v>
      </c>
      <c r="AN119" s="1">
        <v>3575</v>
      </c>
      <c r="AO119" s="1">
        <v>3583</v>
      </c>
      <c r="AP119" s="1">
        <v>3715</v>
      </c>
      <c r="AQ119" s="1">
        <v>3700</v>
      </c>
      <c r="AR119" s="1">
        <v>3710</v>
      </c>
      <c r="AS119" s="1">
        <v>3730</v>
      </c>
      <c r="AT119" s="1">
        <v>3826</v>
      </c>
      <c r="AU119" s="1">
        <v>4059</v>
      </c>
      <c r="AV119" s="1">
        <v>4098</v>
      </c>
      <c r="AW119" s="1">
        <v>4192</v>
      </c>
      <c r="AX119" s="1">
        <v>4062</v>
      </c>
      <c r="AY119" s="1">
        <v>3886</v>
      </c>
      <c r="AZ119" s="1">
        <v>3192</v>
      </c>
      <c r="BA119" s="1">
        <v>3494</v>
      </c>
      <c r="BB119" s="1">
        <v>3685</v>
      </c>
      <c r="BC119" s="108">
        <v>3600</v>
      </c>
      <c r="BD119" s="108">
        <v>3682</v>
      </c>
      <c r="BE119" s="108">
        <v>3867</v>
      </c>
      <c r="BF119" s="108">
        <v>3692</v>
      </c>
      <c r="BG119" s="108">
        <v>3385</v>
      </c>
      <c r="BH119" s="108">
        <v>3495</v>
      </c>
      <c r="BI119" s="108">
        <v>3656</v>
      </c>
    </row>
    <row r="120" spans="1:61" s="43" customFormat="1" ht="14.4">
      <c r="A120" s="43" t="s">
        <v>25</v>
      </c>
    </row>
    <row r="121" spans="1:61">
      <c r="A121" s="44" t="s">
        <v>26</v>
      </c>
      <c r="C121" s="44" t="s">
        <v>21</v>
      </c>
      <c r="H121" s="44" t="s">
        <v>21</v>
      </c>
      <c r="M121" s="44" t="s">
        <v>21</v>
      </c>
      <c r="R121" s="44">
        <v>180</v>
      </c>
      <c r="W121" s="44">
        <v>254</v>
      </c>
      <c r="AB121" s="44">
        <v>295</v>
      </c>
      <c r="AG121" s="44">
        <v>330</v>
      </c>
      <c r="AH121" s="44">
        <v>303</v>
      </c>
      <c r="AI121" s="44">
        <v>300</v>
      </c>
      <c r="AJ121" s="44">
        <v>301</v>
      </c>
      <c r="AK121" s="44">
        <v>309</v>
      </c>
      <c r="AL121" s="44">
        <v>336</v>
      </c>
      <c r="AM121" s="44">
        <v>363</v>
      </c>
      <c r="AN121" s="44">
        <v>390</v>
      </c>
      <c r="AO121" s="44">
        <v>416</v>
      </c>
      <c r="AP121" s="44">
        <v>443</v>
      </c>
      <c r="AQ121" s="44">
        <v>470</v>
      </c>
      <c r="AR121" s="44">
        <v>456</v>
      </c>
      <c r="AS121" s="44">
        <v>518</v>
      </c>
      <c r="AT121" s="44">
        <v>537</v>
      </c>
      <c r="AU121" s="44">
        <v>551</v>
      </c>
      <c r="AV121" s="44">
        <v>531</v>
      </c>
      <c r="AW121" s="44">
        <v>549</v>
      </c>
      <c r="AX121" s="44">
        <v>578</v>
      </c>
      <c r="AY121" s="44">
        <v>582</v>
      </c>
      <c r="AZ121" s="44">
        <v>565</v>
      </c>
      <c r="BA121" s="110">
        <v>558.66156472799992</v>
      </c>
      <c r="BB121" s="110">
        <v>555.42530999999997</v>
      </c>
      <c r="BC121" s="111">
        <v>549.20125199999995</v>
      </c>
      <c r="BD121" s="111">
        <v>525.12718536</v>
      </c>
      <c r="BE121" s="111">
        <v>515.33160797599999</v>
      </c>
      <c r="BF121" s="111">
        <v>504.01684695199998</v>
      </c>
      <c r="BG121" s="111">
        <v>515.71145795424002</v>
      </c>
      <c r="BH121" s="111">
        <v>489.94912099999999</v>
      </c>
      <c r="BI121" s="111">
        <v>484.97539565832</v>
      </c>
    </row>
    <row r="122" spans="1:61">
      <c r="A122" s="44" t="s">
        <v>24</v>
      </c>
      <c r="C122" s="44" t="s">
        <v>21</v>
      </c>
      <c r="H122" s="44" t="s">
        <v>21</v>
      </c>
      <c r="M122" s="44" t="s">
        <v>21</v>
      </c>
      <c r="R122" s="44">
        <v>63</v>
      </c>
      <c r="W122" s="44">
        <v>64</v>
      </c>
      <c r="AB122" s="44">
        <v>65</v>
      </c>
      <c r="AG122" s="44">
        <v>82</v>
      </c>
      <c r="AH122" s="44">
        <v>82</v>
      </c>
      <c r="AI122" s="44">
        <v>82</v>
      </c>
      <c r="AJ122" s="44">
        <v>83</v>
      </c>
      <c r="AK122" s="44">
        <v>74</v>
      </c>
      <c r="AL122" s="44">
        <v>72</v>
      </c>
      <c r="AM122" s="44">
        <v>71</v>
      </c>
      <c r="AN122" s="44">
        <v>76</v>
      </c>
      <c r="AO122" s="44">
        <v>76</v>
      </c>
      <c r="AP122" s="44">
        <v>79</v>
      </c>
      <c r="AQ122" s="44">
        <v>95</v>
      </c>
      <c r="AR122" s="44">
        <v>97</v>
      </c>
      <c r="AS122" s="44">
        <v>84</v>
      </c>
      <c r="AT122" s="44">
        <v>75</v>
      </c>
      <c r="AU122" s="44">
        <v>69</v>
      </c>
      <c r="AV122" s="44">
        <v>65</v>
      </c>
      <c r="AW122" s="44">
        <v>62</v>
      </c>
      <c r="AX122" s="44">
        <v>62</v>
      </c>
      <c r="AY122" s="44">
        <v>63</v>
      </c>
      <c r="AZ122" s="44">
        <v>62</v>
      </c>
      <c r="BA122" s="110">
        <v>63.474021</v>
      </c>
      <c r="BB122" s="110">
        <v>63.450471</v>
      </c>
      <c r="BC122" s="111">
        <v>63.057507000000001</v>
      </c>
      <c r="BD122" s="111">
        <v>66.036326000000003</v>
      </c>
      <c r="BE122" s="111">
        <v>65.711447000000007</v>
      </c>
      <c r="BF122" s="111">
        <v>62.467827</v>
      </c>
      <c r="BG122" s="111">
        <v>60.212339999999998</v>
      </c>
      <c r="BH122" s="111">
        <v>64.009735000000006</v>
      </c>
      <c r="BI122" s="111">
        <v>65.463733000000005</v>
      </c>
    </row>
    <row r="124" spans="1:61" ht="14.4">
      <c r="A124" s="43" t="s">
        <v>25</v>
      </c>
    </row>
    <row r="125" spans="1:61">
      <c r="A125" s="18" t="s">
        <v>142</v>
      </c>
      <c r="C125" s="110" t="e">
        <f>C121/40.7/0.4</f>
        <v>#VALUE!</v>
      </c>
      <c r="M125" s="110" t="e">
        <f>M121/40.7/0.4</f>
        <v>#VALUE!</v>
      </c>
      <c r="R125" s="110">
        <f>R121/40.7/0.4</f>
        <v>11.056511056511056</v>
      </c>
      <c r="W125" s="110">
        <f>W121/40.7/0.4</f>
        <v>15.601965601965601</v>
      </c>
      <c r="AB125" s="110">
        <f>AB121/40.7/0.4</f>
        <v>18.120393120393118</v>
      </c>
      <c r="AG125" s="110">
        <f>AG121/40.7/0.4</f>
        <v>20.270270270270267</v>
      </c>
      <c r="AH125" s="110">
        <f t="shared" ref="AH125:BI125" si="109">AH121/40.7/0.4</f>
        <v>18.611793611793608</v>
      </c>
      <c r="AI125" s="110">
        <f t="shared" si="109"/>
        <v>18.427518427518425</v>
      </c>
      <c r="AJ125" s="110">
        <f t="shared" si="109"/>
        <v>18.488943488943487</v>
      </c>
      <c r="AK125" s="110">
        <f t="shared" si="109"/>
        <v>18.980343980343978</v>
      </c>
      <c r="AL125" s="110">
        <f t="shared" si="109"/>
        <v>20.638820638820636</v>
      </c>
      <c r="AM125" s="110">
        <f t="shared" si="109"/>
        <v>22.297297297297291</v>
      </c>
      <c r="AN125" s="110">
        <f t="shared" si="109"/>
        <v>23.955773955773953</v>
      </c>
      <c r="AO125" s="110">
        <f t="shared" si="109"/>
        <v>25.552825552825549</v>
      </c>
      <c r="AP125" s="110">
        <f t="shared" si="109"/>
        <v>27.211302211302208</v>
      </c>
      <c r="AQ125" s="110">
        <f t="shared" si="109"/>
        <v>28.869778869778866</v>
      </c>
      <c r="AR125" s="110">
        <f t="shared" si="109"/>
        <v>28.009828009828006</v>
      </c>
      <c r="AS125" s="110">
        <f t="shared" si="109"/>
        <v>31.818181818181817</v>
      </c>
      <c r="AT125" s="110">
        <f t="shared" si="109"/>
        <v>32.985257985257981</v>
      </c>
      <c r="AU125" s="110">
        <f t="shared" si="109"/>
        <v>33.845208845208838</v>
      </c>
      <c r="AV125" s="110">
        <f t="shared" si="109"/>
        <v>32.616707616707615</v>
      </c>
      <c r="AW125" s="110">
        <f t="shared" si="109"/>
        <v>33.722358722358713</v>
      </c>
      <c r="AX125" s="110">
        <f t="shared" si="109"/>
        <v>35.503685503685496</v>
      </c>
      <c r="AY125" s="110">
        <f t="shared" si="109"/>
        <v>35.749385749385745</v>
      </c>
      <c r="AZ125" s="110">
        <f t="shared" si="109"/>
        <v>34.705159705159701</v>
      </c>
      <c r="BA125" s="110">
        <f t="shared" si="109"/>
        <v>34.315820929238321</v>
      </c>
      <c r="BB125" s="110">
        <f t="shared" si="109"/>
        <v>34.117033783783782</v>
      </c>
      <c r="BC125" s="110">
        <f t="shared" si="109"/>
        <v>33.734720638820633</v>
      </c>
      <c r="BD125" s="110">
        <f t="shared" si="109"/>
        <v>32.255969616707617</v>
      </c>
      <c r="BE125" s="110">
        <f t="shared" si="109"/>
        <v>31.654275674201468</v>
      </c>
      <c r="BF125" s="110">
        <f t="shared" si="109"/>
        <v>30.959265783292377</v>
      </c>
      <c r="BG125" s="110">
        <f t="shared" si="109"/>
        <v>31.677607982447171</v>
      </c>
      <c r="BH125" s="110">
        <f t="shared" si="109"/>
        <v>30.095154852579846</v>
      </c>
      <c r="BI125" s="110">
        <f t="shared" si="109"/>
        <v>29.78964346795577</v>
      </c>
    </row>
    <row r="126" spans="1:61">
      <c r="A126" s="44" t="s">
        <v>24</v>
      </c>
      <c r="C126" s="44" t="str">
        <f>C122</f>
        <v>N</v>
      </c>
      <c r="M126" s="44" t="str">
        <f>M122</f>
        <v>N</v>
      </c>
      <c r="R126" s="44">
        <f>R122</f>
        <v>63</v>
      </c>
      <c r="W126" s="44">
        <f>W122</f>
        <v>64</v>
      </c>
      <c r="AB126" s="44">
        <f>AB122</f>
        <v>65</v>
      </c>
      <c r="AG126" s="44">
        <f>AG122</f>
        <v>82</v>
      </c>
      <c r="AH126" s="44">
        <f t="shared" ref="AH126:BI126" si="110">AH122</f>
        <v>82</v>
      </c>
      <c r="AI126" s="44">
        <f t="shared" si="110"/>
        <v>82</v>
      </c>
      <c r="AJ126" s="44">
        <f t="shared" si="110"/>
        <v>83</v>
      </c>
      <c r="AK126" s="44">
        <f t="shared" si="110"/>
        <v>74</v>
      </c>
      <c r="AL126" s="44">
        <f t="shared" si="110"/>
        <v>72</v>
      </c>
      <c r="AM126" s="44">
        <f t="shared" si="110"/>
        <v>71</v>
      </c>
      <c r="AN126" s="44">
        <f t="shared" si="110"/>
        <v>76</v>
      </c>
      <c r="AO126" s="44">
        <f t="shared" si="110"/>
        <v>76</v>
      </c>
      <c r="AP126" s="44">
        <f t="shared" si="110"/>
        <v>79</v>
      </c>
      <c r="AQ126" s="110">
        <f t="shared" si="110"/>
        <v>95</v>
      </c>
      <c r="AR126" s="110">
        <f t="shared" si="110"/>
        <v>97</v>
      </c>
      <c r="AS126" s="110">
        <f t="shared" si="110"/>
        <v>84</v>
      </c>
      <c r="AT126" s="110">
        <f t="shared" si="110"/>
        <v>75</v>
      </c>
      <c r="AU126" s="110">
        <f t="shared" si="110"/>
        <v>69</v>
      </c>
      <c r="AV126" s="110">
        <f t="shared" si="110"/>
        <v>65</v>
      </c>
      <c r="AW126" s="110">
        <f t="shared" si="110"/>
        <v>62</v>
      </c>
      <c r="AX126" s="110">
        <f t="shared" si="110"/>
        <v>62</v>
      </c>
      <c r="AY126" s="110">
        <f t="shared" si="110"/>
        <v>63</v>
      </c>
      <c r="AZ126" s="110">
        <f t="shared" si="110"/>
        <v>62</v>
      </c>
      <c r="BA126" s="110">
        <f t="shared" si="110"/>
        <v>63.474021</v>
      </c>
      <c r="BB126" s="110">
        <f t="shared" si="110"/>
        <v>63.450471</v>
      </c>
      <c r="BC126" s="110">
        <f t="shared" si="110"/>
        <v>63.057507000000001</v>
      </c>
      <c r="BD126" s="110">
        <f t="shared" si="110"/>
        <v>66.036326000000003</v>
      </c>
      <c r="BE126" s="110">
        <f t="shared" si="110"/>
        <v>65.711447000000007</v>
      </c>
      <c r="BF126" s="110">
        <f t="shared" si="110"/>
        <v>62.467827</v>
      </c>
      <c r="BG126" s="110">
        <f t="shared" si="110"/>
        <v>60.212339999999998</v>
      </c>
      <c r="BH126" s="110">
        <f t="shared" si="110"/>
        <v>64.009735000000006</v>
      </c>
      <c r="BI126" s="110">
        <f t="shared" si="110"/>
        <v>65.463733000000005</v>
      </c>
    </row>
    <row r="127" spans="1:61">
      <c r="A127" s="44" t="s">
        <v>143</v>
      </c>
      <c r="C127" s="110" t="e">
        <f>C125+C126</f>
        <v>#VALUE!</v>
      </c>
      <c r="M127" s="110" t="e">
        <f>M125+M126</f>
        <v>#VALUE!</v>
      </c>
      <c r="R127" s="110">
        <f>R125+R126</f>
        <v>74.056511056511056</v>
      </c>
      <c r="W127" s="110">
        <f>W125+W126</f>
        <v>79.601965601965603</v>
      </c>
      <c r="AB127" s="110">
        <f>AB125+AB126</f>
        <v>83.120393120393118</v>
      </c>
      <c r="AG127" s="110">
        <f>AG125+AG126</f>
        <v>102.27027027027026</v>
      </c>
      <c r="AH127" s="110">
        <f t="shared" ref="AH127:BI127" si="111">AH125+AH126</f>
        <v>100.61179361179362</v>
      </c>
      <c r="AI127" s="110">
        <f t="shared" si="111"/>
        <v>100.42751842751842</v>
      </c>
      <c r="AJ127" s="110">
        <f t="shared" si="111"/>
        <v>101.48894348894349</v>
      </c>
      <c r="AK127" s="110">
        <f t="shared" si="111"/>
        <v>92.980343980343974</v>
      </c>
      <c r="AL127" s="110">
        <f t="shared" si="111"/>
        <v>92.638820638820633</v>
      </c>
      <c r="AM127" s="110">
        <f t="shared" si="111"/>
        <v>93.297297297297291</v>
      </c>
      <c r="AN127" s="110">
        <f t="shared" si="111"/>
        <v>99.95577395577395</v>
      </c>
      <c r="AO127" s="110">
        <f t="shared" si="111"/>
        <v>101.55282555282555</v>
      </c>
      <c r="AP127" s="110">
        <f t="shared" si="111"/>
        <v>106.21130221130221</v>
      </c>
      <c r="AQ127" s="110">
        <f t="shared" si="111"/>
        <v>123.86977886977887</v>
      </c>
      <c r="AR127" s="110">
        <f t="shared" si="111"/>
        <v>125.009828009828</v>
      </c>
      <c r="AS127" s="110">
        <f t="shared" si="111"/>
        <v>115.81818181818181</v>
      </c>
      <c r="AT127" s="110">
        <f t="shared" si="111"/>
        <v>107.98525798525799</v>
      </c>
      <c r="AU127" s="110">
        <f t="shared" si="111"/>
        <v>102.84520884520884</v>
      </c>
      <c r="AV127" s="110">
        <f t="shared" si="111"/>
        <v>97.616707616707615</v>
      </c>
      <c r="AW127" s="110">
        <f t="shared" si="111"/>
        <v>95.722358722358706</v>
      </c>
      <c r="AX127" s="110">
        <f t="shared" si="111"/>
        <v>97.503685503685489</v>
      </c>
      <c r="AY127" s="110">
        <f t="shared" si="111"/>
        <v>98.749385749385738</v>
      </c>
      <c r="AZ127" s="110">
        <f t="shared" si="111"/>
        <v>96.705159705159701</v>
      </c>
      <c r="BA127" s="110">
        <f t="shared" si="111"/>
        <v>97.789841929238321</v>
      </c>
      <c r="BB127" s="110">
        <f t="shared" si="111"/>
        <v>97.567504783783789</v>
      </c>
      <c r="BC127" s="110">
        <f t="shared" si="111"/>
        <v>96.792227638820634</v>
      </c>
      <c r="BD127" s="110">
        <f t="shared" si="111"/>
        <v>98.292295616707619</v>
      </c>
      <c r="BE127" s="110">
        <f t="shared" si="111"/>
        <v>97.365722674201479</v>
      </c>
      <c r="BF127" s="110">
        <f t="shared" si="111"/>
        <v>93.42709278329238</v>
      </c>
      <c r="BG127" s="110">
        <f t="shared" si="111"/>
        <v>91.889947982447168</v>
      </c>
      <c r="BH127" s="110">
        <f t="shared" si="111"/>
        <v>94.104889852579845</v>
      </c>
      <c r="BI127" s="110">
        <f t="shared" si="111"/>
        <v>95.253376467955775</v>
      </c>
    </row>
    <row r="130" spans="1:61">
      <c r="A130" s="44" t="s">
        <v>140</v>
      </c>
    </row>
    <row r="132" spans="1:61">
      <c r="A132" s="44" t="s">
        <v>146</v>
      </c>
      <c r="C132" s="4">
        <f>C79/C81</f>
        <v>0.65905383360522019</v>
      </c>
      <c r="D132" s="4">
        <f t="shared" ref="D132:BI132" si="112">D79/D81</f>
        <v>0.66896551724137931</v>
      </c>
      <c r="E132" s="4">
        <f t="shared" si="112"/>
        <v>0.67900826446280982</v>
      </c>
      <c r="F132" s="4">
        <f t="shared" si="112"/>
        <v>0.68918469217970035</v>
      </c>
      <c r="G132" s="4">
        <f t="shared" si="112"/>
        <v>0.69949748743718576</v>
      </c>
      <c r="H132" s="4">
        <f t="shared" si="112"/>
        <v>0.7099494097807757</v>
      </c>
      <c r="I132" s="4">
        <f t="shared" si="112"/>
        <v>0.72994467496542181</v>
      </c>
      <c r="J132" s="4">
        <f t="shared" si="112"/>
        <v>0.75097552323518979</v>
      </c>
      <c r="K132" s="4">
        <f t="shared" si="112"/>
        <v>0.77312454479242543</v>
      </c>
      <c r="L132" s="4">
        <f t="shared" si="112"/>
        <v>0.79648335203890763</v>
      </c>
      <c r="M132" s="4">
        <f t="shared" si="112"/>
        <v>0.82115384615384612</v>
      </c>
      <c r="N132" s="4">
        <f t="shared" si="112"/>
        <v>0.84003183446080376</v>
      </c>
      <c r="O132" s="4">
        <f t="shared" si="112"/>
        <v>0.86026380873866437</v>
      </c>
      <c r="P132" s="4">
        <f t="shared" si="112"/>
        <v>0.88200085506626746</v>
      </c>
      <c r="Q132" s="4">
        <f t="shared" si="112"/>
        <v>0.90541740674955562</v>
      </c>
      <c r="R132" s="4">
        <f t="shared" si="112"/>
        <v>0.93071593533487296</v>
      </c>
      <c r="S132" s="4">
        <f t="shared" si="112"/>
        <v>0.93150684931506844</v>
      </c>
      <c r="T132" s="4">
        <f t="shared" si="112"/>
        <v>0.93227990970654628</v>
      </c>
      <c r="U132" s="4">
        <f t="shared" si="112"/>
        <v>0.9330357142857143</v>
      </c>
      <c r="V132" s="4">
        <f t="shared" si="112"/>
        <v>0.93377483443708609</v>
      </c>
      <c r="W132" s="4">
        <f t="shared" si="112"/>
        <v>0.93449781659388642</v>
      </c>
      <c r="X132" s="4">
        <f t="shared" si="112"/>
        <v>0.93209597102761432</v>
      </c>
      <c r="Y132" s="4">
        <f t="shared" si="112"/>
        <v>0.92951127819548873</v>
      </c>
      <c r="Z132" s="4">
        <f t="shared" si="112"/>
        <v>0.92672203224230587</v>
      </c>
      <c r="AA132" s="4">
        <f t="shared" si="112"/>
        <v>0.92370295015259407</v>
      </c>
      <c r="AB132" s="4">
        <f t="shared" si="112"/>
        <v>0.92042440318302388</v>
      </c>
      <c r="AC132" s="4">
        <f t="shared" si="112"/>
        <v>0.92035398230088505</v>
      </c>
      <c r="AD132" s="4">
        <f t="shared" si="112"/>
        <v>0.92028615227388877</v>
      </c>
      <c r="AE132" s="4">
        <f t="shared" si="112"/>
        <v>0.92022077270446589</v>
      </c>
      <c r="AF132" s="4">
        <f t="shared" si="112"/>
        <v>0.92015771315919204</v>
      </c>
      <c r="AG132" s="4">
        <f t="shared" si="112"/>
        <v>0.92009685230024219</v>
      </c>
      <c r="AH132" s="4">
        <f t="shared" si="112"/>
        <v>0.91687041564792171</v>
      </c>
      <c r="AI132" s="4">
        <f t="shared" si="112"/>
        <v>0.91981132075471694</v>
      </c>
      <c r="AJ132" s="4">
        <f t="shared" si="112"/>
        <v>0.92045454545454541</v>
      </c>
      <c r="AK132" s="4">
        <f t="shared" si="112"/>
        <v>0.92842105263157892</v>
      </c>
      <c r="AL132" s="4">
        <f t="shared" si="112"/>
        <v>0.9346938775510204</v>
      </c>
      <c r="AM132" s="4">
        <f t="shared" si="112"/>
        <v>0.93987975951903813</v>
      </c>
      <c r="AN132" s="4">
        <f t="shared" si="112"/>
        <v>0.93688362919132151</v>
      </c>
      <c r="AO132" s="4">
        <f t="shared" si="112"/>
        <v>0.93503937007874016</v>
      </c>
      <c r="AP132" s="4">
        <f t="shared" si="112"/>
        <v>0.93511450381679384</v>
      </c>
      <c r="AQ132" s="4">
        <f t="shared" si="112"/>
        <v>0.93506493506493504</v>
      </c>
      <c r="AR132" s="4">
        <f t="shared" si="112"/>
        <v>0.93283582089552242</v>
      </c>
      <c r="AS132" s="4">
        <f t="shared" si="112"/>
        <v>0.92936802973977695</v>
      </c>
      <c r="AT132" s="4">
        <f t="shared" si="112"/>
        <v>0.93309222423146476</v>
      </c>
      <c r="AU132" s="4">
        <f t="shared" si="112"/>
        <v>0.93531468531468531</v>
      </c>
      <c r="AV132" s="4">
        <f t="shared" si="112"/>
        <v>0.93835616438356162</v>
      </c>
      <c r="AW132" s="4">
        <f t="shared" si="112"/>
        <v>0.93989983305509184</v>
      </c>
      <c r="AX132" s="4">
        <f t="shared" si="112"/>
        <v>0.93620689655172418</v>
      </c>
      <c r="AY132" s="4">
        <f t="shared" si="112"/>
        <v>0.93238434163701067</v>
      </c>
      <c r="AZ132" s="4">
        <f t="shared" si="112"/>
        <v>0.91983122362869196</v>
      </c>
      <c r="BA132" s="4">
        <f t="shared" si="112"/>
        <v>0.9278752436647173</v>
      </c>
      <c r="BB132" s="4">
        <f t="shared" si="112"/>
        <v>0.93007177588277556</v>
      </c>
      <c r="BC132" s="4">
        <f t="shared" si="112"/>
        <v>0.93000959485894075</v>
      </c>
      <c r="BD132" s="4">
        <f t="shared" si="112"/>
        <v>0.9291843198855444</v>
      </c>
      <c r="BE132" s="4">
        <f t="shared" si="112"/>
        <v>0.93165342155417308</v>
      </c>
      <c r="BF132" s="4">
        <f t="shared" si="112"/>
        <v>0.92900268604224534</v>
      </c>
      <c r="BG132" s="4">
        <f t="shared" si="112"/>
        <v>0.92294366294782071</v>
      </c>
      <c r="BH132" s="4">
        <f t="shared" si="112"/>
        <v>0.92475020422928544</v>
      </c>
      <c r="BI132" s="4">
        <f t="shared" si="112"/>
        <v>0.9264601523873961</v>
      </c>
    </row>
    <row r="134" spans="1:61">
      <c r="A134" s="44" t="s">
        <v>141</v>
      </c>
      <c r="C134" s="12">
        <f>C79/C89</f>
        <v>0.11666185388391569</v>
      </c>
      <c r="R134" s="12">
        <f>R79/R89</f>
        <v>0.1101996171725458</v>
      </c>
      <c r="W134" s="12">
        <f>W79/W89</f>
        <v>0.1096311475409836</v>
      </c>
      <c r="AB134" s="12">
        <f>AB79/AB89</f>
        <v>0.11157556270096464</v>
      </c>
      <c r="AG134" s="12">
        <f t="shared" ref="AG134:BB134" si="113">AG79/AG89</f>
        <v>0.12199036918138041</v>
      </c>
      <c r="AH134" s="12">
        <f t="shared" si="113"/>
        <v>0.12904335856847901</v>
      </c>
      <c r="AI134" s="12">
        <f t="shared" si="113"/>
        <v>0.12978369384359401</v>
      </c>
      <c r="AJ134" s="12">
        <f t="shared" si="113"/>
        <v>0.13115284974093264</v>
      </c>
      <c r="AK134" s="12">
        <f t="shared" si="113"/>
        <v>0.13227354529094182</v>
      </c>
      <c r="AL134" s="12">
        <f t="shared" si="113"/>
        <v>0.13160919540229885</v>
      </c>
      <c r="AM134" s="12">
        <f t="shared" si="113"/>
        <v>0.13104219055602123</v>
      </c>
      <c r="AN134" s="12">
        <f t="shared" si="113"/>
        <v>0.13286713286713286</v>
      </c>
      <c r="AO134" s="12">
        <f t="shared" si="113"/>
        <v>0.13257047167178343</v>
      </c>
      <c r="AP134" s="12">
        <f t="shared" si="113"/>
        <v>0.13189771197846567</v>
      </c>
      <c r="AQ134" s="12">
        <f t="shared" si="113"/>
        <v>0.13621621621621621</v>
      </c>
      <c r="AR134" s="12">
        <f t="shared" si="113"/>
        <v>0.13477088948787061</v>
      </c>
      <c r="AS134" s="12">
        <f t="shared" si="113"/>
        <v>0.13404825737265416</v>
      </c>
      <c r="AT134" s="12">
        <f t="shared" si="113"/>
        <v>0.13486670151594354</v>
      </c>
      <c r="AU134" s="12">
        <f t="shared" si="113"/>
        <v>0.13180586351318058</v>
      </c>
      <c r="AV134" s="12">
        <f t="shared" si="113"/>
        <v>0.13372376769155686</v>
      </c>
      <c r="AW134" s="12">
        <f t="shared" si="113"/>
        <v>0.13430343511450382</v>
      </c>
      <c r="AX134" s="12">
        <f t="shared" si="113"/>
        <v>0.13367799113737075</v>
      </c>
      <c r="AY134" s="12">
        <f t="shared" si="113"/>
        <v>0.13484302624806999</v>
      </c>
      <c r="AZ134" s="12">
        <f t="shared" si="113"/>
        <v>0.13659147869674185</v>
      </c>
      <c r="BA134" s="12">
        <f t="shared" si="113"/>
        <v>0.13623354321694334</v>
      </c>
      <c r="BB134" s="12">
        <f t="shared" si="113"/>
        <v>0.13387001356852102</v>
      </c>
      <c r="BC134" s="12">
        <f>BC79/BC119</f>
        <v>0.13893</v>
      </c>
      <c r="BD134" s="12">
        <f t="shared" ref="BD134:BI134" si="114">BD79/BD119</f>
        <v>0.13687778381314503</v>
      </c>
      <c r="BE134" s="12">
        <f t="shared" si="114"/>
        <v>0.13399715541763643</v>
      </c>
      <c r="BF134" s="12">
        <f t="shared" si="114"/>
        <v>0.13396262188515709</v>
      </c>
      <c r="BG134" s="12">
        <f t="shared" si="114"/>
        <v>0.13378020679468242</v>
      </c>
      <c r="BH134" s="12">
        <f t="shared" si="114"/>
        <v>0.13311931330472104</v>
      </c>
      <c r="BI134" s="12">
        <f t="shared" si="114"/>
        <v>0.13033971553610504</v>
      </c>
    </row>
    <row r="135" spans="1:61">
      <c r="A135" s="44" t="s">
        <v>144</v>
      </c>
      <c r="C135" s="12"/>
      <c r="R135" s="12">
        <f>R109/R127</f>
        <v>0.40509604857171294</v>
      </c>
      <c r="W135" s="12">
        <f>W109/W127</f>
        <v>0.37687511574788568</v>
      </c>
      <c r="AB135" s="12">
        <f>AB109/AB127</f>
        <v>0.3609222583505764</v>
      </c>
      <c r="AG135" s="12">
        <f t="shared" ref="AG135:BA135" si="115">AG109/AG127</f>
        <v>0.32267441860465118</v>
      </c>
      <c r="AH135" s="12">
        <f t="shared" si="115"/>
        <v>0.33793255024542723</v>
      </c>
      <c r="AI135" s="12">
        <f t="shared" si="115"/>
        <v>0.33855262514067624</v>
      </c>
      <c r="AJ135" s="12">
        <f t="shared" si="115"/>
        <v>0.34486515276231056</v>
      </c>
      <c r="AK135" s="12">
        <f t="shared" si="115"/>
        <v>0.36566868377242823</v>
      </c>
      <c r="AL135" s="12">
        <f t="shared" si="115"/>
        <v>0.34542754084447275</v>
      </c>
      <c r="AM135" s="12">
        <f t="shared" si="115"/>
        <v>0.32155272305909621</v>
      </c>
      <c r="AN135" s="12">
        <f t="shared" si="115"/>
        <v>0.32014158595939241</v>
      </c>
      <c r="AO135" s="12">
        <f t="shared" si="115"/>
        <v>0.32495403077518631</v>
      </c>
      <c r="AP135" s="12">
        <f t="shared" si="115"/>
        <v>0.32011659109836216</v>
      </c>
      <c r="AQ135" s="12">
        <f t="shared" si="115"/>
        <v>0.28255479519984134</v>
      </c>
      <c r="AR135" s="12">
        <f t="shared" si="115"/>
        <v>0.28797735804555907</v>
      </c>
      <c r="AS135" s="12">
        <f t="shared" si="115"/>
        <v>0.32810047095761385</v>
      </c>
      <c r="AT135" s="12">
        <f t="shared" si="115"/>
        <v>0.34263936291240044</v>
      </c>
      <c r="AU135" s="12">
        <f t="shared" si="115"/>
        <v>0.35976396387787279</v>
      </c>
      <c r="AV135" s="12">
        <f t="shared" si="115"/>
        <v>0.36878932796375535</v>
      </c>
      <c r="AW135" s="12">
        <f t="shared" si="115"/>
        <v>0.37608768192202063</v>
      </c>
      <c r="AX135" s="12">
        <f t="shared" si="115"/>
        <v>0.37947283539965737</v>
      </c>
      <c r="AY135" s="12">
        <f t="shared" si="115"/>
        <v>0.38481252021596879</v>
      </c>
      <c r="AZ135" s="12">
        <f t="shared" si="115"/>
        <v>0.39294697527884348</v>
      </c>
      <c r="BA135" s="12">
        <f t="shared" si="115"/>
        <v>0.37836240728125481</v>
      </c>
      <c r="BB135" s="12">
        <f>BB80/BB127</f>
        <v>0.38014705902537899</v>
      </c>
      <c r="BC135" s="12">
        <f t="shared" ref="BC135:BI135" si="116">BC80/BC127</f>
        <v>0.38887419907777449</v>
      </c>
      <c r="BD135" s="12">
        <f t="shared" si="116"/>
        <v>0.39077325195232399</v>
      </c>
      <c r="BE135" s="12">
        <f t="shared" si="116"/>
        <v>0.39041460337326822</v>
      </c>
      <c r="BF135" s="12">
        <f t="shared" si="116"/>
        <v>0.40457351153668203</v>
      </c>
      <c r="BG135" s="12">
        <f t="shared" si="116"/>
        <v>0.41144870391288163</v>
      </c>
      <c r="BH135" s="12">
        <f t="shared" si="116"/>
        <v>0.40230640574903254</v>
      </c>
      <c r="BI135" s="12">
        <f t="shared" si="116"/>
        <v>0.3970987843430907</v>
      </c>
    </row>
    <row r="136" spans="1:61">
      <c r="A136" s="44" t="s">
        <v>145</v>
      </c>
      <c r="C136" s="12"/>
      <c r="R136" s="12">
        <f>R81/(R119+R127)</f>
        <v>0.11605291925138619</v>
      </c>
      <c r="W136" s="12">
        <f>W81/(W119+W127)</f>
        <v>0.11497132593938542</v>
      </c>
      <c r="AB136" s="12">
        <f>AB81/(AB119+AB127)</f>
        <v>0.11806632810095413</v>
      </c>
      <c r="AG136" s="12">
        <f>AG81/(AG119+AG127)</f>
        <v>0.12836969396584311</v>
      </c>
      <c r="AH136" s="12">
        <f t="shared" ref="AH136:BI136" si="117">AH81/(AH119+AH127)</f>
        <v>0.13603352480323874</v>
      </c>
      <c r="AI136" s="12">
        <f t="shared" si="117"/>
        <v>0.13653514612207049</v>
      </c>
      <c r="AJ136" s="12">
        <f t="shared" si="117"/>
        <v>0.13795313537556564</v>
      </c>
      <c r="AK136" s="12">
        <f t="shared" si="117"/>
        <v>0.13860598904057339</v>
      </c>
      <c r="AL136" s="12">
        <f t="shared" si="117"/>
        <v>0.13715352281605211</v>
      </c>
      <c r="AM136" s="12">
        <f t="shared" si="117"/>
        <v>0.1358822447102116</v>
      </c>
      <c r="AN136" s="12">
        <f t="shared" si="117"/>
        <v>0.13796084393534294</v>
      </c>
      <c r="AO136" s="12">
        <f t="shared" si="117"/>
        <v>0.13787290454270534</v>
      </c>
      <c r="AP136" s="12">
        <f t="shared" si="117"/>
        <v>0.13712929188102363</v>
      </c>
      <c r="AQ136" s="12">
        <f t="shared" si="117"/>
        <v>0.14095668293372488</v>
      </c>
      <c r="AR136" s="12">
        <f t="shared" si="117"/>
        <v>0.13976496124865376</v>
      </c>
      <c r="AS136" s="12">
        <f t="shared" si="117"/>
        <v>0.13989220877458397</v>
      </c>
      <c r="AT136" s="12">
        <f t="shared" si="117"/>
        <v>0.14056992178034039</v>
      </c>
      <c r="AU136" s="12">
        <f t="shared" si="117"/>
        <v>0.13743903756543444</v>
      </c>
      <c r="AV136" s="12">
        <f t="shared" si="117"/>
        <v>0.13919288645690833</v>
      </c>
      <c r="AW136" s="12">
        <f t="shared" si="117"/>
        <v>0.13970120961341537</v>
      </c>
      <c r="AX136" s="12">
        <f t="shared" si="117"/>
        <v>0.1394397129689684</v>
      </c>
      <c r="AY136" s="12">
        <f t="shared" si="117"/>
        <v>0.14103772799611294</v>
      </c>
      <c r="AZ136" s="12">
        <f t="shared" si="117"/>
        <v>0.14412967322449036</v>
      </c>
      <c r="BA136" s="12">
        <f t="shared" si="117"/>
        <v>0.1428257282793737</v>
      </c>
      <c r="BB136" s="12">
        <f t="shared" si="117"/>
        <v>0.1402224809812927</v>
      </c>
      <c r="BC136" s="12">
        <f t="shared" si="117"/>
        <v>0.1454742292464434</v>
      </c>
      <c r="BD136" s="12">
        <f t="shared" si="117"/>
        <v>0.14347938137717872</v>
      </c>
      <c r="BE136" s="12">
        <f t="shared" si="117"/>
        <v>0.14029482618592096</v>
      </c>
      <c r="BF136" s="12">
        <f t="shared" si="117"/>
        <v>0.14064149538501705</v>
      </c>
      <c r="BG136" s="12">
        <f t="shared" si="117"/>
        <v>0.14111864549659223</v>
      </c>
      <c r="BH136" s="12">
        <f t="shared" si="117"/>
        <v>0.14017729083996344</v>
      </c>
      <c r="BI136" s="12">
        <f t="shared" si="117"/>
        <v>0.13711337208692911</v>
      </c>
    </row>
    <row r="137" spans="1:61">
      <c r="A137" s="44" t="s">
        <v>147</v>
      </c>
      <c r="W137" s="12">
        <f>W135/0.4</f>
        <v>0.94218778936971415</v>
      </c>
    </row>
    <row r="140" spans="1:61">
      <c r="A140" s="44" t="s">
        <v>38</v>
      </c>
    </row>
    <row r="141" spans="1:61">
      <c r="C141" s="44">
        <v>1960</v>
      </c>
      <c r="H141" s="44">
        <v>1965</v>
      </c>
      <c r="M141" s="44">
        <v>1970</v>
      </c>
      <c r="R141" s="44">
        <v>1975</v>
      </c>
      <c r="W141" s="44">
        <v>1980</v>
      </c>
      <c r="AB141" s="44">
        <v>1985</v>
      </c>
      <c r="AG141" s="44">
        <v>1990</v>
      </c>
      <c r="AH141" s="44">
        <v>1991</v>
      </c>
      <c r="AI141" s="44">
        <v>1992</v>
      </c>
      <c r="AJ141" s="44">
        <v>1993</v>
      </c>
      <c r="AK141" s="44">
        <v>1994</v>
      </c>
      <c r="AL141" s="44">
        <v>1995</v>
      </c>
      <c r="AM141" s="44">
        <v>1996</v>
      </c>
      <c r="AN141" s="44">
        <v>1997</v>
      </c>
      <c r="AO141" s="44">
        <v>1998</v>
      </c>
      <c r="AP141" s="44">
        <v>1999</v>
      </c>
      <c r="AQ141" s="44">
        <v>2000</v>
      </c>
      <c r="AR141" s="44">
        <v>2001</v>
      </c>
      <c r="AS141" s="44">
        <v>2002</v>
      </c>
      <c r="AT141" s="44">
        <v>2003</v>
      </c>
      <c r="AU141" s="44">
        <v>2004</v>
      </c>
      <c r="AV141" s="44">
        <v>2005</v>
      </c>
      <c r="AW141" s="44">
        <v>2006</v>
      </c>
      <c r="AX141" s="44">
        <v>2007</v>
      </c>
      <c r="AY141" s="44">
        <v>2008</v>
      </c>
      <c r="AZ141" s="44">
        <v>2009</v>
      </c>
      <c r="BA141" s="44">
        <v>2010</v>
      </c>
      <c r="BB141" s="44">
        <v>2011</v>
      </c>
    </row>
    <row r="142" spans="1:61" s="43" customFormat="1" ht="14.4">
      <c r="A142" s="43" t="s">
        <v>23</v>
      </c>
    </row>
    <row r="143" spans="1:61">
      <c r="A143" s="44" t="s">
        <v>39</v>
      </c>
      <c r="C143" s="44">
        <v>480</v>
      </c>
      <c r="H143" s="44">
        <v>498</v>
      </c>
      <c r="M143" s="44">
        <v>492</v>
      </c>
      <c r="R143" s="44">
        <v>507</v>
      </c>
      <c r="W143" s="44">
        <v>541</v>
      </c>
      <c r="AB143" s="44">
        <v>431</v>
      </c>
      <c r="AG143" s="44">
        <v>432</v>
      </c>
      <c r="AH143" s="44">
        <v>403</v>
      </c>
      <c r="AI143" s="44">
        <v>417</v>
      </c>
      <c r="AJ143" s="44">
        <v>428</v>
      </c>
      <c r="AK143" s="44">
        <v>462</v>
      </c>
      <c r="AL143" s="44">
        <v>483</v>
      </c>
      <c r="AM143" s="44">
        <v>496</v>
      </c>
      <c r="AN143" s="44">
        <v>496</v>
      </c>
      <c r="AO143" s="44">
        <v>497</v>
      </c>
      <c r="AP143" s="44">
        <v>515</v>
      </c>
      <c r="AQ143" s="44">
        <v>513</v>
      </c>
      <c r="AR143" s="44">
        <v>515</v>
      </c>
      <c r="AS143" s="44">
        <v>517</v>
      </c>
      <c r="AT143" s="44">
        <v>531</v>
      </c>
      <c r="AU143" s="44">
        <v>563</v>
      </c>
      <c r="AV143" s="44">
        <v>568</v>
      </c>
      <c r="AW143" s="44">
        <v>581</v>
      </c>
      <c r="AX143" s="44">
        <v>563</v>
      </c>
      <c r="AY143" s="44">
        <v>539</v>
      </c>
      <c r="AZ143" s="44">
        <v>443</v>
      </c>
      <c r="BA143" s="44">
        <v>485</v>
      </c>
      <c r="BB143" s="44">
        <v>511</v>
      </c>
    </row>
    <row r="144" spans="1:61" s="3" customFormat="1">
      <c r="A144" s="3" t="s">
        <v>25</v>
      </c>
    </row>
    <row r="145" spans="1:54">
      <c r="A145" s="44" t="s">
        <v>1</v>
      </c>
      <c r="C145" s="44" t="s">
        <v>22</v>
      </c>
      <c r="H145" s="44" t="s">
        <v>22</v>
      </c>
      <c r="M145" s="44" t="s">
        <v>22</v>
      </c>
      <c r="R145" s="44">
        <v>1</v>
      </c>
      <c r="W145" s="44">
        <v>1</v>
      </c>
      <c r="AB145" s="44">
        <v>1</v>
      </c>
      <c r="AG145" s="44">
        <v>1</v>
      </c>
      <c r="AH145" s="44">
        <v>1</v>
      </c>
      <c r="AI145" s="44">
        <v>1</v>
      </c>
      <c r="AJ145" s="44">
        <v>1</v>
      </c>
      <c r="AK145" s="44">
        <v>1</v>
      </c>
      <c r="AL145" s="44">
        <v>1</v>
      </c>
      <c r="AM145" s="44">
        <v>1</v>
      </c>
      <c r="AN145" s="44">
        <v>1</v>
      </c>
      <c r="AO145" s="44">
        <v>1</v>
      </c>
      <c r="AP145" s="44">
        <v>2</v>
      </c>
      <c r="AQ145" s="44">
        <v>2</v>
      </c>
      <c r="AR145" s="44">
        <v>2</v>
      </c>
      <c r="AS145" s="44">
        <v>2</v>
      </c>
      <c r="AT145" s="44">
        <v>2</v>
      </c>
      <c r="AU145" s="44">
        <v>2</v>
      </c>
      <c r="AV145" s="44">
        <v>2</v>
      </c>
      <c r="AW145" s="44">
        <v>2</v>
      </c>
      <c r="AX145" s="44">
        <v>2</v>
      </c>
      <c r="AY145" s="44">
        <v>2</v>
      </c>
      <c r="AZ145" s="44">
        <v>2</v>
      </c>
      <c r="BA145" s="44">
        <v>2</v>
      </c>
      <c r="BB145" s="44">
        <v>2</v>
      </c>
    </row>
    <row r="146" spans="1:54">
      <c r="A146" s="44" t="s">
        <v>39</v>
      </c>
      <c r="C146" s="44" t="s">
        <v>22</v>
      </c>
      <c r="H146" s="44" t="s">
        <v>22</v>
      </c>
      <c r="M146" s="44" t="s">
        <v>22</v>
      </c>
      <c r="R146" s="44">
        <v>9</v>
      </c>
      <c r="W146" s="44">
        <v>9</v>
      </c>
      <c r="AB146" s="44">
        <v>9</v>
      </c>
      <c r="AG146" s="44">
        <v>11</v>
      </c>
      <c r="AH146" s="44">
        <v>11</v>
      </c>
      <c r="AI146" s="44">
        <v>11</v>
      </c>
      <c r="AJ146" s="44">
        <v>11</v>
      </c>
      <c r="AK146" s="44">
        <v>10</v>
      </c>
      <c r="AL146" s="44">
        <v>10</v>
      </c>
      <c r="AM146" s="44">
        <v>10</v>
      </c>
      <c r="AN146" s="44">
        <v>10</v>
      </c>
      <c r="AO146" s="44">
        <v>11</v>
      </c>
      <c r="AP146" s="44">
        <v>11</v>
      </c>
      <c r="AQ146" s="44">
        <v>13</v>
      </c>
      <c r="AR146" s="44">
        <v>13</v>
      </c>
      <c r="AS146" s="44">
        <v>12</v>
      </c>
      <c r="AT146" s="44">
        <v>10</v>
      </c>
      <c r="AU146" s="44">
        <v>10</v>
      </c>
      <c r="AV146" s="44">
        <v>9</v>
      </c>
      <c r="AW146" s="44">
        <v>9</v>
      </c>
      <c r="AX146" s="44">
        <v>9</v>
      </c>
      <c r="AY146" s="44">
        <v>9</v>
      </c>
      <c r="AZ146" s="44">
        <v>9</v>
      </c>
      <c r="BA146" s="44">
        <v>9</v>
      </c>
      <c r="BB146" s="44">
        <v>9</v>
      </c>
    </row>
    <row r="149" spans="1:54" ht="14.4">
      <c r="A149" s="43" t="s">
        <v>40</v>
      </c>
    </row>
    <row r="150" spans="1:54">
      <c r="C150" s="44">
        <v>1960</v>
      </c>
      <c r="H150" s="44">
        <v>1965</v>
      </c>
      <c r="M150" s="44">
        <v>1970</v>
      </c>
      <c r="R150" s="44">
        <v>1975</v>
      </c>
      <c r="W150" s="44">
        <v>1980</v>
      </c>
      <c r="AB150" s="44">
        <v>1985</v>
      </c>
      <c r="AG150" s="44">
        <v>1990</v>
      </c>
      <c r="AH150" s="44">
        <v>1991</v>
      </c>
      <c r="AI150" s="44">
        <v>1992</v>
      </c>
      <c r="AJ150" s="44">
        <v>1993</v>
      </c>
      <c r="AK150" s="44">
        <v>1994</v>
      </c>
      <c r="AL150" s="44">
        <v>1995</v>
      </c>
      <c r="AM150" s="44">
        <v>1996</v>
      </c>
      <c r="AN150" s="44">
        <v>1997</v>
      </c>
      <c r="AO150" s="44">
        <v>1998</v>
      </c>
      <c r="AP150" s="44">
        <v>1999</v>
      </c>
      <c r="AQ150" s="44">
        <v>2000</v>
      </c>
      <c r="AR150" s="44">
        <v>2001</v>
      </c>
      <c r="AS150" s="44">
        <v>2002</v>
      </c>
      <c r="AT150" s="44">
        <v>2003</v>
      </c>
      <c r="AU150" s="44">
        <v>2004</v>
      </c>
      <c r="AV150" s="44">
        <v>2005</v>
      </c>
      <c r="AW150" s="44">
        <v>2006</v>
      </c>
      <c r="AX150" s="44">
        <v>2007</v>
      </c>
      <c r="AY150" s="44">
        <v>2008</v>
      </c>
      <c r="AZ150" s="44">
        <v>2009</v>
      </c>
      <c r="BA150" s="44">
        <v>2010</v>
      </c>
      <c r="BB150" s="44">
        <v>2011</v>
      </c>
    </row>
    <row r="151" spans="1:54">
      <c r="A151" s="44" t="s">
        <v>41</v>
      </c>
    </row>
    <row r="152" spans="1:54">
      <c r="A152" s="44" t="s">
        <v>42</v>
      </c>
      <c r="C152" s="1">
        <v>29031</v>
      </c>
      <c r="H152" s="1">
        <v>27780</v>
      </c>
      <c r="M152" s="1">
        <v>27077</v>
      </c>
      <c r="R152" s="1">
        <v>27846</v>
      </c>
      <c r="W152" s="1">
        <v>28094</v>
      </c>
      <c r="AB152" s="1">
        <v>22548</v>
      </c>
      <c r="AG152" s="1">
        <v>18835</v>
      </c>
      <c r="AH152" s="1">
        <v>18344</v>
      </c>
      <c r="AI152" s="1">
        <v>18004</v>
      </c>
      <c r="AJ152" s="1">
        <v>18161</v>
      </c>
      <c r="AK152" s="1">
        <v>18505</v>
      </c>
      <c r="AL152" s="1">
        <v>18812</v>
      </c>
      <c r="AM152" s="1">
        <v>19269</v>
      </c>
      <c r="AN152" s="1">
        <v>19684</v>
      </c>
      <c r="AO152" s="1">
        <v>20261</v>
      </c>
      <c r="AP152" s="1">
        <v>20256</v>
      </c>
      <c r="AQ152" s="1">
        <v>20028</v>
      </c>
      <c r="AR152" s="1">
        <v>19745</v>
      </c>
      <c r="AS152" s="1">
        <v>20506</v>
      </c>
      <c r="AT152" s="1">
        <v>20774</v>
      </c>
      <c r="AU152" s="1">
        <v>22015</v>
      </c>
      <c r="AV152" s="1">
        <v>22779</v>
      </c>
      <c r="AW152" s="1">
        <v>23732</v>
      </c>
      <c r="AX152" s="1">
        <v>24143</v>
      </c>
      <c r="AY152" s="1">
        <v>24003</v>
      </c>
      <c r="AZ152" s="1">
        <v>24045</v>
      </c>
      <c r="BA152" s="1">
        <v>23893</v>
      </c>
      <c r="BB152" s="1">
        <v>24250</v>
      </c>
    </row>
    <row r="153" spans="1:54">
      <c r="A153" s="44" t="s">
        <v>43</v>
      </c>
      <c r="C153" s="1">
        <v>1965486</v>
      </c>
      <c r="H153" s="1">
        <v>1800662</v>
      </c>
      <c r="M153" s="1">
        <v>1784181</v>
      </c>
      <c r="R153" s="1">
        <v>1723605</v>
      </c>
      <c r="W153" s="1">
        <v>1710827</v>
      </c>
      <c r="AB153" s="1">
        <v>1421686</v>
      </c>
      <c r="AG153" s="1">
        <v>1212261</v>
      </c>
      <c r="AH153" s="1">
        <v>1189660</v>
      </c>
      <c r="AI153" s="1">
        <v>1173136</v>
      </c>
      <c r="AJ153" s="1">
        <v>1173132</v>
      </c>
      <c r="AK153" s="1">
        <v>1192412</v>
      </c>
      <c r="AL153" s="1">
        <v>1218927</v>
      </c>
      <c r="AM153" s="1">
        <v>1240573</v>
      </c>
      <c r="AN153" s="1">
        <v>1270419</v>
      </c>
      <c r="AO153" s="1">
        <v>1315667</v>
      </c>
      <c r="AP153" s="1">
        <v>1368836</v>
      </c>
      <c r="AQ153" s="1">
        <v>1380796</v>
      </c>
      <c r="AR153" s="1">
        <v>1314136</v>
      </c>
      <c r="AS153" s="1">
        <v>1299670</v>
      </c>
      <c r="AT153" s="1">
        <v>1278980</v>
      </c>
      <c r="AU153" s="1">
        <v>1287920</v>
      </c>
      <c r="AV153" s="1">
        <v>1316522</v>
      </c>
      <c r="AW153" s="1">
        <v>1361250</v>
      </c>
      <c r="AX153" s="1">
        <v>1385709</v>
      </c>
      <c r="AY153" s="1">
        <v>1392972</v>
      </c>
      <c r="AZ153" s="1">
        <v>1363433</v>
      </c>
      <c r="BA153" s="1">
        <v>1309029</v>
      </c>
      <c r="BB153" s="1">
        <v>1283225</v>
      </c>
    </row>
    <row r="154" spans="1:54">
      <c r="A154" s="44" t="s">
        <v>113</v>
      </c>
      <c r="C154" s="1">
        <f>C153/C152</f>
        <v>67.703007130308976</v>
      </c>
      <c r="H154" s="1">
        <f>H153/H152</f>
        <v>64.818646508279343</v>
      </c>
      <c r="M154" s="1">
        <f>M153/M152</f>
        <v>65.892861099826419</v>
      </c>
      <c r="R154" s="1">
        <f>R153/R152</f>
        <v>61.897759103641455</v>
      </c>
      <c r="W154" s="1">
        <f>W153/W152</f>
        <v>60.896525948601123</v>
      </c>
      <c r="AB154" s="1">
        <f>AB153/AB152</f>
        <v>63.051534504168885</v>
      </c>
      <c r="AG154" s="1">
        <f t="shared" ref="AG154:BB154" si="118">AG153/AG152</f>
        <v>64.362144942925411</v>
      </c>
      <c r="AH154" s="1">
        <f t="shared" si="118"/>
        <v>64.852812908853025</v>
      </c>
      <c r="AI154" s="1">
        <f t="shared" si="118"/>
        <v>65.159742279493443</v>
      </c>
      <c r="AJ154" s="1">
        <f t="shared" si="118"/>
        <v>64.596222674962831</v>
      </c>
      <c r="AK154" s="1">
        <f t="shared" si="118"/>
        <v>64.437287219670353</v>
      </c>
      <c r="AL154" s="1">
        <f t="shared" si="118"/>
        <v>64.795183925154163</v>
      </c>
      <c r="AM154" s="1">
        <f t="shared" si="118"/>
        <v>64.381804971716221</v>
      </c>
      <c r="AN154" s="1">
        <f t="shared" si="118"/>
        <v>64.54069294858769</v>
      </c>
      <c r="AO154" s="1">
        <f t="shared" si="118"/>
        <v>64.935936034746561</v>
      </c>
      <c r="AP154" s="1">
        <f t="shared" si="118"/>
        <v>67.576816745655606</v>
      </c>
      <c r="AQ154" s="1">
        <f t="shared" si="118"/>
        <v>68.943279408827635</v>
      </c>
      <c r="AR154" s="1">
        <f t="shared" si="118"/>
        <v>66.55538110914155</v>
      </c>
      <c r="AS154" s="1">
        <f t="shared" si="118"/>
        <v>63.379986345459862</v>
      </c>
      <c r="AT154" s="1">
        <f t="shared" si="118"/>
        <v>61.566381053239624</v>
      </c>
      <c r="AU154" s="1">
        <f t="shared" si="118"/>
        <v>58.501930501930502</v>
      </c>
      <c r="AV154" s="1">
        <f t="shared" si="118"/>
        <v>57.795425611308659</v>
      </c>
      <c r="AW154" s="1">
        <f t="shared" si="118"/>
        <v>57.359261756278443</v>
      </c>
      <c r="AX154" s="1">
        <f t="shared" si="118"/>
        <v>57.395891148573085</v>
      </c>
      <c r="AY154" s="1">
        <f t="shared" si="118"/>
        <v>58.033245844269466</v>
      </c>
      <c r="AZ154" s="1">
        <f t="shared" si="118"/>
        <v>56.703389478061965</v>
      </c>
      <c r="BA154" s="1">
        <f t="shared" si="118"/>
        <v>54.787134307119238</v>
      </c>
      <c r="BB154" s="1">
        <f t="shared" si="118"/>
        <v>52.916494845360823</v>
      </c>
    </row>
    <row r="155" spans="1:54">
      <c r="A155" s="44" t="s">
        <v>44</v>
      </c>
    </row>
    <row r="156" spans="1:54">
      <c r="A156" s="44" t="s">
        <v>45</v>
      </c>
      <c r="C156" s="44">
        <v>404</v>
      </c>
      <c r="H156" s="44">
        <v>421</v>
      </c>
      <c r="M156" s="44">
        <v>427</v>
      </c>
      <c r="R156" s="44">
        <v>403</v>
      </c>
      <c r="W156" s="44">
        <v>428</v>
      </c>
      <c r="AB156" s="44">
        <v>347</v>
      </c>
      <c r="AG156" s="44">
        <v>380</v>
      </c>
      <c r="AH156" s="44">
        <v>375</v>
      </c>
      <c r="AI156" s="44">
        <v>390</v>
      </c>
      <c r="AJ156" s="44">
        <v>405</v>
      </c>
      <c r="AK156" s="44">
        <v>441</v>
      </c>
      <c r="AL156" s="44">
        <v>458</v>
      </c>
      <c r="AM156" s="44">
        <v>469</v>
      </c>
      <c r="AN156" s="44">
        <v>475</v>
      </c>
      <c r="AO156" s="44">
        <v>475</v>
      </c>
      <c r="AP156" s="44">
        <v>490</v>
      </c>
      <c r="AQ156" s="44">
        <v>504</v>
      </c>
      <c r="AR156" s="44">
        <v>500</v>
      </c>
      <c r="AS156" s="44">
        <v>500</v>
      </c>
      <c r="AT156" s="44">
        <v>516</v>
      </c>
      <c r="AU156" s="44">
        <v>535</v>
      </c>
      <c r="AV156" s="44">
        <v>548</v>
      </c>
      <c r="AW156" s="44">
        <v>563</v>
      </c>
      <c r="AX156" s="44">
        <v>543</v>
      </c>
      <c r="AY156" s="44">
        <v>524</v>
      </c>
      <c r="AZ156" s="44">
        <v>436</v>
      </c>
      <c r="BA156" s="44">
        <v>476</v>
      </c>
      <c r="BB156" s="44">
        <v>493</v>
      </c>
    </row>
    <row r="157" spans="1:54">
      <c r="A157" s="44" t="s">
        <v>46</v>
      </c>
      <c r="C157" s="44" t="s">
        <v>21</v>
      </c>
      <c r="H157" s="44" t="s">
        <v>21</v>
      </c>
      <c r="M157" s="44" t="s">
        <v>21</v>
      </c>
      <c r="R157" s="1">
        <v>1479</v>
      </c>
      <c r="W157" s="1">
        <v>1531</v>
      </c>
      <c r="AB157" s="1">
        <v>1228</v>
      </c>
      <c r="AG157" s="1">
        <v>1280</v>
      </c>
      <c r="AH157" s="1">
        <v>1238</v>
      </c>
      <c r="AI157" s="1">
        <v>1278</v>
      </c>
      <c r="AJ157" s="1">
        <v>1320</v>
      </c>
      <c r="AK157" s="1">
        <v>1405</v>
      </c>
      <c r="AL157" s="1">
        <v>1445</v>
      </c>
      <c r="AM157" s="1">
        <v>1465</v>
      </c>
      <c r="AN157" s="1">
        <v>1423</v>
      </c>
      <c r="AO157" s="1">
        <v>1440</v>
      </c>
      <c r="AP157" s="1">
        <v>1504</v>
      </c>
      <c r="AQ157" s="1">
        <v>1503</v>
      </c>
      <c r="AR157" s="1">
        <v>1478</v>
      </c>
      <c r="AS157" s="1">
        <v>1444</v>
      </c>
      <c r="AT157" s="1">
        <v>1484</v>
      </c>
      <c r="AU157" s="1">
        <v>1538</v>
      </c>
      <c r="AV157" s="1">
        <v>1588</v>
      </c>
      <c r="AW157" s="1">
        <v>1660</v>
      </c>
      <c r="AX157" s="1">
        <v>1609</v>
      </c>
      <c r="AY157" s="1">
        <v>1559</v>
      </c>
      <c r="AZ157" s="1">
        <v>1309</v>
      </c>
      <c r="BA157" s="1">
        <v>1415</v>
      </c>
      <c r="BB157" s="1">
        <v>1468</v>
      </c>
    </row>
    <row r="158" spans="1:54">
      <c r="A158" s="44" t="s">
        <v>47</v>
      </c>
      <c r="C158" s="1">
        <v>28170</v>
      </c>
      <c r="H158" s="1">
        <v>29336</v>
      </c>
      <c r="M158" s="1">
        <v>29890</v>
      </c>
      <c r="R158" s="1">
        <v>27656</v>
      </c>
      <c r="W158" s="1">
        <v>29277</v>
      </c>
      <c r="AB158" s="1">
        <v>24920</v>
      </c>
      <c r="AG158" s="1">
        <v>26159</v>
      </c>
      <c r="AH158" s="1">
        <v>25628</v>
      </c>
      <c r="AI158" s="1">
        <v>26128</v>
      </c>
      <c r="AJ158" s="1">
        <v>26883</v>
      </c>
      <c r="AK158" s="1">
        <v>28485</v>
      </c>
      <c r="AL158" s="1">
        <v>30383</v>
      </c>
      <c r="AM158" s="1">
        <v>31715</v>
      </c>
      <c r="AN158" s="1">
        <v>31660</v>
      </c>
      <c r="AO158" s="1">
        <v>32657</v>
      </c>
      <c r="AP158" s="1">
        <v>33851</v>
      </c>
      <c r="AQ158" s="1">
        <v>34590</v>
      </c>
      <c r="AR158" s="1">
        <v>34243</v>
      </c>
      <c r="AS158" s="1">
        <v>34680</v>
      </c>
      <c r="AT158" s="1">
        <v>35555</v>
      </c>
      <c r="AU158" s="1">
        <v>37071</v>
      </c>
      <c r="AV158" s="1">
        <v>37712</v>
      </c>
      <c r="AW158" s="1">
        <v>38955</v>
      </c>
      <c r="AX158" s="1">
        <v>38186</v>
      </c>
      <c r="AY158" s="1">
        <v>37226</v>
      </c>
      <c r="AZ158" s="1">
        <v>32115</v>
      </c>
      <c r="BA158" s="1">
        <v>35541</v>
      </c>
      <c r="BB158" s="1">
        <v>36649</v>
      </c>
    </row>
    <row r="159" spans="1:54" s="7" customFormat="1">
      <c r="A159" s="7" t="s">
        <v>113</v>
      </c>
      <c r="C159" s="42">
        <f>C158/C156</f>
        <v>69.727722772277232</v>
      </c>
      <c r="H159" s="42">
        <f>H158/H156</f>
        <v>69.681710213776725</v>
      </c>
      <c r="M159" s="42">
        <f>M158/M156</f>
        <v>70</v>
      </c>
      <c r="R159" s="42">
        <f>R158/R156</f>
        <v>68.625310173697272</v>
      </c>
      <c r="W159" s="42">
        <f>W158/W156</f>
        <v>68.404205607476641</v>
      </c>
      <c r="AB159" s="42">
        <f>AB158/AB156</f>
        <v>71.815561959654175</v>
      </c>
      <c r="AG159" s="42">
        <f t="shared" ref="AG159:BB159" si="119">AG158/AG156</f>
        <v>68.839473684210532</v>
      </c>
      <c r="AH159" s="42">
        <f t="shared" si="119"/>
        <v>68.341333333333338</v>
      </c>
      <c r="AI159" s="42">
        <f t="shared" si="119"/>
        <v>66.994871794871798</v>
      </c>
      <c r="AJ159" s="42">
        <f t="shared" si="119"/>
        <v>66.37777777777778</v>
      </c>
      <c r="AK159" s="42">
        <f t="shared" si="119"/>
        <v>64.591836734693871</v>
      </c>
      <c r="AL159" s="42">
        <f t="shared" si="119"/>
        <v>66.338427947598248</v>
      </c>
      <c r="AM159" s="42">
        <f t="shared" si="119"/>
        <v>67.622601279317692</v>
      </c>
      <c r="AN159" s="42">
        <f t="shared" si="119"/>
        <v>66.652631578947364</v>
      </c>
      <c r="AO159" s="42">
        <f t="shared" si="119"/>
        <v>68.751578947368415</v>
      </c>
      <c r="AP159" s="42">
        <f t="shared" si="119"/>
        <v>69.083673469387762</v>
      </c>
      <c r="AQ159" s="42">
        <f t="shared" si="119"/>
        <v>68.63095238095238</v>
      </c>
      <c r="AR159" s="42">
        <f t="shared" si="119"/>
        <v>68.486000000000004</v>
      </c>
      <c r="AS159" s="42">
        <f t="shared" si="119"/>
        <v>69.36</v>
      </c>
      <c r="AT159" s="42">
        <f t="shared" si="119"/>
        <v>68.905038759689916</v>
      </c>
      <c r="AU159" s="42">
        <f t="shared" si="119"/>
        <v>69.291588785046727</v>
      </c>
      <c r="AV159" s="42">
        <f t="shared" si="119"/>
        <v>68.817518248175176</v>
      </c>
      <c r="AW159" s="42">
        <f t="shared" si="119"/>
        <v>69.191829484902314</v>
      </c>
      <c r="AX159" s="42">
        <f t="shared" si="119"/>
        <v>70.324125230202583</v>
      </c>
      <c r="AY159" s="42">
        <f t="shared" si="119"/>
        <v>71.041984732824432</v>
      </c>
      <c r="AZ159" s="42">
        <f t="shared" si="119"/>
        <v>73.658256880733944</v>
      </c>
      <c r="BA159" s="42">
        <f t="shared" si="119"/>
        <v>74.665966386554615</v>
      </c>
      <c r="BB159" s="42">
        <f t="shared" si="119"/>
        <v>74.338742393509122</v>
      </c>
    </row>
    <row r="160" spans="1:54">
      <c r="A160" s="44" t="s">
        <v>19</v>
      </c>
    </row>
    <row r="161" spans="1:54" s="43" customFormat="1" ht="14.4">
      <c r="A161" s="43" t="s">
        <v>48</v>
      </c>
      <c r="C161" s="43">
        <v>0.12</v>
      </c>
      <c r="H161" s="43">
        <v>0.12</v>
      </c>
      <c r="M161" s="43">
        <v>0.12</v>
      </c>
      <c r="R161" s="43">
        <v>0.11</v>
      </c>
      <c r="W161" s="43">
        <v>0.11</v>
      </c>
      <c r="AB161" s="43">
        <v>0.11</v>
      </c>
      <c r="AG161" s="43">
        <v>0.12</v>
      </c>
      <c r="AH161" s="43">
        <v>0.13</v>
      </c>
      <c r="AI161" s="43">
        <v>0.13</v>
      </c>
      <c r="AJ161" s="43">
        <v>0.13</v>
      </c>
      <c r="AK161" s="43">
        <v>0.13</v>
      </c>
      <c r="AL161" s="43">
        <v>0.13</v>
      </c>
      <c r="AM161" s="43">
        <v>0.13</v>
      </c>
      <c r="AN161" s="43">
        <v>0.13</v>
      </c>
      <c r="AO161" s="43">
        <v>0.13</v>
      </c>
      <c r="AP161" s="43">
        <v>0.13</v>
      </c>
      <c r="AQ161" s="43">
        <v>0.14000000000000001</v>
      </c>
      <c r="AR161" s="43">
        <v>0.13</v>
      </c>
      <c r="AS161" s="43">
        <v>0.13</v>
      </c>
      <c r="AT161" s="43">
        <v>0.13</v>
      </c>
      <c r="AU161" s="43">
        <v>0.13</v>
      </c>
      <c r="AV161" s="43">
        <v>0.13</v>
      </c>
      <c r="AW161" s="43">
        <v>0.13</v>
      </c>
      <c r="AX161" s="43">
        <v>0.13</v>
      </c>
      <c r="AY161" s="43">
        <v>0.13</v>
      </c>
      <c r="AZ161" s="43">
        <v>0.14000000000000001</v>
      </c>
      <c r="BA161" s="43">
        <v>0.14000000000000001</v>
      </c>
      <c r="BB161" s="43">
        <v>0.13</v>
      </c>
    </row>
    <row r="162" spans="1:54">
      <c r="A162" s="44" t="s">
        <v>49</v>
      </c>
      <c r="C162" s="44">
        <v>8.1300000000000008</v>
      </c>
      <c r="H162" s="44">
        <v>8.17</v>
      </c>
      <c r="M162" s="44">
        <v>8.43</v>
      </c>
      <c r="R162" s="44">
        <v>7.56</v>
      </c>
      <c r="W162" s="44">
        <v>7.5</v>
      </c>
      <c r="AB162" s="44">
        <v>8.01</v>
      </c>
      <c r="AG162" s="44">
        <v>8.4</v>
      </c>
      <c r="AH162" s="44">
        <v>8.82</v>
      </c>
      <c r="AI162" s="44">
        <v>8.69</v>
      </c>
      <c r="AJ162" s="44">
        <v>8.7100000000000009</v>
      </c>
      <c r="AK162" s="44">
        <v>8.5399999999999991</v>
      </c>
      <c r="AL162" s="44">
        <v>8.73</v>
      </c>
      <c r="AM162" s="44">
        <v>8.86</v>
      </c>
      <c r="AN162" s="44">
        <v>8.86</v>
      </c>
      <c r="AO162" s="44">
        <v>9.11</v>
      </c>
      <c r="AP162" s="44">
        <v>9.11</v>
      </c>
      <c r="AQ162" s="44">
        <v>9.35</v>
      </c>
      <c r="AR162" s="44">
        <v>9.23</v>
      </c>
      <c r="AS162" s="44">
        <v>9.3000000000000007</v>
      </c>
      <c r="AT162" s="44">
        <v>9.2899999999999991</v>
      </c>
      <c r="AU162" s="44">
        <v>9.1300000000000008</v>
      </c>
      <c r="AV162" s="44">
        <v>9.1999999999999993</v>
      </c>
      <c r="AW162" s="44">
        <v>9.2899999999999991</v>
      </c>
      <c r="AX162" s="44">
        <v>9.4</v>
      </c>
      <c r="AY162" s="44">
        <v>9.58</v>
      </c>
      <c r="AZ162" s="44">
        <v>10.06</v>
      </c>
      <c r="BA162" s="44">
        <v>10.17</v>
      </c>
      <c r="BB162" s="44">
        <v>9.9499999999999993</v>
      </c>
    </row>
    <row r="163" spans="1:54">
      <c r="A163" s="44" t="s">
        <v>50</v>
      </c>
      <c r="C163" s="1">
        <v>3463</v>
      </c>
      <c r="H163" s="1">
        <v>3592</v>
      </c>
      <c r="M163" s="1">
        <v>3545</v>
      </c>
      <c r="R163" s="1">
        <v>3657</v>
      </c>
      <c r="W163" s="1">
        <v>3904</v>
      </c>
      <c r="AB163" s="1">
        <v>3110</v>
      </c>
      <c r="AG163" s="1">
        <v>3115</v>
      </c>
      <c r="AH163" s="1">
        <v>2906</v>
      </c>
      <c r="AI163" s="1">
        <v>3005</v>
      </c>
      <c r="AJ163" s="1">
        <v>3088</v>
      </c>
      <c r="AK163" s="1">
        <v>3334</v>
      </c>
      <c r="AL163" s="1">
        <v>3480</v>
      </c>
      <c r="AM163" s="1">
        <v>3579</v>
      </c>
      <c r="AN163" s="1">
        <v>3575</v>
      </c>
      <c r="AO163" s="1">
        <v>3583</v>
      </c>
      <c r="AP163" s="1">
        <v>3715</v>
      </c>
      <c r="AQ163" s="1">
        <v>3700</v>
      </c>
      <c r="AR163" s="1">
        <v>3710</v>
      </c>
      <c r="AS163" s="1">
        <v>3730</v>
      </c>
      <c r="AT163" s="1">
        <v>3826</v>
      </c>
      <c r="AU163" s="1">
        <v>4059</v>
      </c>
      <c r="AV163" s="1">
        <v>4098</v>
      </c>
      <c r="AW163" s="1">
        <v>4192</v>
      </c>
      <c r="AX163" s="1">
        <v>4062</v>
      </c>
      <c r="AY163" s="1">
        <v>3886</v>
      </c>
      <c r="AZ163" s="1">
        <v>3192</v>
      </c>
      <c r="BA163" s="1">
        <v>3494</v>
      </c>
      <c r="BB163" s="1">
        <v>3685</v>
      </c>
    </row>
    <row r="164" spans="1:54">
      <c r="A164" s="44" t="s">
        <v>51</v>
      </c>
      <c r="C164" s="44">
        <v>165</v>
      </c>
      <c r="H164" s="44">
        <v>194</v>
      </c>
      <c r="M164" s="44">
        <v>216</v>
      </c>
      <c r="R164" s="44">
        <v>206</v>
      </c>
      <c r="W164" s="44">
        <v>235</v>
      </c>
      <c r="AB164" s="44">
        <v>282</v>
      </c>
      <c r="AG164" s="44">
        <v>332</v>
      </c>
      <c r="AH164" s="44">
        <v>357</v>
      </c>
      <c r="AI164" s="44">
        <v>355</v>
      </c>
      <c r="AJ164" s="44">
        <v>359</v>
      </c>
      <c r="AK164" s="44">
        <v>360</v>
      </c>
      <c r="AL164" s="44">
        <v>375</v>
      </c>
      <c r="AM164" s="44">
        <v>379</v>
      </c>
      <c r="AN164" s="44">
        <v>377</v>
      </c>
      <c r="AO164" s="44">
        <v>384</v>
      </c>
      <c r="AP164" s="44">
        <v>386</v>
      </c>
      <c r="AQ164" s="44">
        <v>396</v>
      </c>
      <c r="AR164" s="44">
        <v>403</v>
      </c>
      <c r="AS164" s="44">
        <v>404</v>
      </c>
      <c r="AT164" s="44">
        <v>405</v>
      </c>
      <c r="AU164" s="44">
        <v>410</v>
      </c>
      <c r="AV164" s="44">
        <v>414</v>
      </c>
      <c r="AW164" s="44">
        <v>423</v>
      </c>
      <c r="AX164" s="44">
        <v>436</v>
      </c>
      <c r="AY164" s="44">
        <v>457</v>
      </c>
      <c r="AZ164" s="44">
        <v>480</v>
      </c>
      <c r="BA164" s="44">
        <v>484</v>
      </c>
      <c r="BB164" s="44">
        <v>469</v>
      </c>
    </row>
    <row r="165" spans="1:54">
      <c r="A165" s="44" t="s">
        <v>52</v>
      </c>
      <c r="C165" s="44" t="s">
        <v>21</v>
      </c>
      <c r="H165" s="44" t="s">
        <v>21</v>
      </c>
      <c r="M165" s="44" t="s">
        <v>21</v>
      </c>
      <c r="R165" s="44">
        <v>53.1</v>
      </c>
      <c r="W165" s="44">
        <v>54.5</v>
      </c>
      <c r="AB165" s="44">
        <v>54.5</v>
      </c>
      <c r="AG165" s="44">
        <v>68</v>
      </c>
      <c r="AH165" s="44">
        <v>67.5</v>
      </c>
      <c r="AI165" s="44">
        <v>71</v>
      </c>
      <c r="AJ165" s="44">
        <v>72.7</v>
      </c>
      <c r="AK165" s="44">
        <v>75.900000000000006</v>
      </c>
      <c r="AL165" s="44">
        <v>76.8</v>
      </c>
      <c r="AM165" s="44">
        <v>76</v>
      </c>
      <c r="AN165" s="44">
        <v>72.3</v>
      </c>
      <c r="AO165" s="44">
        <v>71.099999999999994</v>
      </c>
      <c r="AP165" s="44">
        <v>74.2</v>
      </c>
      <c r="AQ165" s="44">
        <v>75</v>
      </c>
      <c r="AR165" s="44">
        <v>74.8</v>
      </c>
      <c r="AS165" s="44">
        <v>70.400000000000006</v>
      </c>
      <c r="AT165" s="44">
        <v>71.400000000000006</v>
      </c>
      <c r="AU165" s="44">
        <v>69.900000000000006</v>
      </c>
      <c r="AV165" s="44">
        <v>69.7</v>
      </c>
      <c r="AW165" s="44">
        <v>69.900000000000006</v>
      </c>
      <c r="AX165" s="44">
        <v>66.599999999999994</v>
      </c>
      <c r="AY165" s="44">
        <v>64.900000000000006</v>
      </c>
      <c r="AZ165" s="44">
        <v>54.4</v>
      </c>
      <c r="BA165" s="44">
        <v>59.2</v>
      </c>
      <c r="BB165" s="44">
        <v>60.5</v>
      </c>
    </row>
    <row r="166" spans="1:54">
      <c r="A166" s="44" t="s">
        <v>53</v>
      </c>
      <c r="C166" s="44">
        <v>119.3</v>
      </c>
      <c r="H166" s="44">
        <v>129.30000000000001</v>
      </c>
      <c r="M166" s="44">
        <v>130.9</v>
      </c>
      <c r="R166" s="44">
        <v>131.30000000000001</v>
      </c>
      <c r="W166" s="44">
        <v>139</v>
      </c>
      <c r="AB166" s="44">
        <v>137.9</v>
      </c>
      <c r="AG166" s="44">
        <v>165.4</v>
      </c>
      <c r="AH166" s="44">
        <v>158.4</v>
      </c>
      <c r="AI166" s="44">
        <v>166.9</v>
      </c>
      <c r="AJ166" s="44">
        <v>170</v>
      </c>
      <c r="AK166" s="44">
        <v>180.2</v>
      </c>
      <c r="AL166" s="44">
        <v>185</v>
      </c>
      <c r="AM166" s="44">
        <v>185.7</v>
      </c>
      <c r="AN166" s="44">
        <v>181.6</v>
      </c>
      <c r="AO166" s="44">
        <v>176.8</v>
      </c>
      <c r="AP166" s="44">
        <v>183.4</v>
      </c>
      <c r="AQ166" s="44">
        <v>184.7</v>
      </c>
      <c r="AR166" s="44">
        <v>187.9</v>
      </c>
      <c r="AS166" s="44">
        <v>181.9</v>
      </c>
      <c r="AT166" s="44">
        <v>184.2</v>
      </c>
      <c r="AU166" s="44">
        <v>184.4</v>
      </c>
      <c r="AV166" s="44">
        <v>179.9</v>
      </c>
      <c r="AW166" s="44">
        <v>176.6</v>
      </c>
      <c r="AX166" s="44">
        <v>168.2</v>
      </c>
      <c r="AY166" s="44">
        <v>161.9</v>
      </c>
      <c r="AZ166" s="44">
        <v>132.80000000000001</v>
      </c>
      <c r="BA166" s="44">
        <v>146.19999999999999</v>
      </c>
      <c r="BB166" s="44">
        <v>152</v>
      </c>
    </row>
    <row r="168" spans="1:54" s="49" customFormat="1" ht="16.5" customHeight="1" thickBot="1">
      <c r="A168" s="70" t="s">
        <v>54</v>
      </c>
      <c r="C168" s="70"/>
      <c r="H168" s="70"/>
      <c r="M168" s="70"/>
      <c r="R168" s="70"/>
      <c r="W168" s="70"/>
      <c r="AB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</row>
    <row r="169" spans="1:54" s="52" customFormat="1" ht="16.5" customHeight="1">
      <c r="A169" s="50"/>
      <c r="R169" s="46">
        <v>1975</v>
      </c>
      <c r="W169" s="46">
        <v>1980</v>
      </c>
      <c r="AB169" s="46">
        <v>1985</v>
      </c>
      <c r="AG169" s="46">
        <v>1990</v>
      </c>
      <c r="AH169" s="46">
        <v>1991</v>
      </c>
      <c r="AI169" s="46">
        <v>1992</v>
      </c>
      <c r="AJ169" s="46">
        <v>1993</v>
      </c>
      <c r="AK169" s="46">
        <v>1994</v>
      </c>
      <c r="AL169" s="46">
        <v>1995</v>
      </c>
      <c r="AM169" s="46">
        <v>1996</v>
      </c>
      <c r="AN169" s="46">
        <v>1997</v>
      </c>
      <c r="AO169" s="46">
        <v>1998</v>
      </c>
      <c r="AP169" s="46">
        <v>1999</v>
      </c>
      <c r="AQ169" s="46">
        <v>2000</v>
      </c>
      <c r="AR169" s="46">
        <v>2001</v>
      </c>
      <c r="AS169" s="51">
        <v>2002</v>
      </c>
      <c r="AT169" s="51">
        <v>2003</v>
      </c>
      <c r="AU169" s="51">
        <v>2004</v>
      </c>
      <c r="AV169" s="51">
        <v>2005</v>
      </c>
      <c r="AW169" s="51">
        <v>2006</v>
      </c>
      <c r="AX169" s="51">
        <v>2007</v>
      </c>
      <c r="AY169" s="51">
        <v>2008</v>
      </c>
      <c r="AZ169" s="51">
        <v>2009</v>
      </c>
      <c r="BA169" s="51">
        <v>2010</v>
      </c>
      <c r="BB169" s="51">
        <v>2011</v>
      </c>
    </row>
    <row r="170" spans="1:54" s="55" customFormat="1" ht="16.5" customHeight="1">
      <c r="A170" s="53" t="s">
        <v>41</v>
      </c>
      <c r="R170" s="45"/>
      <c r="W170" s="45"/>
      <c r="AB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54"/>
      <c r="AR170" s="54"/>
    </row>
    <row r="171" spans="1:54" s="55" customFormat="1" ht="16.5" customHeight="1">
      <c r="A171" s="56" t="s">
        <v>55</v>
      </c>
      <c r="R171" s="55">
        <v>355</v>
      </c>
      <c r="W171" s="55">
        <v>419</v>
      </c>
      <c r="AB171" s="55">
        <v>291</v>
      </c>
      <c r="AG171" s="55">
        <v>318</v>
      </c>
      <c r="AH171" s="55">
        <v>316</v>
      </c>
      <c r="AI171" s="55">
        <v>336</v>
      </c>
      <c r="AJ171" s="55">
        <v>360</v>
      </c>
      <c r="AK171" s="55">
        <v>338</v>
      </c>
      <c r="AL171" s="55">
        <v>313</v>
      </c>
      <c r="AM171" s="55">
        <v>299</v>
      </c>
      <c r="AN171" s="55">
        <v>332</v>
      </c>
      <c r="AO171" s="55">
        <v>345</v>
      </c>
      <c r="AP171" s="55">
        <v>329</v>
      </c>
      <c r="AQ171" s="55">
        <v>378</v>
      </c>
      <c r="AR171" s="55">
        <v>401</v>
      </c>
      <c r="AS171" s="55">
        <v>372</v>
      </c>
      <c r="AT171" s="55">
        <v>442</v>
      </c>
      <c r="AU171" s="55">
        <v>276</v>
      </c>
      <c r="AV171" s="55">
        <v>258</v>
      </c>
      <c r="AW171" s="55">
        <v>319</v>
      </c>
      <c r="AX171" s="55">
        <v>270</v>
      </c>
      <c r="AY171" s="55">
        <v>278</v>
      </c>
      <c r="AZ171" s="55">
        <v>274</v>
      </c>
      <c r="BA171" s="55">
        <v>282</v>
      </c>
      <c r="BB171" s="55">
        <v>287</v>
      </c>
    </row>
    <row r="172" spans="1:54" s="55" customFormat="1" ht="16.5" customHeight="1">
      <c r="A172" s="56" t="s">
        <v>56</v>
      </c>
      <c r="R172" s="57">
        <v>1913</v>
      </c>
      <c r="W172" s="57">
        <v>2128</v>
      </c>
      <c r="AB172" s="57">
        <v>1854</v>
      </c>
      <c r="AG172" s="57">
        <v>1863</v>
      </c>
      <c r="AH172" s="57">
        <v>1786</v>
      </c>
      <c r="AI172" s="57">
        <v>1796</v>
      </c>
      <c r="AJ172" s="57">
        <v>1853</v>
      </c>
      <c r="AK172" s="57">
        <v>1852</v>
      </c>
      <c r="AL172" s="57">
        <v>1722</v>
      </c>
      <c r="AM172" s="57">
        <v>1730</v>
      </c>
      <c r="AN172" s="57">
        <v>1728</v>
      </c>
      <c r="AO172" s="57">
        <v>1962</v>
      </c>
      <c r="AP172" s="57">
        <v>1992</v>
      </c>
      <c r="AQ172" s="57">
        <v>1894</v>
      </c>
      <c r="AR172" s="57">
        <v>2084</v>
      </c>
      <c r="AS172" s="57">
        <v>2896</v>
      </c>
      <c r="AT172" s="57">
        <v>1623</v>
      </c>
      <c r="AU172" s="57">
        <v>1211</v>
      </c>
      <c r="AV172" s="57">
        <v>1186</v>
      </c>
      <c r="AW172" s="57">
        <v>1191</v>
      </c>
      <c r="AX172" s="57">
        <v>1164</v>
      </c>
      <c r="AY172" s="57">
        <v>1177</v>
      </c>
      <c r="AZ172" s="57">
        <v>1214</v>
      </c>
      <c r="BA172" s="57">
        <v>1274</v>
      </c>
      <c r="BB172" s="57">
        <v>1301</v>
      </c>
    </row>
    <row r="173" spans="1:54" s="55" customFormat="1" ht="16.5" customHeight="1">
      <c r="A173" s="53" t="s">
        <v>44</v>
      </c>
    </row>
    <row r="174" spans="1:54" s="55" customFormat="1" ht="16.5" customHeight="1">
      <c r="A174" s="56" t="s">
        <v>57</v>
      </c>
      <c r="R174" s="57">
        <v>30</v>
      </c>
      <c r="W174" s="57">
        <v>30</v>
      </c>
      <c r="AB174" s="57">
        <v>30</v>
      </c>
      <c r="AG174" s="57">
        <v>33</v>
      </c>
      <c r="AH174" s="57">
        <v>34</v>
      </c>
      <c r="AI174" s="57">
        <v>34</v>
      </c>
      <c r="AJ174" s="57">
        <v>35</v>
      </c>
      <c r="AK174" s="57">
        <v>34</v>
      </c>
      <c r="AL174" s="57">
        <v>32</v>
      </c>
      <c r="AM174" s="57">
        <v>30</v>
      </c>
      <c r="AN174" s="57">
        <v>32</v>
      </c>
      <c r="AO174" s="57">
        <v>33</v>
      </c>
      <c r="AP174" s="57">
        <v>34</v>
      </c>
      <c r="AQ174" s="57">
        <v>35</v>
      </c>
      <c r="AR174" s="57">
        <v>36</v>
      </c>
      <c r="AS174" s="57">
        <v>38</v>
      </c>
      <c r="AT174" s="57">
        <v>37.459214000000003</v>
      </c>
      <c r="AU174" s="57">
        <v>37.158630000000002</v>
      </c>
      <c r="AV174" s="57">
        <v>36.198799999999999</v>
      </c>
      <c r="AW174" s="57">
        <v>36.083010999999999</v>
      </c>
      <c r="AX174" s="57">
        <v>37.483665999999999</v>
      </c>
      <c r="AY174" s="57">
        <v>37.735999999999997</v>
      </c>
      <c r="AZ174" s="57">
        <v>38.299999999999997</v>
      </c>
      <c r="BA174" s="57">
        <v>37.453000000000003</v>
      </c>
      <c r="BB174" s="57">
        <v>37.090000000000003</v>
      </c>
    </row>
    <row r="175" spans="1:54" s="55" customFormat="1" ht="16.5" customHeight="1">
      <c r="A175" s="56" t="s">
        <v>58</v>
      </c>
      <c r="R175" s="57">
        <v>252.93799999999999</v>
      </c>
      <c r="W175" s="57">
        <v>235</v>
      </c>
      <c r="AB175" s="57">
        <v>251</v>
      </c>
      <c r="AG175" s="57">
        <v>301</v>
      </c>
      <c r="AH175" s="57">
        <v>313</v>
      </c>
      <c r="AI175" s="57">
        <v>307.25400000000002</v>
      </c>
      <c r="AJ175" s="57">
        <v>303.24299999999999</v>
      </c>
      <c r="AK175" s="57">
        <v>304</v>
      </c>
      <c r="AL175" s="57">
        <v>292</v>
      </c>
      <c r="AM175" s="57">
        <v>276</v>
      </c>
      <c r="AN175" s="57">
        <v>288</v>
      </c>
      <c r="AO175" s="57">
        <v>312</v>
      </c>
      <c r="AP175" s="57">
        <v>342</v>
      </c>
      <c r="AQ175" s="57">
        <v>368</v>
      </c>
      <c r="AR175" s="57">
        <v>377.70542499999999</v>
      </c>
      <c r="AS175" s="57">
        <v>378.54229099999998</v>
      </c>
      <c r="AT175" s="57">
        <v>331.86369999999999</v>
      </c>
      <c r="AU175" s="57">
        <v>308.43726900000001</v>
      </c>
      <c r="AV175" s="57">
        <v>264.79555699999997</v>
      </c>
      <c r="AW175" s="57">
        <v>263.90816699999999</v>
      </c>
      <c r="AX175" s="57">
        <v>266.54528599999998</v>
      </c>
      <c r="AY175" s="57">
        <v>271.762</v>
      </c>
      <c r="AZ175" s="57">
        <v>282.76400000000001</v>
      </c>
      <c r="BA175" s="57">
        <v>294.82</v>
      </c>
      <c r="BB175" s="57">
        <v>296.315</v>
      </c>
    </row>
    <row r="176" spans="1:54" s="55" customFormat="1" ht="16.5" customHeight="1">
      <c r="A176" s="56" t="s">
        <v>114</v>
      </c>
      <c r="R176" s="92">
        <f>R175/R174</f>
        <v>8.4312666666666658</v>
      </c>
      <c r="W176" s="92">
        <f>W175/W174</f>
        <v>7.833333333333333</v>
      </c>
      <c r="AB176" s="92">
        <f>AB175/AB174</f>
        <v>8.3666666666666671</v>
      </c>
      <c r="AG176" s="92">
        <f t="shared" ref="AG176:BB176" si="120">AG175/AG174</f>
        <v>9.1212121212121211</v>
      </c>
      <c r="AH176" s="92">
        <f t="shared" si="120"/>
        <v>9.2058823529411757</v>
      </c>
      <c r="AI176" s="92">
        <f t="shared" si="120"/>
        <v>9.036882352941177</v>
      </c>
      <c r="AJ176" s="92">
        <f t="shared" si="120"/>
        <v>8.6640857142857133</v>
      </c>
      <c r="AK176" s="92">
        <f t="shared" si="120"/>
        <v>8.9411764705882355</v>
      </c>
      <c r="AL176" s="92">
        <f t="shared" si="120"/>
        <v>9.125</v>
      </c>
      <c r="AM176" s="92">
        <f t="shared" si="120"/>
        <v>9.1999999999999993</v>
      </c>
      <c r="AN176" s="92">
        <f t="shared" si="120"/>
        <v>9</v>
      </c>
      <c r="AO176" s="92">
        <f t="shared" si="120"/>
        <v>9.454545454545455</v>
      </c>
      <c r="AP176" s="92">
        <f t="shared" si="120"/>
        <v>10.058823529411764</v>
      </c>
      <c r="AQ176" s="92">
        <f t="shared" si="120"/>
        <v>10.514285714285714</v>
      </c>
      <c r="AR176" s="92">
        <f t="shared" si="120"/>
        <v>10.49181736111111</v>
      </c>
      <c r="AS176" s="92">
        <f t="shared" si="120"/>
        <v>9.9616392368421049</v>
      </c>
      <c r="AT176" s="92">
        <f t="shared" si="120"/>
        <v>8.8593343149164845</v>
      </c>
      <c r="AU176" s="92">
        <f t="shared" si="120"/>
        <v>8.3005554564309829</v>
      </c>
      <c r="AV176" s="92">
        <f t="shared" si="120"/>
        <v>7.3150368796755689</v>
      </c>
      <c r="AW176" s="92">
        <f t="shared" si="120"/>
        <v>7.3139175386444331</v>
      </c>
      <c r="AX176" s="92">
        <f t="shared" si="120"/>
        <v>7.1109716429550938</v>
      </c>
      <c r="AY176" s="92">
        <f t="shared" si="120"/>
        <v>7.2016641933432268</v>
      </c>
      <c r="AZ176" s="92">
        <f t="shared" si="120"/>
        <v>7.3828720626631865</v>
      </c>
      <c r="BA176" s="92">
        <f t="shared" si="120"/>
        <v>7.8717325714895994</v>
      </c>
      <c r="BB176" s="92">
        <f t="shared" si="120"/>
        <v>7.9890806147209483</v>
      </c>
    </row>
    <row r="177" spans="1:54" s="55" customFormat="1" ht="16.5" customHeight="1">
      <c r="A177" s="56"/>
      <c r="R177" s="57"/>
      <c r="W177" s="57"/>
      <c r="AB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</row>
    <row r="178" spans="1:54" s="58" customFormat="1" ht="16.5" customHeight="1">
      <c r="A178" s="53" t="s">
        <v>59</v>
      </c>
    </row>
    <row r="179" spans="1:54" s="55" customFormat="1" ht="16.5" customHeight="1">
      <c r="A179" s="56" t="s">
        <v>60</v>
      </c>
      <c r="R179" s="59">
        <v>180.3</v>
      </c>
      <c r="W179" s="59">
        <v>253.8</v>
      </c>
      <c r="AB179" s="59">
        <v>295.10000000000002</v>
      </c>
      <c r="AG179" s="59">
        <v>329.6</v>
      </c>
      <c r="AH179" s="59">
        <v>302.5</v>
      </c>
      <c r="AI179" s="59">
        <v>300</v>
      </c>
      <c r="AJ179" s="59">
        <v>301</v>
      </c>
      <c r="AK179" s="59">
        <v>308.94799999999998</v>
      </c>
      <c r="AL179" s="59">
        <v>335.81799999999998</v>
      </c>
      <c r="AM179" s="59">
        <v>362.68900000000002</v>
      </c>
      <c r="AN179" s="59">
        <v>389.55900000000003</v>
      </c>
      <c r="AO179" s="59">
        <v>416.42899999999997</v>
      </c>
      <c r="AP179" s="59">
        <v>443.3</v>
      </c>
      <c r="AQ179" s="59">
        <v>470.17</v>
      </c>
      <c r="AR179" s="59">
        <v>455.70320079999999</v>
      </c>
      <c r="AS179" s="59">
        <v>518.30610000000001</v>
      </c>
      <c r="AT179" s="59">
        <v>536.94980699999996</v>
      </c>
      <c r="AU179" s="59">
        <v>550.69514500000002</v>
      </c>
      <c r="AV179" s="59">
        <v>531.37718812000003</v>
      </c>
      <c r="AW179" s="59">
        <v>548.85629716000005</v>
      </c>
      <c r="AX179" s="59">
        <v>577.86365023999997</v>
      </c>
      <c r="AY179" s="59">
        <v>582.02206971999999</v>
      </c>
      <c r="AZ179" s="59">
        <v>564.96775400000001</v>
      </c>
      <c r="BA179" s="59">
        <v>558.661565</v>
      </c>
      <c r="BB179" s="59">
        <v>555.42530999999997</v>
      </c>
    </row>
    <row r="180" spans="1:54" s="55" customFormat="1" ht="16.5" customHeight="1">
      <c r="A180" s="56" t="s">
        <v>120</v>
      </c>
      <c r="R180" s="59">
        <f>R179*$C$219/1000000</f>
        <v>4.4282424372975902</v>
      </c>
      <c r="W180" s="59">
        <f>W179*$C$219/1000000</f>
        <v>6.2334327819530131</v>
      </c>
      <c r="AB180" s="59">
        <f>AB179*$C$219/1000000</f>
        <v>7.247777832759394</v>
      </c>
      <c r="AG180" s="59">
        <f t="shared" ref="AG180:BB180" si="121">AG179*$C$219/1000000</f>
        <v>8.095112076169082</v>
      </c>
      <c r="AH180" s="59">
        <f t="shared" si="121"/>
        <v>7.4295248878675597</v>
      </c>
      <c r="AI180" s="59">
        <f t="shared" si="121"/>
        <v>7.3681238557364219</v>
      </c>
      <c r="AJ180" s="59">
        <f t="shared" si="121"/>
        <v>7.3926842685888774</v>
      </c>
      <c r="AK180" s="59">
        <f t="shared" si="121"/>
        <v>7.5878904299401873</v>
      </c>
      <c r="AL180" s="59">
        <f t="shared" si="121"/>
        <v>8.2478287232856466</v>
      </c>
      <c r="AM180" s="59">
        <f t="shared" si="121"/>
        <v>8.9077915770439589</v>
      </c>
      <c r="AN180" s="59">
        <f t="shared" si="121"/>
        <v>9.5677298703894174</v>
      </c>
      <c r="AO180" s="59">
        <f t="shared" si="121"/>
        <v>10.227668163734876</v>
      </c>
      <c r="AP180" s="59">
        <f t="shared" si="121"/>
        <v>10.887631017493186</v>
      </c>
      <c r="AQ180" s="59">
        <f t="shared" si="121"/>
        <v>11.547569310838645</v>
      </c>
      <c r="AR180" s="59">
        <f t="shared" si="121"/>
        <v>11.192258749833083</v>
      </c>
      <c r="AS180" s="59">
        <f t="shared" si="121"/>
        <v>12.729811799945693</v>
      </c>
      <c r="AT180" s="59">
        <f t="shared" si="121"/>
        <v>13.187708940965893</v>
      </c>
      <c r="AU180" s="59">
        <f t="shared" si="121"/>
        <v>13.525300117042429</v>
      </c>
      <c r="AV180" s="59">
        <f t="shared" si="121"/>
        <v>13.050843120603711</v>
      </c>
      <c r="AW180" s="59">
        <f t="shared" si="121"/>
        <v>13.480137254919184</v>
      </c>
      <c r="AX180" s="59">
        <f t="shared" si="121"/>
        <v>14.192569822320907</v>
      </c>
      <c r="AY180" s="59">
        <f t="shared" si="121"/>
        <v>14.294702321563397</v>
      </c>
      <c r="AZ180" s="59">
        <f t="shared" si="121"/>
        <v>13.875841286564089</v>
      </c>
      <c r="BA180" s="59">
        <f t="shared" si="121"/>
        <v>13.72095868119848</v>
      </c>
      <c r="BB180" s="59">
        <f t="shared" si="121"/>
        <v>13.641474922302658</v>
      </c>
    </row>
    <row r="181" spans="1:54" s="55" customFormat="1" ht="16.5" customHeight="1">
      <c r="A181" s="56" t="s">
        <v>121</v>
      </c>
      <c r="R181" s="59">
        <v>63.1</v>
      </c>
      <c r="W181" s="59">
        <v>63.5</v>
      </c>
      <c r="AB181" s="59">
        <v>64.8</v>
      </c>
      <c r="AG181" s="59">
        <v>82.1</v>
      </c>
      <c r="AH181" s="59">
        <v>82</v>
      </c>
      <c r="AI181" s="59">
        <v>81.5</v>
      </c>
      <c r="AJ181" s="59">
        <v>82.8</v>
      </c>
      <c r="AK181" s="59">
        <v>73.516000000000005</v>
      </c>
      <c r="AL181" s="59">
        <v>72.370999999999995</v>
      </c>
      <c r="AM181" s="59">
        <v>71.225999999999999</v>
      </c>
      <c r="AN181" s="59">
        <v>75.656000000000006</v>
      </c>
      <c r="AO181" s="59">
        <v>75.998999999999995</v>
      </c>
      <c r="AP181" s="59">
        <v>79.173000000000002</v>
      </c>
      <c r="AQ181" s="59">
        <v>94.968000000000004</v>
      </c>
      <c r="AR181" s="59">
        <v>96.846000000000004</v>
      </c>
      <c r="AS181" s="59">
        <v>84.431803000000002</v>
      </c>
      <c r="AT181" s="59">
        <v>74.621082999999999</v>
      </c>
      <c r="AU181" s="59">
        <v>68.604913999999994</v>
      </c>
      <c r="AV181" s="59">
        <v>65.476833999999997</v>
      </c>
      <c r="AW181" s="59">
        <v>62.462856000000002</v>
      </c>
      <c r="AX181" s="59">
        <v>61.823715999999997</v>
      </c>
      <c r="AY181" s="59">
        <v>63.427579999999999</v>
      </c>
      <c r="AZ181" s="59">
        <v>61.703963999999999</v>
      </c>
      <c r="BA181" s="59">
        <v>63.474021</v>
      </c>
      <c r="BB181" s="59">
        <v>63.450471</v>
      </c>
    </row>
    <row r="182" spans="1:54" s="55" customFormat="1" ht="16.5" customHeight="1">
      <c r="A182" s="56" t="s">
        <v>122</v>
      </c>
      <c r="R182" s="59">
        <f>SUM(R180:R181)</f>
        <v>67.528242437297592</v>
      </c>
      <c r="W182" s="59">
        <f>SUM(W180:W181)</f>
        <v>69.733432781953013</v>
      </c>
      <c r="AB182" s="59">
        <f>SUM(AB180:AB181)</f>
        <v>72.047777832759394</v>
      </c>
      <c r="AG182" s="59">
        <f t="shared" ref="AG182:BB182" si="122">SUM(AG180:AG181)</f>
        <v>90.195112076169082</v>
      </c>
      <c r="AH182" s="59">
        <f t="shared" si="122"/>
        <v>89.429524887867558</v>
      </c>
      <c r="AI182" s="59">
        <f t="shared" si="122"/>
        <v>88.868123855736428</v>
      </c>
      <c r="AJ182" s="59">
        <f t="shared" si="122"/>
        <v>90.192684268588877</v>
      </c>
      <c r="AK182" s="59">
        <f t="shared" si="122"/>
        <v>81.103890429940193</v>
      </c>
      <c r="AL182" s="59">
        <f t="shared" si="122"/>
        <v>80.618828723285645</v>
      </c>
      <c r="AM182" s="59">
        <f t="shared" si="122"/>
        <v>80.133791577043951</v>
      </c>
      <c r="AN182" s="59">
        <f t="shared" si="122"/>
        <v>85.22372987038942</v>
      </c>
      <c r="AO182" s="59">
        <f t="shared" si="122"/>
        <v>86.226668163734871</v>
      </c>
      <c r="AP182" s="59">
        <f t="shared" si="122"/>
        <v>90.060631017493193</v>
      </c>
      <c r="AQ182" s="59">
        <f t="shared" si="122"/>
        <v>106.51556931083864</v>
      </c>
      <c r="AR182" s="59">
        <f t="shared" si="122"/>
        <v>108.03825874983309</v>
      </c>
      <c r="AS182" s="59">
        <f t="shared" si="122"/>
        <v>97.161614799945696</v>
      </c>
      <c r="AT182" s="59">
        <f t="shared" si="122"/>
        <v>87.808791940965889</v>
      </c>
      <c r="AU182" s="59">
        <f t="shared" si="122"/>
        <v>82.130214117042428</v>
      </c>
      <c r="AV182" s="59">
        <f t="shared" si="122"/>
        <v>78.527677120603713</v>
      </c>
      <c r="AW182" s="59">
        <f t="shared" si="122"/>
        <v>75.942993254919188</v>
      </c>
      <c r="AX182" s="59">
        <f t="shared" si="122"/>
        <v>76.01628582232091</v>
      </c>
      <c r="AY182" s="59">
        <f t="shared" si="122"/>
        <v>77.722282321563398</v>
      </c>
      <c r="AZ182" s="59">
        <f t="shared" si="122"/>
        <v>75.579805286564095</v>
      </c>
      <c r="BA182" s="59">
        <f t="shared" si="122"/>
        <v>77.194979681198475</v>
      </c>
      <c r="BB182" s="59">
        <f t="shared" si="122"/>
        <v>77.091945922302656</v>
      </c>
    </row>
    <row r="183" spans="1:54" s="55" customFormat="1" ht="16.5" customHeight="1" thickBot="1">
      <c r="A183" s="60" t="s">
        <v>61</v>
      </c>
      <c r="R183" s="61">
        <f>R175*1000/R172</f>
        <v>132.2205959226346</v>
      </c>
      <c r="W183" s="61">
        <f>W175*1000/W172</f>
        <v>110.43233082706767</v>
      </c>
      <c r="AB183" s="61">
        <f>AB175*1000/AB172</f>
        <v>135.38295577130529</v>
      </c>
      <c r="AG183" s="61">
        <f t="shared" ref="AG183:BB183" si="123">AG175*1000/AG172</f>
        <v>161.5673644659152</v>
      </c>
      <c r="AH183" s="61">
        <f t="shared" si="123"/>
        <v>175.25195968645016</v>
      </c>
      <c r="AI183" s="61">
        <f t="shared" si="123"/>
        <v>171.07683741648106</v>
      </c>
      <c r="AJ183" s="61">
        <f t="shared" si="123"/>
        <v>163.64975715056664</v>
      </c>
      <c r="AK183" s="61">
        <f t="shared" si="123"/>
        <v>164.14686825053997</v>
      </c>
      <c r="AL183" s="61">
        <f t="shared" si="123"/>
        <v>169.57026713124273</v>
      </c>
      <c r="AM183" s="61">
        <f t="shared" si="123"/>
        <v>159.53757225433526</v>
      </c>
      <c r="AN183" s="61">
        <f t="shared" si="123"/>
        <v>166.66666666666666</v>
      </c>
      <c r="AO183" s="61">
        <f t="shared" si="123"/>
        <v>159.02140672782875</v>
      </c>
      <c r="AP183" s="61">
        <f t="shared" si="123"/>
        <v>171.68674698795181</v>
      </c>
      <c r="AQ183" s="61">
        <f t="shared" si="123"/>
        <v>194.29778247096093</v>
      </c>
      <c r="AR183" s="61">
        <f t="shared" si="123"/>
        <v>181.24060700575816</v>
      </c>
      <c r="AS183" s="61">
        <f t="shared" si="123"/>
        <v>130.71211705801105</v>
      </c>
      <c r="AT183" s="61">
        <f t="shared" si="123"/>
        <v>204.4754775107825</v>
      </c>
      <c r="AU183" s="61">
        <f t="shared" si="123"/>
        <v>254.69634104046244</v>
      </c>
      <c r="AV183" s="61">
        <f t="shared" si="123"/>
        <v>223.26775463743675</v>
      </c>
      <c r="AW183" s="61">
        <f t="shared" si="123"/>
        <v>221.58536272040303</v>
      </c>
      <c r="AX183" s="61">
        <f t="shared" si="123"/>
        <v>228.99079553264602</v>
      </c>
      <c r="AY183" s="61">
        <f t="shared" si="123"/>
        <v>230.89379779099406</v>
      </c>
      <c r="AZ183" s="61">
        <f t="shared" si="123"/>
        <v>232.91927512355849</v>
      </c>
      <c r="BA183" s="61">
        <f t="shared" si="123"/>
        <v>231.41287284144428</v>
      </c>
      <c r="BB183" s="61">
        <f t="shared" si="123"/>
        <v>227.75941583397386</v>
      </c>
    </row>
    <row r="184" spans="1:54" s="63" customFormat="1" ht="12.75" customHeight="1">
      <c r="A184" s="170" t="s">
        <v>62</v>
      </c>
      <c r="B184" s="171"/>
      <c r="C184" s="171"/>
      <c r="D184" s="171"/>
      <c r="E184" s="171"/>
      <c r="F184" s="171"/>
      <c r="G184" s="171"/>
      <c r="H184" s="171"/>
      <c r="I184" s="171"/>
      <c r="J184" s="171"/>
      <c r="K184" s="171"/>
      <c r="L184" s="171"/>
      <c r="M184" s="62"/>
    </row>
    <row r="185" spans="1:54" s="63" customFormat="1" ht="12.75" customHeight="1">
      <c r="A185" s="172"/>
      <c r="B185" s="161"/>
      <c r="C185" s="161"/>
      <c r="D185" s="161"/>
      <c r="E185" s="161"/>
      <c r="F185" s="161"/>
      <c r="G185" s="161"/>
      <c r="H185" s="161"/>
      <c r="I185" s="161"/>
      <c r="J185" s="168"/>
      <c r="K185" s="168"/>
      <c r="L185" s="168"/>
      <c r="M185" s="64"/>
    </row>
    <row r="186" spans="1:54" s="63" customFormat="1" ht="12.75" customHeight="1">
      <c r="A186" s="173" t="s">
        <v>63</v>
      </c>
      <c r="B186" s="173"/>
      <c r="C186" s="173"/>
      <c r="D186" s="173"/>
      <c r="E186" s="173"/>
      <c r="F186" s="173"/>
      <c r="G186" s="173"/>
      <c r="H186" s="161"/>
      <c r="I186" s="161"/>
      <c r="J186" s="168"/>
      <c r="K186" s="168"/>
      <c r="L186" s="168"/>
      <c r="M186" s="65"/>
    </row>
    <row r="187" spans="1:54" s="63" customFormat="1" ht="12.75" customHeight="1">
      <c r="A187" s="167" t="s">
        <v>64</v>
      </c>
      <c r="B187" s="167"/>
      <c r="C187" s="167"/>
      <c r="D187" s="167"/>
      <c r="E187" s="167"/>
      <c r="F187" s="167"/>
      <c r="G187" s="167"/>
      <c r="H187" s="161"/>
      <c r="I187" s="161"/>
      <c r="J187" s="168"/>
      <c r="K187" s="168"/>
      <c r="L187" s="168"/>
      <c r="M187" s="105"/>
    </row>
    <row r="188" spans="1:54" s="63" customFormat="1" ht="12.75" customHeight="1">
      <c r="A188" s="160" t="s">
        <v>65</v>
      </c>
      <c r="B188" s="160"/>
      <c r="C188" s="160"/>
      <c r="D188" s="160"/>
      <c r="E188" s="160"/>
      <c r="F188" s="160"/>
      <c r="G188" s="160"/>
      <c r="H188" s="161"/>
      <c r="I188" s="161"/>
      <c r="J188" s="161"/>
      <c r="K188" s="161"/>
      <c r="L188" s="161"/>
      <c r="M188" s="104"/>
    </row>
    <row r="189" spans="1:54" s="68" customFormat="1" ht="12.75" customHeight="1">
      <c r="A189" s="160" t="s">
        <v>66</v>
      </c>
      <c r="B189" s="160"/>
      <c r="C189" s="160"/>
      <c r="D189" s="160"/>
      <c r="E189" s="160"/>
      <c r="F189" s="160"/>
      <c r="G189" s="160"/>
      <c r="H189" s="161"/>
      <c r="I189" s="161"/>
      <c r="J189" s="161"/>
      <c r="K189" s="161"/>
      <c r="L189" s="161"/>
      <c r="M189" s="104"/>
    </row>
    <row r="190" spans="1:54" s="68" customFormat="1" ht="12.75" customHeight="1">
      <c r="A190" s="165" t="s">
        <v>67</v>
      </c>
      <c r="B190" s="165"/>
      <c r="C190" s="165"/>
      <c r="D190" s="165"/>
      <c r="E190" s="165"/>
      <c r="F190" s="165"/>
      <c r="G190" s="165"/>
      <c r="H190" s="166"/>
      <c r="I190" s="166"/>
      <c r="J190" s="166"/>
      <c r="K190" s="166"/>
      <c r="L190" s="166"/>
      <c r="M190" s="104"/>
    </row>
    <row r="191" spans="1:54" s="68" customFormat="1" ht="12.75" customHeight="1">
      <c r="A191" s="167" t="s">
        <v>68</v>
      </c>
      <c r="B191" s="167"/>
      <c r="C191" s="167"/>
      <c r="D191" s="167"/>
      <c r="E191" s="167"/>
      <c r="F191" s="167"/>
      <c r="G191" s="167"/>
      <c r="H191" s="161"/>
      <c r="I191" s="161"/>
      <c r="J191" s="168"/>
      <c r="K191" s="168"/>
      <c r="L191" s="168"/>
      <c r="M191" s="105"/>
    </row>
    <row r="192" spans="1:54" s="68" customFormat="1" ht="12.75" customHeight="1">
      <c r="A192" s="169" t="s">
        <v>69</v>
      </c>
      <c r="B192" s="169"/>
      <c r="C192" s="169"/>
      <c r="D192" s="169"/>
      <c r="E192" s="169"/>
      <c r="F192" s="169"/>
      <c r="G192" s="169"/>
      <c r="H192" s="161"/>
      <c r="I192" s="161"/>
      <c r="J192" s="168"/>
      <c r="K192" s="168"/>
      <c r="L192" s="168"/>
      <c r="M192" s="69"/>
    </row>
    <row r="193" spans="1:13" s="68" customFormat="1" ht="12.75" customHeight="1">
      <c r="A193" s="165" t="s">
        <v>70</v>
      </c>
      <c r="B193" s="165"/>
      <c r="C193" s="165"/>
      <c r="D193" s="165"/>
      <c r="E193" s="165"/>
      <c r="F193" s="165"/>
      <c r="G193" s="165"/>
      <c r="H193" s="166"/>
      <c r="I193" s="166"/>
      <c r="J193" s="166"/>
      <c r="K193" s="166"/>
      <c r="L193" s="166"/>
      <c r="M193" s="104"/>
    </row>
    <row r="194" spans="1:13" s="68" customFormat="1" ht="12.75" customHeight="1">
      <c r="A194" s="165" t="s">
        <v>71</v>
      </c>
      <c r="B194" s="165"/>
      <c r="C194" s="165"/>
      <c r="D194" s="165"/>
      <c r="E194" s="165"/>
      <c r="F194" s="165"/>
      <c r="G194" s="165"/>
      <c r="H194" s="166"/>
      <c r="I194" s="166"/>
      <c r="J194" s="166"/>
      <c r="K194" s="166"/>
      <c r="L194" s="166"/>
      <c r="M194" s="104"/>
    </row>
    <row r="195" spans="1:13" s="68" customFormat="1" ht="12.75" customHeight="1">
      <c r="A195" s="169" t="s">
        <v>72</v>
      </c>
      <c r="B195" s="169"/>
      <c r="C195" s="169"/>
      <c r="D195" s="169"/>
      <c r="E195" s="169"/>
      <c r="F195" s="169"/>
      <c r="G195" s="169"/>
      <c r="H195" s="161"/>
      <c r="I195" s="161"/>
      <c r="J195" s="161"/>
      <c r="K195" s="161"/>
      <c r="L195" s="161"/>
      <c r="M195" s="69"/>
    </row>
    <row r="196" spans="1:13" s="68" customFormat="1" ht="12.75" customHeight="1">
      <c r="A196" s="165" t="s">
        <v>73</v>
      </c>
      <c r="B196" s="165"/>
      <c r="C196" s="165"/>
      <c r="D196" s="165"/>
      <c r="E196" s="165"/>
      <c r="F196" s="165"/>
      <c r="G196" s="165"/>
      <c r="H196" s="166"/>
      <c r="I196" s="166"/>
      <c r="J196" s="166"/>
      <c r="K196" s="166"/>
      <c r="L196" s="166"/>
      <c r="M196" s="104"/>
    </row>
    <row r="197" spans="1:13" s="68" customFormat="1" ht="12.75" customHeight="1">
      <c r="A197" s="165" t="s">
        <v>74</v>
      </c>
      <c r="B197" s="165"/>
      <c r="C197" s="165"/>
      <c r="D197" s="165"/>
      <c r="E197" s="165"/>
      <c r="F197" s="165"/>
      <c r="G197" s="165"/>
      <c r="H197" s="166"/>
      <c r="I197" s="166"/>
      <c r="J197" s="166"/>
      <c r="K197" s="166"/>
      <c r="L197" s="166"/>
      <c r="M197" s="104"/>
    </row>
    <row r="198" spans="1:13" s="68" customFormat="1" ht="12.75" customHeight="1">
      <c r="A198" s="165" t="s">
        <v>75</v>
      </c>
      <c r="B198" s="165"/>
      <c r="C198" s="165"/>
      <c r="D198" s="165"/>
      <c r="E198" s="165"/>
      <c r="F198" s="165"/>
      <c r="G198" s="165"/>
      <c r="H198" s="166"/>
      <c r="I198" s="166"/>
      <c r="J198" s="166"/>
      <c r="K198" s="166"/>
      <c r="L198" s="166"/>
      <c r="M198" s="104"/>
    </row>
    <row r="199" spans="1:13" s="68" customFormat="1" ht="12.75" customHeight="1">
      <c r="A199" s="165" t="s">
        <v>67</v>
      </c>
      <c r="B199" s="165"/>
      <c r="C199" s="165"/>
      <c r="D199" s="165"/>
      <c r="E199" s="165"/>
      <c r="F199" s="165"/>
      <c r="G199" s="165"/>
      <c r="H199" s="166"/>
      <c r="I199" s="166"/>
      <c r="J199" s="166"/>
      <c r="K199" s="166"/>
      <c r="L199" s="166"/>
      <c r="M199" s="104"/>
    </row>
    <row r="200" spans="1:13" s="49" customFormat="1" ht="12.75" customHeight="1">
      <c r="A200" s="163" t="s">
        <v>76</v>
      </c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</row>
    <row r="201" spans="1:13" s="49" customFormat="1" ht="12.75" customHeight="1">
      <c r="A201" s="162" t="s">
        <v>77</v>
      </c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</row>
    <row r="202" spans="1:13" s="49" customFormat="1" ht="12.75" customHeight="1">
      <c r="A202" s="162" t="s">
        <v>78</v>
      </c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</row>
    <row r="205" spans="1:13">
      <c r="C205" s="18" t="s">
        <v>115</v>
      </c>
    </row>
    <row r="206" spans="1:13" ht="14.4">
      <c r="C206" s="44">
        <v>238293.83400138872</v>
      </c>
      <c r="D206" s="93" t="s">
        <v>116</v>
      </c>
      <c r="E206" s="18" t="s">
        <v>4</v>
      </c>
    </row>
    <row r="207" spans="1:13" ht="14.4">
      <c r="C207" s="93">
        <v>238.29383400138872</v>
      </c>
      <c r="D207" s="93" t="s">
        <v>116</v>
      </c>
      <c r="E207" s="93" t="s">
        <v>15</v>
      </c>
    </row>
    <row r="210" spans="3:5">
      <c r="C210" s="44">
        <f>C206/0.833</f>
        <v>286067.02761271154</v>
      </c>
      <c r="D210" s="44" t="s">
        <v>117</v>
      </c>
      <c r="E210" s="44" t="s">
        <v>4</v>
      </c>
    </row>
    <row r="211" spans="3:5">
      <c r="C211" s="44">
        <f>C210/1000</f>
        <v>286.06702761271151</v>
      </c>
      <c r="D211" s="44" t="s">
        <v>117</v>
      </c>
      <c r="E211" s="44" t="s">
        <v>107</v>
      </c>
    </row>
    <row r="214" spans="3:5">
      <c r="C214" s="44">
        <v>1000</v>
      </c>
      <c r="D214" s="44" t="s">
        <v>85</v>
      </c>
    </row>
    <row r="215" spans="3:5">
      <c r="C215" s="44">
        <v>20.4588239060948</v>
      </c>
      <c r="D215" s="44" t="s">
        <v>118</v>
      </c>
    </row>
    <row r="216" spans="3:5">
      <c r="C216" s="44">
        <f>C215/0.833</f>
        <v>24.560412852454743</v>
      </c>
      <c r="D216" s="44" t="s">
        <v>119</v>
      </c>
    </row>
    <row r="218" spans="3:5">
      <c r="C218" s="44">
        <v>1</v>
      </c>
      <c r="D218" s="44" t="s">
        <v>106</v>
      </c>
    </row>
    <row r="219" spans="3:5">
      <c r="C219" s="44">
        <f>C216*1000</f>
        <v>24560.412852454741</v>
      </c>
      <c r="D219" s="44" t="s">
        <v>119</v>
      </c>
    </row>
  </sheetData>
  <mergeCells count="20">
    <mergeCell ref="A185:L185"/>
    <mergeCell ref="A186:L186"/>
    <mergeCell ref="A187:L187"/>
    <mergeCell ref="A188:L188"/>
    <mergeCell ref="A189:L189"/>
    <mergeCell ref="A202:L202"/>
    <mergeCell ref="A200:L200"/>
    <mergeCell ref="A201:L201"/>
    <mergeCell ref="A116:AF116"/>
    <mergeCell ref="A196:L196"/>
    <mergeCell ref="A197:L197"/>
    <mergeCell ref="A198:L198"/>
    <mergeCell ref="A199:L199"/>
    <mergeCell ref="A190:L190"/>
    <mergeCell ref="A191:L191"/>
    <mergeCell ref="A192:L192"/>
    <mergeCell ref="A193:L193"/>
    <mergeCell ref="A194:L194"/>
    <mergeCell ref="A195:L195"/>
    <mergeCell ref="A184:L184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D205"/>
  <sheetViews>
    <sheetView zoomScaleNormal="100" workbookViewId="0">
      <selection activeCell="A36" sqref="A36"/>
    </sheetView>
  </sheetViews>
  <sheetFormatPr defaultRowHeight="13.2"/>
  <cols>
    <col min="1" max="1" width="36.5546875" customWidth="1"/>
    <col min="2" max="2" width="44.5546875" customWidth="1"/>
    <col min="3" max="3" width="10.33203125" customWidth="1"/>
    <col min="4" max="4" width="11.5546875" customWidth="1"/>
    <col min="5" max="5" width="11.6640625" customWidth="1"/>
    <col min="6" max="6" width="11.5546875" customWidth="1"/>
    <col min="7" max="11" width="9.109375" customWidth="1"/>
    <col min="12" max="12" width="9.109375" style="27" customWidth="1"/>
    <col min="17" max="17" width="10.109375" customWidth="1"/>
    <col min="18" max="18" width="10.109375" style="27" customWidth="1"/>
    <col min="19" max="19" width="10" customWidth="1"/>
    <col min="20" max="21" width="9.88671875" customWidth="1"/>
  </cols>
  <sheetData>
    <row r="1" spans="1:55" s="27" customFormat="1" ht="14.4">
      <c r="A1" s="9" t="s">
        <v>6</v>
      </c>
      <c r="B1" s="28"/>
    </row>
    <row r="2" spans="1:55" s="27" customFormat="1" ht="14.4">
      <c r="A2" s="20" t="s">
        <v>13</v>
      </c>
      <c r="B2" s="28"/>
      <c r="G2" s="18"/>
    </row>
    <row r="3" spans="1:55" s="27" customFormat="1">
      <c r="A3" s="27" t="s">
        <v>8</v>
      </c>
    </row>
    <row r="4" spans="1:55" s="27" customFormat="1">
      <c r="A4" s="27">
        <v>1</v>
      </c>
      <c r="B4" s="27" t="s">
        <v>9</v>
      </c>
    </row>
    <row r="5" spans="1:55" s="27" customFormat="1">
      <c r="A5" s="27">
        <v>2</v>
      </c>
    </row>
    <row r="6" spans="1:55" s="27" customFormat="1">
      <c r="A6" s="27">
        <v>3</v>
      </c>
    </row>
    <row r="7" spans="1:55" s="27" customFormat="1" ht="14.4">
      <c r="A7" s="9" t="s">
        <v>7</v>
      </c>
      <c r="B7" s="28"/>
    </row>
    <row r="8" spans="1:55" s="27" customFormat="1">
      <c r="A8" s="26">
        <v>1</v>
      </c>
      <c r="B8" s="17" t="s">
        <v>10</v>
      </c>
    </row>
    <row r="9" spans="1:55" s="27" customFormat="1">
      <c r="A9" s="27">
        <v>2</v>
      </c>
      <c r="B9" s="23" t="s">
        <v>103</v>
      </c>
    </row>
    <row r="10" spans="1:55" s="27" customFormat="1">
      <c r="A10" s="26">
        <v>3</v>
      </c>
      <c r="B10" s="23" t="s">
        <v>104</v>
      </c>
    </row>
    <row r="11" spans="1:55" s="27" customFormat="1">
      <c r="A11" s="27">
        <v>4</v>
      </c>
      <c r="B11" s="23" t="s">
        <v>105</v>
      </c>
    </row>
    <row r="12" spans="1:55" s="27" customFormat="1">
      <c r="A12" s="27">
        <v>5</v>
      </c>
      <c r="B12" s="21" t="s">
        <v>134</v>
      </c>
    </row>
    <row r="13" spans="1:55" s="27" customFormat="1" ht="14.4">
      <c r="A13" s="8">
        <v>6</v>
      </c>
      <c r="B13" s="101" t="s">
        <v>135</v>
      </c>
    </row>
    <row r="14" spans="1:55" s="27" customFormat="1"/>
    <row r="15" spans="1:55" s="27" customFormat="1">
      <c r="A15" s="10" t="s">
        <v>5</v>
      </c>
      <c r="B15"/>
    </row>
    <row r="16" spans="1:55" s="28" customFormat="1" ht="14.4">
      <c r="C16" s="18" t="s">
        <v>102</v>
      </c>
      <c r="D16" s="27"/>
      <c r="E16" s="27"/>
      <c r="BC16" s="29"/>
    </row>
    <row r="17" spans="1:55" s="28" customFormat="1" ht="14.4">
      <c r="C17" s="27"/>
      <c r="D17" s="27"/>
      <c r="E17" s="27"/>
      <c r="BC17" s="29"/>
    </row>
    <row r="18" spans="1:55" s="28" customFormat="1" ht="14.4">
      <c r="C18" s="18" t="s">
        <v>84</v>
      </c>
      <c r="D18" s="27">
        <v>146.30000000000001</v>
      </c>
      <c r="E18" s="18" t="s">
        <v>14</v>
      </c>
      <c r="BC18" s="29"/>
    </row>
    <row r="19" spans="1:55" s="28" customFormat="1" ht="14.4">
      <c r="C19" s="18" t="s">
        <v>81</v>
      </c>
      <c r="D19" s="27"/>
      <c r="E19" s="27"/>
      <c r="BC19" s="29"/>
    </row>
    <row r="20" spans="1:55" s="28" customFormat="1" ht="14.4">
      <c r="C20" s="18" t="s">
        <v>82</v>
      </c>
      <c r="D20" s="27">
        <f>1000*3600</f>
        <v>3600000</v>
      </c>
      <c r="E20" s="18" t="s">
        <v>83</v>
      </c>
      <c r="BC20" s="29"/>
    </row>
    <row r="21" spans="1:55" s="28" customFormat="1" ht="14.4">
      <c r="C21" s="18" t="s">
        <v>82</v>
      </c>
      <c r="D21" s="27">
        <v>3.6</v>
      </c>
      <c r="E21" s="18" t="s">
        <v>14</v>
      </c>
      <c r="BC21" s="29"/>
    </row>
    <row r="22" spans="1:55" s="28" customFormat="1" ht="14.4">
      <c r="C22" s="25" t="s">
        <v>84</v>
      </c>
      <c r="D22" s="71">
        <f>D18/D21</f>
        <v>40.638888888888893</v>
      </c>
      <c r="E22" s="25" t="s">
        <v>85</v>
      </c>
      <c r="BC22" s="29"/>
    </row>
    <row r="23" spans="1:55">
      <c r="A23" s="84" t="s">
        <v>27</v>
      </c>
      <c r="C23" s="18" t="s">
        <v>82</v>
      </c>
      <c r="D23" s="27">
        <f>1/D22</f>
        <v>2.4606971975393025E-2</v>
      </c>
      <c r="E23" s="18" t="s">
        <v>86</v>
      </c>
    </row>
    <row r="24" spans="1:55" s="44" customFormat="1">
      <c r="A24" s="44" t="s">
        <v>28</v>
      </c>
    </row>
    <row r="25" spans="1:55" s="44" customFormat="1">
      <c r="A25" s="44" t="s">
        <v>20</v>
      </c>
    </row>
    <row r="26" spans="1:55" s="44" customFormat="1" ht="14.4">
      <c r="A26" s="43" t="s">
        <v>40</v>
      </c>
    </row>
    <row r="27" spans="1:55" s="44" customFormat="1">
      <c r="A27" s="18" t="s">
        <v>54</v>
      </c>
    </row>
    <row r="28" spans="1:55" s="44" customFormat="1" ht="14.4">
      <c r="A28" s="28" t="s">
        <v>18</v>
      </c>
    </row>
    <row r="29" spans="1:55" s="44" customFormat="1"/>
    <row r="30" spans="1:55">
      <c r="A30" s="10" t="s">
        <v>12</v>
      </c>
    </row>
    <row r="31" spans="1:55" s="27" customFormat="1">
      <c r="C31" s="27">
        <v>1960</v>
      </c>
      <c r="D31" s="27">
        <v>1961</v>
      </c>
      <c r="E31" s="27">
        <v>1962</v>
      </c>
      <c r="F31" s="27">
        <v>1963</v>
      </c>
      <c r="G31" s="27">
        <v>1964</v>
      </c>
      <c r="H31" s="27">
        <v>1965</v>
      </c>
      <c r="I31" s="27">
        <v>1966</v>
      </c>
      <c r="J31" s="27">
        <v>1967</v>
      </c>
      <c r="K31" s="27">
        <v>1968</v>
      </c>
      <c r="L31" s="27">
        <v>1969</v>
      </c>
      <c r="M31" s="7">
        <v>1970</v>
      </c>
      <c r="N31" s="27">
        <v>1971</v>
      </c>
      <c r="O31" s="27">
        <v>1972</v>
      </c>
      <c r="P31" s="27">
        <v>1973</v>
      </c>
      <c r="Q31" s="27">
        <v>1974</v>
      </c>
      <c r="R31" s="27">
        <v>1975</v>
      </c>
      <c r="S31" s="27">
        <v>1976</v>
      </c>
      <c r="T31" s="27">
        <v>1977</v>
      </c>
      <c r="U31" s="27">
        <v>1978</v>
      </c>
      <c r="V31" s="27">
        <v>1979</v>
      </c>
      <c r="W31" s="27">
        <v>1980</v>
      </c>
      <c r="X31" s="27">
        <v>1981</v>
      </c>
      <c r="Y31" s="27">
        <v>1982</v>
      </c>
      <c r="Z31" s="27">
        <v>1983</v>
      </c>
      <c r="AA31" s="27">
        <v>1984</v>
      </c>
      <c r="AB31" s="27">
        <v>1985</v>
      </c>
      <c r="AC31" s="27">
        <v>1986</v>
      </c>
      <c r="AD31" s="27">
        <v>1987</v>
      </c>
      <c r="AE31" s="27">
        <v>1988</v>
      </c>
      <c r="AF31" s="27">
        <v>1989</v>
      </c>
      <c r="AG31" s="27">
        <v>1990</v>
      </c>
      <c r="AH31" s="27">
        <v>1991</v>
      </c>
      <c r="AI31" s="27">
        <v>1992</v>
      </c>
      <c r="AJ31" s="27">
        <v>1993</v>
      </c>
      <c r="AK31" s="27">
        <v>1994</v>
      </c>
      <c r="AL31" s="27">
        <v>1995</v>
      </c>
      <c r="AM31" s="27">
        <v>1996</v>
      </c>
      <c r="AN31" s="27">
        <v>1997</v>
      </c>
      <c r="AO31" s="27">
        <v>1998</v>
      </c>
      <c r="AP31" s="27">
        <v>1999</v>
      </c>
      <c r="AQ31" s="27">
        <v>2000</v>
      </c>
      <c r="AR31" s="27">
        <v>2001</v>
      </c>
      <c r="AS31" s="27">
        <v>2002</v>
      </c>
      <c r="AT31" s="27">
        <v>2003</v>
      </c>
      <c r="AU31" s="27">
        <v>2004</v>
      </c>
      <c r="AV31" s="27">
        <v>2005</v>
      </c>
      <c r="AW31" s="27">
        <v>2006</v>
      </c>
      <c r="AX31" s="27">
        <v>2007</v>
      </c>
      <c r="AY31" s="27">
        <v>2008</v>
      </c>
      <c r="AZ31" s="27">
        <v>2009</v>
      </c>
      <c r="BA31" s="27">
        <v>2010</v>
      </c>
      <c r="BB31" s="37"/>
    </row>
    <row r="32" spans="1:55" s="2" customFormat="1" ht="12.75" customHeight="1">
      <c r="B32" s="94" t="s">
        <v>11</v>
      </c>
      <c r="C32" s="95" t="s">
        <v>124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31"/>
    </row>
    <row r="33" spans="1:54" s="44" customFormat="1">
      <c r="B33" s="18" t="s">
        <v>99</v>
      </c>
      <c r="C33" s="12">
        <f>C97</f>
        <v>7.4980127641313903</v>
      </c>
      <c r="D33" s="12">
        <f t="shared" ref="D33:BA33" si="0">D97</f>
        <v>7.5291433398223901</v>
      </c>
      <c r="E33" s="12">
        <f t="shared" si="0"/>
        <v>7.5602321799605354</v>
      </c>
      <c r="F33" s="12">
        <f t="shared" si="0"/>
        <v>7.5912793684194542</v>
      </c>
      <c r="G33" s="12">
        <f t="shared" si="0"/>
        <v>7.6222849888481825</v>
      </c>
      <c r="H33" s="12">
        <f t="shared" si="0"/>
        <v>7.6532491246719179</v>
      </c>
      <c r="I33" s="12">
        <f t="shared" si="0"/>
        <v>7.7553951229657887</v>
      </c>
      <c r="J33" s="12">
        <f t="shared" si="0"/>
        <v>7.8610356209038583</v>
      </c>
      <c r="K33" s="12">
        <f t="shared" si="0"/>
        <v>7.9703530639042608</v>
      </c>
      <c r="L33" s="12">
        <f t="shared" si="0"/>
        <v>8.0835428227934081</v>
      </c>
      <c r="M33" s="12">
        <f t="shared" si="0"/>
        <v>8.2008143590757108</v>
      </c>
      <c r="N33" s="12">
        <f t="shared" si="0"/>
        <v>8.0594865732634169</v>
      </c>
      <c r="O33" s="12">
        <f t="shared" si="0"/>
        <v>7.9180910080459794</v>
      </c>
      <c r="P33" s="12">
        <f t="shared" si="0"/>
        <v>7.7766276146522078</v>
      </c>
      <c r="Q33" s="12">
        <f t="shared" si="0"/>
        <v>7.6350963442641078</v>
      </c>
      <c r="R33" s="12">
        <f t="shared" si="0"/>
        <v>7.493497148016826</v>
      </c>
      <c r="S33" s="12">
        <f t="shared" si="0"/>
        <v>7.4792414894366059</v>
      </c>
      <c r="T33" s="12">
        <f t="shared" si="0"/>
        <v>7.4653583233935672</v>
      </c>
      <c r="U33" s="12">
        <f t="shared" si="0"/>
        <v>7.4518332386284225</v>
      </c>
      <c r="V33" s="12">
        <f t="shared" si="0"/>
        <v>7.4386525578210527</v>
      </c>
      <c r="W33" s="12">
        <f t="shared" si="0"/>
        <v>7.4258032914551775</v>
      </c>
      <c r="X33" s="12">
        <f t="shared" si="0"/>
        <v>7.5065281331533598</v>
      </c>
      <c r="Y33" s="12">
        <f t="shared" si="0"/>
        <v>7.5942450914571626</v>
      </c>
      <c r="Z33" s="12">
        <f t="shared" si="0"/>
        <v>7.6899037416248754</v>
      </c>
      <c r="AA33" s="12">
        <f t="shared" si="0"/>
        <v>7.7946337564474195</v>
      </c>
      <c r="AB33" s="12">
        <f t="shared" si="0"/>
        <v>7.9097897283834993</v>
      </c>
      <c r="AC33" s="12">
        <f t="shared" si="0"/>
        <v>7.9793367022038009</v>
      </c>
      <c r="AD33" s="12">
        <f t="shared" si="0"/>
        <v>8.0486843993970982</v>
      </c>
      <c r="AE33" s="12">
        <f t="shared" si="0"/>
        <v>8.1178336752348716</v>
      </c>
      <c r="AF33" s="12">
        <f t="shared" si="0"/>
        <v>8.1867853801012966</v>
      </c>
      <c r="AG33" s="12">
        <f t="shared" si="0"/>
        <v>8.2555403595281049</v>
      </c>
      <c r="AH33" s="12">
        <f t="shared" si="0"/>
        <v>8.6601174437836121</v>
      </c>
      <c r="AI33" s="12">
        <f t="shared" si="0"/>
        <v>8.5429010437409882</v>
      </c>
      <c r="AJ33" s="12">
        <f t="shared" si="0"/>
        <v>8.5533421548216371</v>
      </c>
      <c r="AK33" s="12">
        <f t="shared" si="0"/>
        <v>8.4286714022815161</v>
      </c>
      <c r="AL33" s="12">
        <f t="shared" si="0"/>
        <v>8.6159245581215327</v>
      </c>
      <c r="AM33" s="12">
        <f t="shared" si="0"/>
        <v>8.7432609044094374</v>
      </c>
      <c r="AN33" s="12">
        <f t="shared" si="0"/>
        <v>8.7275388281812951</v>
      </c>
      <c r="AO33" s="12">
        <f t="shared" si="0"/>
        <v>8.9852480201069547</v>
      </c>
      <c r="AP33" s="12">
        <f t="shared" si="0"/>
        <v>8.9865678505794406</v>
      </c>
      <c r="AQ33" s="12">
        <f t="shared" si="0"/>
        <v>9.1836071255098535</v>
      </c>
      <c r="AR33" s="12">
        <f t="shared" si="0"/>
        <v>9.0673122383104943</v>
      </c>
      <c r="AS33" s="12">
        <f t="shared" si="0"/>
        <v>9.1615686617737158</v>
      </c>
      <c r="AT33" s="12">
        <f t="shared" si="0"/>
        <v>9.1683797855407185</v>
      </c>
      <c r="AU33" s="12">
        <f t="shared" si="0"/>
        <v>9.025346503606146</v>
      </c>
      <c r="AV33" s="12">
        <f t="shared" si="0"/>
        <v>9.0939648110305367</v>
      </c>
      <c r="AW33" s="12">
        <f t="shared" si="0"/>
        <v>9.1901383003975745</v>
      </c>
      <c r="AX33" s="12">
        <f t="shared" si="0"/>
        <v>9.2921530766969163</v>
      </c>
      <c r="AY33" s="12">
        <f t="shared" si="0"/>
        <v>9.4612567495622457</v>
      </c>
      <c r="AZ33" s="12">
        <f t="shared" si="0"/>
        <v>9.9140031399669777</v>
      </c>
      <c r="BA33" s="12">
        <f t="shared" si="0"/>
        <v>10.03597194877886</v>
      </c>
      <c r="BB33" s="37"/>
    </row>
    <row r="34" spans="1:54" s="27" customFormat="1" ht="14.4">
      <c r="A34" s="11"/>
      <c r="B34" s="22" t="s">
        <v>134</v>
      </c>
      <c r="C34" s="35">
        <f>50*(1-EXP(-0.065*C33))/100</f>
        <v>0.19288039370881982</v>
      </c>
      <c r="D34" s="35">
        <f t="shared" ref="D34:K34" si="1">50*(1-EXP(-0.065*D33))/100</f>
        <v>0.19350121804161508</v>
      </c>
      <c r="E34" s="35">
        <f t="shared" si="1"/>
        <v>0.19411995762071077</v>
      </c>
      <c r="F34" s="35">
        <f t="shared" si="1"/>
        <v>0.19473662167256406</v>
      </c>
      <c r="G34" s="35">
        <f t="shared" si="1"/>
        <v>0.19535121937363836</v>
      </c>
      <c r="H34" s="35">
        <f t="shared" si="1"/>
        <v>0.19596375985072137</v>
      </c>
      <c r="I34" s="35">
        <f t="shared" si="1"/>
        <v>0.19797571881146009</v>
      </c>
      <c r="J34" s="35">
        <f t="shared" si="1"/>
        <v>0.2000425044664941</v>
      </c>
      <c r="K34" s="35">
        <f t="shared" si="1"/>
        <v>0.20216633805593648</v>
      </c>
      <c r="L34" s="35">
        <f>50*(1-EXP(-0.065*L33))/100</f>
        <v>0.2043495586906672</v>
      </c>
      <c r="M34" s="48">
        <f>50*(1-EXP(-0.065*M33))/100</f>
        <v>0.2065946309147223</v>
      </c>
      <c r="N34" s="35">
        <f>50*(1-EXP(-0.065*N33))/100</f>
        <v>0.20388690141513494</v>
      </c>
      <c r="O34" s="35">
        <f t="shared" ref="O34:BA34" si="2">50*(1-EXP(-0.065*O33))/100</f>
        <v>0.20115286666634227</v>
      </c>
      <c r="P34" s="35">
        <f t="shared" si="2"/>
        <v>0.19839225863211352</v>
      </c>
      <c r="Q34" s="35">
        <f t="shared" si="2"/>
        <v>0.19560480642055217</v>
      </c>
      <c r="R34" s="35">
        <f t="shared" si="2"/>
        <v>0.19279023625236966</v>
      </c>
      <c r="S34" s="35">
        <f t="shared" si="2"/>
        <v>0.19250543828552136</v>
      </c>
      <c r="T34" s="35">
        <f t="shared" si="2"/>
        <v>0.19222782817212825</v>
      </c>
      <c r="U34" s="35">
        <f t="shared" si="2"/>
        <v>0.19195713729695768</v>
      </c>
      <c r="V34" s="35">
        <f t="shared" si="2"/>
        <v>0.19169311025914598</v>
      </c>
      <c r="W34" s="35">
        <f t="shared" si="2"/>
        <v>0.19143550406981152</v>
      </c>
      <c r="X34" s="35">
        <f t="shared" si="2"/>
        <v>0.19305033706353819</v>
      </c>
      <c r="Y34" s="35">
        <f t="shared" si="2"/>
        <v>0.1947954622321646</v>
      </c>
      <c r="Z34" s="35">
        <f t="shared" si="2"/>
        <v>0.19668727917290824</v>
      </c>
      <c r="AA34" s="35">
        <f t="shared" si="2"/>
        <v>0.19874505360060785</v>
      </c>
      <c r="AB34" s="35">
        <f t="shared" si="2"/>
        <v>0.20099157026788539</v>
      </c>
      <c r="AC34" s="35">
        <f t="shared" si="2"/>
        <v>0.20234020323088775</v>
      </c>
      <c r="AD34" s="35">
        <f t="shared" si="2"/>
        <v>0.20367891516943756</v>
      </c>
      <c r="AE34" s="35">
        <f t="shared" si="2"/>
        <v>0.20500780170516342</v>
      </c>
      <c r="AF34" s="35">
        <f t="shared" si="2"/>
        <v>0.20632695733569062</v>
      </c>
      <c r="AG34" s="35">
        <f t="shared" si="2"/>
        <v>0.2076364754501196</v>
      </c>
      <c r="AH34" s="35">
        <f t="shared" si="2"/>
        <v>0.21522469535030969</v>
      </c>
      <c r="AI34" s="35">
        <f t="shared" si="2"/>
        <v>0.21304668684909817</v>
      </c>
      <c r="AJ34" s="35">
        <f t="shared" si="2"/>
        <v>0.21324136802141594</v>
      </c>
      <c r="AK34" s="35">
        <f t="shared" si="2"/>
        <v>0.21090815011958092</v>
      </c>
      <c r="AL34" s="35">
        <f t="shared" si="2"/>
        <v>0.21440549155571995</v>
      </c>
      <c r="AM34" s="35">
        <f t="shared" si="2"/>
        <v>0.2167595624357801</v>
      </c>
      <c r="AN34" s="35">
        <f t="shared" si="2"/>
        <v>0.21646996118039291</v>
      </c>
      <c r="AO34" s="35">
        <f t="shared" si="2"/>
        <v>0.22117984252512474</v>
      </c>
      <c r="AP34" s="35">
        <f t="shared" si="2"/>
        <v>0.22120376119624247</v>
      </c>
      <c r="AQ34" s="35">
        <f t="shared" si="2"/>
        <v>0.22475169012304869</v>
      </c>
      <c r="AR34" s="35">
        <f t="shared" si="2"/>
        <v>0.2226631581617895</v>
      </c>
      <c r="AS34" s="35">
        <f t="shared" si="2"/>
        <v>0.22435711433236713</v>
      </c>
      <c r="AT34" s="35">
        <f t="shared" si="2"/>
        <v>0.2244791207804766</v>
      </c>
      <c r="AU34" s="35">
        <f t="shared" si="2"/>
        <v>0.22190561354538998</v>
      </c>
      <c r="AV34" s="35">
        <f t="shared" si="2"/>
        <v>0.22314320534315119</v>
      </c>
      <c r="AW34" s="35">
        <f t="shared" si="2"/>
        <v>0.22486851548877815</v>
      </c>
      <c r="AX34" s="35">
        <f t="shared" si="2"/>
        <v>0.22668686611549049</v>
      </c>
      <c r="AY34" s="35">
        <f t="shared" si="2"/>
        <v>0.22967460238703302</v>
      </c>
      <c r="AZ34" s="35">
        <f t="shared" si="2"/>
        <v>0.23751396140188605</v>
      </c>
      <c r="BA34" s="35">
        <f t="shared" si="2"/>
        <v>0.23958671628816608</v>
      </c>
      <c r="BB34" s="39"/>
    </row>
    <row r="35" spans="1:54" s="27" customFormat="1" ht="43.5" customHeight="1">
      <c r="A35" s="11"/>
      <c r="B35" s="30" t="s">
        <v>130</v>
      </c>
      <c r="C35" s="83">
        <f>C34*0.17</f>
        <v>3.2789666930499374E-2</v>
      </c>
      <c r="D35" s="83">
        <f t="shared" ref="D35:W35" si="3">D34*0.17</f>
        <v>3.2895207067074564E-2</v>
      </c>
      <c r="E35" s="83">
        <f t="shared" si="3"/>
        <v>3.3000392795520833E-2</v>
      </c>
      <c r="F35" s="83">
        <f t="shared" si="3"/>
        <v>3.3105225684335896E-2</v>
      </c>
      <c r="G35" s="83">
        <f t="shared" si="3"/>
        <v>3.3209707293518527E-2</v>
      </c>
      <c r="H35" s="83">
        <f t="shared" si="3"/>
        <v>3.3313839174622634E-2</v>
      </c>
      <c r="I35" s="83">
        <f t="shared" si="3"/>
        <v>3.3655872197948217E-2</v>
      </c>
      <c r="J35" s="83">
        <f t="shared" si="3"/>
        <v>3.4007225759303997E-2</v>
      </c>
      <c r="K35" s="83">
        <f t="shared" si="3"/>
        <v>3.4368277469509205E-2</v>
      </c>
      <c r="L35" s="83">
        <f t="shared" si="3"/>
        <v>3.4739424977413426E-2</v>
      </c>
      <c r="M35" s="83">
        <f t="shared" si="3"/>
        <v>3.5121087255502795E-2</v>
      </c>
      <c r="N35" s="83">
        <f t="shared" si="3"/>
        <v>3.4660773240572942E-2</v>
      </c>
      <c r="O35" s="83">
        <f t="shared" si="3"/>
        <v>3.4195987333278187E-2</v>
      </c>
      <c r="P35" s="83">
        <f t="shared" si="3"/>
        <v>3.3726683967459301E-2</v>
      </c>
      <c r="Q35" s="83">
        <f t="shared" si="3"/>
        <v>3.3252817091493872E-2</v>
      </c>
      <c r="R35" s="83">
        <f t="shared" si="3"/>
        <v>3.2774340162902843E-2</v>
      </c>
      <c r="S35" s="83">
        <f t="shared" si="3"/>
        <v>3.2725924508538631E-2</v>
      </c>
      <c r="T35" s="83">
        <f t="shared" si="3"/>
        <v>3.2678730789261805E-2</v>
      </c>
      <c r="U35" s="83">
        <f t="shared" si="3"/>
        <v>3.2632713340482809E-2</v>
      </c>
      <c r="V35" s="83">
        <f t="shared" si="3"/>
        <v>3.2587828744054817E-2</v>
      </c>
      <c r="W35" s="83">
        <f t="shared" si="3"/>
        <v>3.2544035691867965E-2</v>
      </c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40"/>
    </row>
    <row r="36" spans="1:54" s="27" customFormat="1" ht="26.4">
      <c r="B36" s="30" t="s">
        <v>129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38"/>
    </row>
    <row r="37" spans="1:54" s="44" customFormat="1">
      <c r="B37" s="3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38"/>
    </row>
    <row r="38" spans="1:54" s="44" customFormat="1">
      <c r="B38" s="3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38"/>
    </row>
    <row r="39" spans="1:54" s="44" customFormat="1">
      <c r="B39" s="3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38"/>
    </row>
    <row r="40" spans="1:54" s="27" customFormat="1" ht="26.4">
      <c r="B40" s="30" t="s">
        <v>112</v>
      </c>
      <c r="C40" s="91">
        <v>4.165</v>
      </c>
      <c r="D40" s="91">
        <v>4.2066499999999998</v>
      </c>
      <c r="E40" s="91">
        <v>4.2482999999999995</v>
      </c>
      <c r="F40" s="91">
        <v>4.2899500000000002</v>
      </c>
      <c r="G40" s="91">
        <v>4.3315999999999999</v>
      </c>
      <c r="H40" s="91">
        <v>4.3732499999999996</v>
      </c>
      <c r="I40" s="91">
        <v>4.4148999999999994</v>
      </c>
      <c r="J40" s="91">
        <v>4.4565499999999991</v>
      </c>
      <c r="K40" s="91">
        <v>4.4981999999999998</v>
      </c>
      <c r="L40" s="91">
        <v>4.5398500000000004</v>
      </c>
      <c r="M40" s="91">
        <v>4.5815000000000001</v>
      </c>
      <c r="N40" s="91">
        <v>4.6231499999999999</v>
      </c>
      <c r="O40" s="91">
        <v>4.6647999999999996</v>
      </c>
      <c r="P40" s="91">
        <v>4.7064500000000002</v>
      </c>
      <c r="Q40" s="91">
        <v>4.7481</v>
      </c>
      <c r="R40" s="91">
        <v>4.7897499999999997</v>
      </c>
      <c r="S40" s="91">
        <v>4.8313999999999995</v>
      </c>
      <c r="T40" s="91">
        <v>4.8730499999999992</v>
      </c>
      <c r="U40" s="91">
        <v>4.9146999999999998</v>
      </c>
      <c r="V40" s="91">
        <v>4.9563499999999996</v>
      </c>
      <c r="W40" s="91">
        <v>4.9979999999999993</v>
      </c>
      <c r="X40" s="91">
        <v>5.03965</v>
      </c>
      <c r="Y40" s="91">
        <v>5.0812999999999997</v>
      </c>
      <c r="Z40" s="91">
        <v>4.86627632559426</v>
      </c>
      <c r="AA40" s="91">
        <v>5.0944915031583378</v>
      </c>
      <c r="AB40" s="91">
        <v>5.0949241412059072</v>
      </c>
      <c r="AC40" s="91">
        <v>5.2026595308875958</v>
      </c>
      <c r="AD40" s="91">
        <v>5.5652583288452684</v>
      </c>
      <c r="AE40" s="91">
        <v>5.5633979154302917</v>
      </c>
      <c r="AF40" s="91">
        <v>6.1084831985657058</v>
      </c>
      <c r="AG40" s="91">
        <v>6.4594892137302651</v>
      </c>
      <c r="AH40" s="91">
        <v>6.3385599581834713</v>
      </c>
      <c r="AI40" s="91">
        <v>6.1106007484541376</v>
      </c>
      <c r="AJ40" s="91">
        <v>6.6111829866750478</v>
      </c>
      <c r="AK40" s="91">
        <v>6.7956759206425117</v>
      </c>
      <c r="AL40" s="91">
        <v>6.8069182717779988</v>
      </c>
      <c r="AM40" s="91">
        <v>7.1266267937111891</v>
      </c>
      <c r="AN40" s="91">
        <v>7.1552018447101498</v>
      </c>
      <c r="AO40" s="91">
        <v>7.4653387573723373</v>
      </c>
      <c r="AP40" s="91">
        <v>7.2188742681426223</v>
      </c>
      <c r="AQ40" s="91">
        <v>7.1899988171170595</v>
      </c>
      <c r="AR40" s="91">
        <v>7.0043425669071864</v>
      </c>
      <c r="AS40" s="91">
        <v>7.1138882077266556</v>
      </c>
      <c r="AT40" s="91">
        <v>7.036289611314813</v>
      </c>
      <c r="AU40" s="91">
        <v>6.5291402860209402</v>
      </c>
      <c r="AV40" s="91">
        <v>7.6942095167564943</v>
      </c>
      <c r="AW40" s="91">
        <v>7.6445506100078262</v>
      </c>
      <c r="AX40" s="91">
        <v>7.217589537143307</v>
      </c>
      <c r="AY40" s="91">
        <v>7.0542815052926331</v>
      </c>
      <c r="AZ40" s="91">
        <v>6.8214863538346657</v>
      </c>
      <c r="BA40" s="91">
        <v>6.8029815959170881</v>
      </c>
    </row>
    <row r="41" spans="1:54" s="44" customFormat="1" ht="14.4">
      <c r="B41" s="22" t="s">
        <v>133</v>
      </c>
      <c r="C41" s="35">
        <f>45*(1-EXP(-0.075*C40))/100</f>
        <v>0.12073181102268958</v>
      </c>
      <c r="D41" s="35">
        <f t="shared" ref="D41:BA41" si="4">45*(1-EXP(-0.075*D40))/100</f>
        <v>0.12175875773055531</v>
      </c>
      <c r="E41" s="35">
        <f t="shared" si="4"/>
        <v>0.12278250151880689</v>
      </c>
      <c r="F41" s="35">
        <f t="shared" si="4"/>
        <v>0.12380305237695398</v>
      </c>
      <c r="G41" s="35">
        <f t="shared" si="4"/>
        <v>0.12482042026335013</v>
      </c>
      <c r="H41" s="35">
        <f t="shared" si="4"/>
        <v>0.12583461510529012</v>
      </c>
      <c r="I41" s="35">
        <f t="shared" si="4"/>
        <v>0.1268456467991067</v>
      </c>
      <c r="J41" s="35">
        <f t="shared" si="4"/>
        <v>0.12785352521026719</v>
      </c>
      <c r="K41" s="35">
        <f t="shared" si="4"/>
        <v>0.12885826017346971</v>
      </c>
      <c r="L41" s="35">
        <f t="shared" si="4"/>
        <v>0.12985986149273918</v>
      </c>
      <c r="M41" s="35">
        <f t="shared" si="4"/>
        <v>0.13085833894152291</v>
      </c>
      <c r="N41" s="35">
        <f t="shared" si="4"/>
        <v>0.13185370226278623</v>
      </c>
      <c r="O41" s="35">
        <f t="shared" si="4"/>
        <v>0.13284596116910716</v>
      </c>
      <c r="P41" s="35">
        <f t="shared" si="4"/>
        <v>0.13383512534277153</v>
      </c>
      <c r="Q41" s="35">
        <f t="shared" si="4"/>
        <v>0.13482120443586729</v>
      </c>
      <c r="R41" s="35">
        <f t="shared" si="4"/>
        <v>0.13580420807037866</v>
      </c>
      <c r="S41" s="35">
        <f t="shared" si="4"/>
        <v>0.13678414583828016</v>
      </c>
      <c r="T41" s="35">
        <f t="shared" si="4"/>
        <v>0.13776102730163006</v>
      </c>
      <c r="U41" s="35">
        <f t="shared" si="4"/>
        <v>0.13873486199266391</v>
      </c>
      <c r="V41" s="35">
        <f t="shared" si="4"/>
        <v>0.13970565941388713</v>
      </c>
      <c r="W41" s="35">
        <f t="shared" si="4"/>
        <v>0.14067342903816815</v>
      </c>
      <c r="X41" s="35">
        <f t="shared" si="4"/>
        <v>0.1416381803088308</v>
      </c>
      <c r="Y41" s="35">
        <f t="shared" si="4"/>
        <v>0.14259992263974625</v>
      </c>
      <c r="Z41" s="35">
        <f t="shared" si="4"/>
        <v>0.13760236161659115</v>
      </c>
      <c r="AA41" s="35">
        <f t="shared" si="4"/>
        <v>0.14290390242366796</v>
      </c>
      <c r="AB41" s="35">
        <f t="shared" si="4"/>
        <v>0.14291386687121002</v>
      </c>
      <c r="AC41" s="35">
        <f t="shared" si="4"/>
        <v>0.14538517247666036</v>
      </c>
      <c r="AD41" s="35">
        <f t="shared" si="4"/>
        <v>0.15355751848509336</v>
      </c>
      <c r="AE41" s="35">
        <f t="shared" si="4"/>
        <v>0.15351615268155092</v>
      </c>
      <c r="AF41" s="35">
        <f t="shared" si="4"/>
        <v>0.16539241325515328</v>
      </c>
      <c r="AG41" s="35">
        <f t="shared" si="4"/>
        <v>0.17278707540979707</v>
      </c>
      <c r="AH41" s="35">
        <f t="shared" si="4"/>
        <v>0.17026140273888063</v>
      </c>
      <c r="AI41" s="35">
        <f t="shared" si="4"/>
        <v>0.16543760997333873</v>
      </c>
      <c r="AJ41" s="35">
        <f t="shared" si="4"/>
        <v>0.17592306304945687</v>
      </c>
      <c r="AK41" s="35">
        <f t="shared" si="4"/>
        <v>0.1796893403920688</v>
      </c>
      <c r="AL41" s="35">
        <f t="shared" si="4"/>
        <v>0.17991716388220688</v>
      </c>
      <c r="AM41" s="35">
        <f t="shared" si="4"/>
        <v>0.18631622235748591</v>
      </c>
      <c r="AN41" s="35">
        <f t="shared" si="4"/>
        <v>0.18688072554442642</v>
      </c>
      <c r="AO41" s="35">
        <f t="shared" si="4"/>
        <v>0.1929303201516159</v>
      </c>
      <c r="AP41" s="35">
        <f t="shared" si="4"/>
        <v>0.18813423826924844</v>
      </c>
      <c r="AQ41" s="35">
        <f t="shared" si="4"/>
        <v>0.18756651184190457</v>
      </c>
      <c r="AR41" s="35">
        <f t="shared" si="4"/>
        <v>0.18388677123808694</v>
      </c>
      <c r="AS41" s="35">
        <f t="shared" si="4"/>
        <v>0.18606418009126252</v>
      </c>
      <c r="AT41" s="35">
        <f t="shared" si="4"/>
        <v>0.18452362281145657</v>
      </c>
      <c r="AU41" s="35">
        <f t="shared" si="4"/>
        <v>0.17423141294693409</v>
      </c>
      <c r="AV41" s="35">
        <f t="shared" si="4"/>
        <v>0.19730534338267952</v>
      </c>
      <c r="AW41" s="35">
        <f t="shared" si="4"/>
        <v>0.19636244807531658</v>
      </c>
      <c r="AX41" s="35">
        <f t="shared" si="4"/>
        <v>0.18810900502396385</v>
      </c>
      <c r="AY41" s="35">
        <f t="shared" si="4"/>
        <v>0.18488161293502209</v>
      </c>
      <c r="AZ41" s="35">
        <f t="shared" si="4"/>
        <v>0.18021209689895126</v>
      </c>
      <c r="BA41" s="35">
        <f t="shared" si="4"/>
        <v>0.17983740996548245</v>
      </c>
    </row>
    <row r="42" spans="1:54" ht="18" customHeight="1">
      <c r="B42" s="30" t="s">
        <v>136</v>
      </c>
      <c r="C42" s="11">
        <v>0.14067342903816815</v>
      </c>
      <c r="D42" s="11">
        <v>0.14067342903816815</v>
      </c>
      <c r="E42" s="11">
        <v>0.14067342903816815</v>
      </c>
      <c r="F42" s="11">
        <v>0.14067342903816815</v>
      </c>
      <c r="G42" s="11">
        <v>0.14067342903816815</v>
      </c>
      <c r="H42" s="11">
        <v>0.14067342903816815</v>
      </c>
      <c r="I42" s="11">
        <v>0.14067342903816815</v>
      </c>
      <c r="J42" s="11">
        <v>0.14067342903816815</v>
      </c>
      <c r="K42" s="11">
        <v>0.14067342903816815</v>
      </c>
      <c r="L42" s="11">
        <v>0.14067342903816815</v>
      </c>
      <c r="M42" s="11">
        <v>0.14067342903816815</v>
      </c>
      <c r="N42" s="11">
        <v>0.14067342903816815</v>
      </c>
      <c r="O42" s="11">
        <v>0.14067342903816815</v>
      </c>
      <c r="P42" s="11">
        <v>0.14067342903816815</v>
      </c>
      <c r="Q42" s="11">
        <v>0.14067342903816815</v>
      </c>
      <c r="R42" s="11">
        <v>0.14067342903816815</v>
      </c>
      <c r="S42" s="11">
        <v>0.14067342903816815</v>
      </c>
      <c r="T42" s="11">
        <v>0.14067342903816815</v>
      </c>
      <c r="U42" s="11">
        <v>0.14067342903816815</v>
      </c>
      <c r="V42" s="11">
        <v>0.14067342903816815</v>
      </c>
      <c r="W42" s="11">
        <v>0.14067342903816815</v>
      </c>
      <c r="X42" s="11">
        <v>0.14067342903816815</v>
      </c>
      <c r="Y42" s="11">
        <v>0.14067342903816815</v>
      </c>
      <c r="Z42" s="11">
        <v>0.14768239911982473</v>
      </c>
      <c r="AA42" s="11">
        <v>0.14865212416176996</v>
      </c>
      <c r="AB42" s="11">
        <v>0.14610448803323134</v>
      </c>
      <c r="AC42" s="11">
        <v>0.14414621194598226</v>
      </c>
      <c r="AD42" s="11">
        <v>0.14314367399007127</v>
      </c>
      <c r="AE42" s="11">
        <v>0.13658921403315735</v>
      </c>
      <c r="AF42" s="11">
        <v>0.13960396197468478</v>
      </c>
      <c r="AG42" s="11">
        <v>0.13955854488776523</v>
      </c>
      <c r="AH42" s="11">
        <v>0.13791205607348778</v>
      </c>
      <c r="AI42" s="11">
        <v>0.13360626189714142</v>
      </c>
      <c r="AJ42" s="11">
        <v>0.13320316243825478</v>
      </c>
      <c r="AK42" s="11">
        <v>0.13367178561669771</v>
      </c>
      <c r="AL42" s="11">
        <v>0.13623272258670707</v>
      </c>
      <c r="AM42" s="11">
        <v>0.13654042265341099</v>
      </c>
      <c r="AN42" s="11">
        <v>0.1372737144279749</v>
      </c>
      <c r="AO42" s="11">
        <v>0.13507815634263962</v>
      </c>
      <c r="AP42" s="11">
        <v>0.13782068413022949</v>
      </c>
      <c r="AQ42" s="11">
        <v>0.13723763048411924</v>
      </c>
      <c r="AR42" s="11">
        <v>0.13525532807310203</v>
      </c>
      <c r="AS42" s="11">
        <v>0.1375946847721074</v>
      </c>
      <c r="AT42" s="11">
        <v>0.13540779879294898</v>
      </c>
      <c r="AU42" s="11">
        <v>0.13458098229477589</v>
      </c>
      <c r="AV42" s="11">
        <v>0.13359433870469944</v>
      </c>
      <c r="AW42" s="11">
        <v>0.13637466884116256</v>
      </c>
      <c r="AX42" s="11">
        <v>0.14317648575036585</v>
      </c>
      <c r="AY42" s="11">
        <v>0.14789560732927459</v>
      </c>
      <c r="AZ42" s="11">
        <v>0.1444340238416145</v>
      </c>
      <c r="BA42" s="11">
        <v>0.14863299024222762</v>
      </c>
    </row>
    <row r="43" spans="1:54" s="44" customFormat="1">
      <c r="B43" s="30" t="s">
        <v>131</v>
      </c>
      <c r="C43" s="19">
        <v>2.6091867706555017E-2</v>
      </c>
      <c r="D43" s="19">
        <v>2.6233569133369643E-2</v>
      </c>
      <c r="E43" s="19">
        <v>2.6373874464315591E-2</v>
      </c>
      <c r="F43" s="19">
        <v>2.6512810940942516E-2</v>
      </c>
      <c r="G43" s="19">
        <v>2.6650405015164989E-2</v>
      </c>
      <c r="H43" s="19">
        <v>2.678668237948896E-2</v>
      </c>
      <c r="I43" s="19">
        <v>2.6921667995805601E-2</v>
      </c>
      <c r="J43" s="19">
        <v>2.7055386122833251E-2</v>
      </c>
      <c r="K43" s="19">
        <v>2.7187860342282964E-2</v>
      </c>
      <c r="L43" s="19">
        <v>2.7319113583818166E-2</v>
      </c>
      <c r="M43" s="19">
        <v>2.7449168148874645E-2</v>
      </c>
      <c r="N43" s="19">
        <v>2.7578045733402581E-2</v>
      </c>
      <c r="O43" s="19">
        <v>2.770576744958874E-2</v>
      </c>
      <c r="P43" s="19">
        <v>2.7832353846613211E-2</v>
      </c>
      <c r="Q43" s="19">
        <v>2.7957824930491714E-2</v>
      </c>
      <c r="R43" s="19">
        <v>2.8082200183051357E-2</v>
      </c>
      <c r="S43" s="19">
        <v>2.8205498580084989E-2</v>
      </c>
      <c r="T43" s="19">
        <v>2.8327738608726248E-2</v>
      </c>
      <c r="U43" s="19">
        <v>2.8448938284085311E-2</v>
      </c>
      <c r="V43" s="19">
        <v>2.8569115165182637E-2</v>
      </c>
      <c r="W43" s="19">
        <v>2.868828637021606E-2</v>
      </c>
      <c r="X43" s="19">
        <v>2.868828637021606E-2</v>
      </c>
      <c r="Y43" s="19">
        <v>2.868828637021606E-2</v>
      </c>
      <c r="Z43" s="19">
        <v>2.868828637021606E-2</v>
      </c>
      <c r="AA43" s="19">
        <v>2.868828637021606E-2</v>
      </c>
      <c r="AB43" s="19">
        <v>2.868828637021606E-2</v>
      </c>
      <c r="AC43" s="19">
        <v>2.868828637021606E-2</v>
      </c>
      <c r="AD43" s="19">
        <v>2.868828637021606E-2</v>
      </c>
      <c r="AE43" s="19">
        <v>2.868828637021606E-2</v>
      </c>
      <c r="AF43" s="19">
        <v>2.868828637021606E-2</v>
      </c>
      <c r="AG43" s="19">
        <v>2.868828637021606E-2</v>
      </c>
      <c r="AH43" s="19">
        <v>2.868828637021606E-2</v>
      </c>
      <c r="AI43" s="19">
        <v>2.868828637021606E-2</v>
      </c>
      <c r="AJ43" s="19">
        <v>2.868828637021606E-2</v>
      </c>
      <c r="AK43" s="19">
        <v>2.868828637021606E-2</v>
      </c>
      <c r="AL43" s="19">
        <v>2.868828637021606E-2</v>
      </c>
      <c r="AM43" s="19">
        <v>2.868828637021606E-2</v>
      </c>
      <c r="AN43" s="19">
        <v>2.868828637021606E-2</v>
      </c>
      <c r="AO43" s="19">
        <v>2.868828637021606E-2</v>
      </c>
      <c r="AP43" s="19">
        <v>2.868828637021606E-2</v>
      </c>
      <c r="AQ43" s="19">
        <v>2.868828637021606E-2</v>
      </c>
      <c r="AR43" s="19">
        <v>2.868828637021606E-2</v>
      </c>
      <c r="AS43" s="19">
        <v>2.868828637021606E-2</v>
      </c>
      <c r="AT43" s="19">
        <v>2.868828637021606E-2</v>
      </c>
      <c r="AU43" s="19">
        <v>2.868828637021606E-2</v>
      </c>
      <c r="AV43" s="19">
        <v>2.868828637021606E-2</v>
      </c>
      <c r="AW43" s="19">
        <v>2.868828637021606E-2</v>
      </c>
      <c r="AX43" s="19">
        <v>2.868828637021606E-2</v>
      </c>
      <c r="AY43" s="19">
        <v>2.868828637021606E-2</v>
      </c>
      <c r="AZ43" s="19">
        <v>2.868828637021606E-2</v>
      </c>
      <c r="BA43" s="19">
        <v>2.868828637021606E-2</v>
      </c>
    </row>
    <row r="44" spans="1:54" s="44" customFormat="1"/>
    <row r="45" spans="1:54" s="44" customFormat="1"/>
    <row r="46" spans="1:54" s="44" customFormat="1"/>
    <row r="47" spans="1:54" s="44" customFormat="1"/>
    <row r="48" spans="1:54" s="44" customFormat="1"/>
    <row r="49" spans="1:56" s="44" customFormat="1"/>
    <row r="50" spans="1:56" s="44" customFormat="1"/>
    <row r="51" spans="1:56" s="44" customFormat="1"/>
    <row r="52" spans="1:56" s="44" customFormat="1"/>
    <row r="53" spans="1:56" s="44" customFormat="1"/>
    <row r="54" spans="1:56" s="44" customFormat="1"/>
    <row r="55" spans="1:56" s="44" customFormat="1"/>
    <row r="56" spans="1:56" s="44" customFormat="1"/>
    <row r="57" spans="1:56" s="44" customFormat="1"/>
    <row r="58" spans="1:56" s="44" customFormat="1"/>
    <row r="59" spans="1:56" s="44" customFormat="1"/>
    <row r="60" spans="1:56" s="44" customFormat="1"/>
    <row r="61" spans="1:56" s="44" customFormat="1">
      <c r="A61" s="88"/>
      <c r="B61" s="2" t="s">
        <v>109</v>
      </c>
    </row>
    <row r="62" spans="1:56" s="28" customFormat="1" ht="14.4">
      <c r="A62" s="100" t="s">
        <v>132</v>
      </c>
      <c r="C62" s="77" t="s">
        <v>92</v>
      </c>
      <c r="D62" s="33" t="s">
        <v>0</v>
      </c>
      <c r="E62" s="28">
        <v>0</v>
      </c>
      <c r="F62" s="80">
        <v>2</v>
      </c>
      <c r="G62" s="80">
        <v>4</v>
      </c>
      <c r="H62" s="28">
        <v>6</v>
      </c>
      <c r="I62" s="47">
        <v>8</v>
      </c>
      <c r="J62" s="28">
        <v>10</v>
      </c>
      <c r="K62" s="28">
        <v>12</v>
      </c>
      <c r="L62" s="28">
        <v>14</v>
      </c>
      <c r="M62" s="28">
        <v>16</v>
      </c>
      <c r="N62" s="28">
        <v>18</v>
      </c>
      <c r="O62" s="28">
        <v>20</v>
      </c>
      <c r="P62" s="28">
        <v>22</v>
      </c>
      <c r="Q62" s="28">
        <v>24</v>
      </c>
      <c r="R62" s="28">
        <v>26</v>
      </c>
      <c r="S62" s="28">
        <v>28</v>
      </c>
      <c r="T62" s="28">
        <v>30</v>
      </c>
      <c r="U62" s="28">
        <v>32</v>
      </c>
      <c r="V62" s="28">
        <v>34</v>
      </c>
      <c r="W62" s="28">
        <v>36</v>
      </c>
      <c r="X62" s="28">
        <v>38</v>
      </c>
      <c r="Y62" s="28">
        <v>40</v>
      </c>
      <c r="Z62" s="28">
        <v>42</v>
      </c>
      <c r="AA62" s="28">
        <v>44</v>
      </c>
      <c r="AB62" s="28">
        <v>46</v>
      </c>
      <c r="AC62" s="28">
        <v>48</v>
      </c>
      <c r="AD62" s="28">
        <v>50</v>
      </c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BC62" s="29"/>
    </row>
    <row r="63" spans="1:56" s="28" customFormat="1" ht="14.4">
      <c r="C63" s="22" t="s">
        <v>137</v>
      </c>
      <c r="D63" s="33" t="s">
        <v>16</v>
      </c>
      <c r="E63" s="28">
        <v>0</v>
      </c>
      <c r="F63" s="35">
        <f>50*(1-EXP(-0.065*F62))/100</f>
        <v>6.0952284539719341E-2</v>
      </c>
      <c r="G63" s="35">
        <f>50*(1-EXP(-0.065*G62))/100</f>
        <v>0.11447420709821687</v>
      </c>
      <c r="H63" s="35">
        <f>50*(1-EXP(-0.065*H62))/100</f>
        <v>0.16147156275091767</v>
      </c>
      <c r="I63" s="35">
        <f>50*(1-EXP(-0.065*I62))/100</f>
        <v>0.20273972601490281</v>
      </c>
      <c r="J63" s="35">
        <f t="shared" ref="J63:AD63" si="5">50*(1-EXP(-0.065*J62))/100</f>
        <v>0.23897711161949198</v>
      </c>
      <c r="K63" s="35">
        <f t="shared" si="5"/>
        <v>0.27079699434738824</v>
      </c>
      <c r="L63" s="35">
        <f t="shared" si="5"/>
        <v>0.29873788798318202</v>
      </c>
      <c r="M63" s="35">
        <f t="shared" si="5"/>
        <v>0.32327265902060992</v>
      </c>
      <c r="N63" s="35">
        <f t="shared" si="5"/>
        <v>0.34481652936725754</v>
      </c>
      <c r="O63" s="35">
        <f t="shared" si="5"/>
        <v>0.36373410348299373</v>
      </c>
      <c r="P63" s="35">
        <f t="shared" si="5"/>
        <v>0.38034553887812272</v>
      </c>
      <c r="Q63" s="35">
        <f t="shared" si="5"/>
        <v>0.39493196439961764</v>
      </c>
      <c r="R63" s="35">
        <f t="shared" si="5"/>
        <v>0.40774023800350534</v>
      </c>
      <c r="S63" s="35">
        <f t="shared" si="5"/>
        <v>0.41898712453305964</v>
      </c>
      <c r="T63" s="35">
        <f t="shared" si="5"/>
        <v>0.42886296420674325</v>
      </c>
      <c r="U63" s="35">
        <f t="shared" si="5"/>
        <v>0.43753489390070877</v>
      </c>
      <c r="V63" s="35">
        <f t="shared" si="5"/>
        <v>0.44514967574224429</v>
      </c>
      <c r="W63" s="35">
        <f t="shared" si="5"/>
        <v>0.45183618088475347</v>
      </c>
      <c r="X63" s="35">
        <f t="shared" si="5"/>
        <v>0.45770757049921768</v>
      </c>
      <c r="Y63" s="35">
        <f t="shared" si="5"/>
        <v>0.46286321089283305</v>
      </c>
      <c r="Z63" s="35">
        <f t="shared" si="5"/>
        <v>0.46739035516593624</v>
      </c>
      <c r="AA63" s="35">
        <f t="shared" si="5"/>
        <v>0.47136561986726633</v>
      </c>
      <c r="AB63" s="35">
        <f t="shared" si="5"/>
        <v>0.47485628163820409</v>
      </c>
      <c r="AC63" s="35">
        <f t="shared" si="5"/>
        <v>0.47792141579015357</v>
      </c>
      <c r="AD63" s="35">
        <f t="shared" si="5"/>
        <v>0.48061289608413899</v>
      </c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79"/>
      <c r="AQ63" s="79"/>
      <c r="AR63" s="79"/>
      <c r="AS63" s="79"/>
      <c r="AT63" s="79"/>
      <c r="AU63" s="79"/>
      <c r="AV63" s="79"/>
      <c r="AW63" s="79"/>
      <c r="AX63" s="79"/>
      <c r="AY63" s="34"/>
      <c r="AZ63" s="34"/>
      <c r="BA63" s="34"/>
      <c r="BB63" s="34"/>
      <c r="BC63" s="36"/>
      <c r="BD63" s="34"/>
    </row>
    <row r="64" spans="1:56" s="28" customFormat="1" ht="14.4">
      <c r="C64" s="77" t="s">
        <v>93</v>
      </c>
      <c r="D64" s="33" t="s">
        <v>17</v>
      </c>
      <c r="E64" s="28">
        <v>0</v>
      </c>
      <c r="F64" s="79">
        <f>10*LOG(F62)/100</f>
        <v>3.0102999566398121E-2</v>
      </c>
      <c r="G64" s="79">
        <f t="shared" ref="G64:V64" si="6">10*LOG(G62)/100</f>
        <v>6.0205999132796242E-2</v>
      </c>
      <c r="H64" s="34">
        <f t="shared" si="6"/>
        <v>7.7815125038364366E-2</v>
      </c>
      <c r="I64" s="34">
        <f t="shared" si="6"/>
        <v>9.0308998699194357E-2</v>
      </c>
      <c r="J64" s="34">
        <f t="shared" si="6"/>
        <v>0.1</v>
      </c>
      <c r="K64" s="34">
        <f t="shared" si="6"/>
        <v>0.10791812460476249</v>
      </c>
      <c r="L64" s="34">
        <f t="shared" si="6"/>
        <v>0.1146128035678238</v>
      </c>
      <c r="M64" s="34">
        <f t="shared" si="6"/>
        <v>0.12041199826559248</v>
      </c>
      <c r="N64" s="34">
        <f t="shared" si="6"/>
        <v>0.12552725051033062</v>
      </c>
      <c r="O64" s="34">
        <f t="shared" si="6"/>
        <v>0.13010299956639812</v>
      </c>
      <c r="P64" s="34">
        <f t="shared" si="6"/>
        <v>0.13424226808222062</v>
      </c>
      <c r="Q64" s="34">
        <f t="shared" si="6"/>
        <v>0.13802112417116061</v>
      </c>
      <c r="R64" s="34">
        <f t="shared" si="6"/>
        <v>0.14149733479708179</v>
      </c>
      <c r="S64" s="34">
        <f t="shared" si="6"/>
        <v>0.14471580313422192</v>
      </c>
      <c r="T64" s="34">
        <f t="shared" si="6"/>
        <v>0.14771212547196624</v>
      </c>
      <c r="U64" s="34">
        <f t="shared" si="6"/>
        <v>0.1505149978319906</v>
      </c>
      <c r="V64" s="79">
        <f t="shared" si="6"/>
        <v>0.15314789170422552</v>
      </c>
      <c r="W64" s="79">
        <f t="shared" ref="W64:AD64" si="7">10*LOG(W62)/100</f>
        <v>0.15563025007672873</v>
      </c>
      <c r="X64" s="79">
        <f t="shared" si="7"/>
        <v>0.157978359661681</v>
      </c>
      <c r="Y64" s="79">
        <f t="shared" si="7"/>
        <v>0.16020599913279621</v>
      </c>
      <c r="Z64" s="79">
        <f t="shared" si="7"/>
        <v>0.16232492903979004</v>
      </c>
      <c r="AA64" s="79">
        <f t="shared" si="7"/>
        <v>0.16434526764861876</v>
      </c>
      <c r="AB64" s="79">
        <f t="shared" si="7"/>
        <v>0.16627578316815739</v>
      </c>
      <c r="AC64" s="79">
        <f t="shared" si="7"/>
        <v>0.16812412373755872</v>
      </c>
      <c r="AD64" s="79">
        <f t="shared" si="7"/>
        <v>0.16989700043360187</v>
      </c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34"/>
      <c r="AZ64" s="34"/>
      <c r="BA64" s="34"/>
      <c r="BB64" s="34"/>
      <c r="BC64" s="36"/>
      <c r="BD64" s="34"/>
    </row>
    <row r="65" spans="1:56" s="28" customFormat="1" ht="14.4">
      <c r="B65" s="80"/>
      <c r="C65" s="81" t="s">
        <v>94</v>
      </c>
      <c r="D65" s="82" t="s">
        <v>95</v>
      </c>
      <c r="E65" s="28">
        <v>0</v>
      </c>
      <c r="F65" s="79">
        <f>10*LOG(10*F62)/100</f>
        <v>0.13010299956639812</v>
      </c>
      <c r="G65" s="79">
        <f>10*LOG(10*G62)/100</f>
        <v>0.16020599913279621</v>
      </c>
      <c r="H65" s="34">
        <f t="shared" ref="H65:V65" si="8">10*LOG(10*H62)/100</f>
        <v>0.17781512503836436</v>
      </c>
      <c r="I65" s="34">
        <f t="shared" si="8"/>
        <v>0.19030899869919435</v>
      </c>
      <c r="J65" s="34">
        <f t="shared" si="8"/>
        <v>0.2</v>
      </c>
      <c r="K65" s="34">
        <f t="shared" si="8"/>
        <v>0.20791812460476247</v>
      </c>
      <c r="L65" s="34">
        <f t="shared" si="8"/>
        <v>0.21461280356782381</v>
      </c>
      <c r="M65" s="34">
        <f t="shared" si="8"/>
        <v>0.22041199826559246</v>
      </c>
      <c r="N65" s="34">
        <f t="shared" si="8"/>
        <v>0.22552725051033062</v>
      </c>
      <c r="O65" s="34">
        <f t="shared" si="8"/>
        <v>0.23010299956639813</v>
      </c>
      <c r="P65" s="34">
        <f t="shared" si="8"/>
        <v>0.23424226808222062</v>
      </c>
      <c r="Q65" s="34">
        <f t="shared" si="8"/>
        <v>0.23802112417116061</v>
      </c>
      <c r="R65" s="34">
        <f t="shared" si="8"/>
        <v>0.2414973347970818</v>
      </c>
      <c r="S65" s="34">
        <f t="shared" si="8"/>
        <v>0.24471580313422195</v>
      </c>
      <c r="T65" s="34">
        <f t="shared" si="8"/>
        <v>0.24771212547196625</v>
      </c>
      <c r="U65" s="34">
        <f t="shared" si="8"/>
        <v>0.2505149978319906</v>
      </c>
      <c r="V65" s="79">
        <f t="shared" si="8"/>
        <v>0.25314789170422553</v>
      </c>
      <c r="W65" s="79">
        <f t="shared" ref="W65:AD65" si="9">10*LOG(10*W62)/100</f>
        <v>0.25563025007672874</v>
      </c>
      <c r="X65" s="79">
        <f t="shared" si="9"/>
        <v>0.25797835966168103</v>
      </c>
      <c r="Y65" s="79">
        <f t="shared" si="9"/>
        <v>0.26020599913279624</v>
      </c>
      <c r="Z65" s="79">
        <f t="shared" si="9"/>
        <v>0.26232492903979004</v>
      </c>
      <c r="AA65" s="79">
        <f t="shared" si="9"/>
        <v>0.26434526764861876</v>
      </c>
      <c r="AB65" s="79">
        <f t="shared" si="9"/>
        <v>0.26627578316815742</v>
      </c>
      <c r="AC65" s="79">
        <f t="shared" si="9"/>
        <v>0.26812412373755873</v>
      </c>
      <c r="AD65" s="79">
        <f t="shared" si="9"/>
        <v>0.26989700043360187</v>
      </c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79"/>
      <c r="AQ65" s="79"/>
      <c r="AR65" s="79"/>
      <c r="AS65" s="79"/>
      <c r="AT65" s="79"/>
      <c r="AU65" s="79"/>
      <c r="AV65" s="79"/>
      <c r="AW65" s="79"/>
      <c r="AX65" s="79"/>
      <c r="AY65" s="34"/>
      <c r="AZ65" s="34"/>
      <c r="BA65" s="34"/>
      <c r="BB65" s="34"/>
      <c r="BC65" s="36"/>
      <c r="BD65" s="34"/>
    </row>
    <row r="66" spans="1:56" s="17" customFormat="1" ht="14.4">
      <c r="A66" s="79" t="e">
        <f>10*LOG(15*A62)/100</f>
        <v>#VALUE!</v>
      </c>
      <c r="C66" s="98" t="s">
        <v>101</v>
      </c>
      <c r="D66" s="82" t="s">
        <v>96</v>
      </c>
      <c r="E66" s="80">
        <v>0</v>
      </c>
      <c r="F66" s="79">
        <f>10*LOG(15*F62)/100</f>
        <v>0.14771212547196624</v>
      </c>
      <c r="G66" s="79">
        <f>10*LOG(15*G62)/100</f>
        <v>0.17781512503836436</v>
      </c>
      <c r="H66" s="79">
        <f>10*LOG(15*H62)/100</f>
        <v>0.19542425094393248</v>
      </c>
      <c r="I66" s="79">
        <f t="shared" ref="I66:V66" si="10">10*LOG(15*I62)/100</f>
        <v>0.20791812460476247</v>
      </c>
      <c r="J66" s="79">
        <f t="shared" si="10"/>
        <v>0.21760912590556813</v>
      </c>
      <c r="K66" s="79">
        <f t="shared" si="10"/>
        <v>0.22552725051033062</v>
      </c>
      <c r="L66" s="79">
        <f t="shared" si="10"/>
        <v>0.23222192947339193</v>
      </c>
      <c r="M66" s="79">
        <f t="shared" si="10"/>
        <v>0.23802112417116061</v>
      </c>
      <c r="N66" s="79">
        <f t="shared" si="10"/>
        <v>0.24313637641589875</v>
      </c>
      <c r="O66" s="79">
        <f t="shared" si="10"/>
        <v>0.24771212547196625</v>
      </c>
      <c r="P66" s="79">
        <f t="shared" si="10"/>
        <v>0.25185139398778877</v>
      </c>
      <c r="Q66" s="79">
        <f t="shared" si="10"/>
        <v>0.25563025007672874</v>
      </c>
      <c r="R66" s="79">
        <f t="shared" si="10"/>
        <v>0.25910646070264992</v>
      </c>
      <c r="S66" s="79">
        <f t="shared" si="10"/>
        <v>0.26232492903979004</v>
      </c>
      <c r="T66" s="79">
        <f t="shared" si="10"/>
        <v>0.26532125137753437</v>
      </c>
      <c r="U66" s="79">
        <f t="shared" si="10"/>
        <v>0.26812412373755873</v>
      </c>
      <c r="V66" s="79">
        <f t="shared" si="10"/>
        <v>0.27075701760979365</v>
      </c>
      <c r="W66" s="79">
        <f t="shared" ref="W66:AD66" si="11">10*LOG(15*W62)/100</f>
        <v>0.27323937598229686</v>
      </c>
      <c r="X66" s="79">
        <f t="shared" si="11"/>
        <v>0.27558748556724916</v>
      </c>
      <c r="Y66" s="79">
        <f t="shared" si="11"/>
        <v>0.27781512503836436</v>
      </c>
      <c r="Z66" s="79">
        <f t="shared" si="11"/>
        <v>0.27993405494535817</v>
      </c>
      <c r="AA66" s="79">
        <f t="shared" si="11"/>
        <v>0.28195439355418689</v>
      </c>
      <c r="AB66" s="79">
        <f t="shared" si="11"/>
        <v>0.28388490907372554</v>
      </c>
      <c r="AC66" s="79">
        <f t="shared" si="11"/>
        <v>0.28573324964312685</v>
      </c>
      <c r="AD66" s="79">
        <f t="shared" si="11"/>
        <v>0.28750612633917</v>
      </c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79"/>
      <c r="AQ66" s="79"/>
      <c r="AR66" s="79"/>
      <c r="AS66" s="79"/>
      <c r="AT66" s="79"/>
      <c r="AU66" s="79"/>
      <c r="AV66" s="79"/>
      <c r="AW66" s="79"/>
      <c r="AX66" s="79"/>
      <c r="AY66" s="79"/>
      <c r="AZ66" s="79"/>
      <c r="BA66" s="79"/>
      <c r="BB66" s="79"/>
    </row>
    <row r="67" spans="1:56" s="44" customFormat="1" ht="14.4">
      <c r="A67" s="79" t="e">
        <f>10*LOG(20*A62)/100</f>
        <v>#VALUE!</v>
      </c>
      <c r="C67" s="81" t="s">
        <v>97</v>
      </c>
      <c r="D67" s="82" t="s">
        <v>100</v>
      </c>
      <c r="E67" s="28">
        <v>0</v>
      </c>
      <c r="F67" s="79">
        <f t="shared" ref="F67:V67" si="12">10*LOG(20*F62)/100</f>
        <v>0.16020599913279621</v>
      </c>
      <c r="G67" s="79">
        <f t="shared" si="12"/>
        <v>0.19030899869919435</v>
      </c>
      <c r="H67" s="79">
        <f t="shared" si="12"/>
        <v>0.20791812460476247</v>
      </c>
      <c r="I67" s="79">
        <f t="shared" si="12"/>
        <v>0.22041199826559246</v>
      </c>
      <c r="J67" s="79">
        <f t="shared" si="12"/>
        <v>0.23010299956639813</v>
      </c>
      <c r="K67" s="79">
        <f t="shared" si="12"/>
        <v>0.23802112417116061</v>
      </c>
      <c r="L67" s="79">
        <f t="shared" si="12"/>
        <v>0.24471580313422195</v>
      </c>
      <c r="M67" s="79">
        <f t="shared" si="12"/>
        <v>0.2505149978319906</v>
      </c>
      <c r="N67" s="79">
        <f t="shared" si="12"/>
        <v>0.25563025007672874</v>
      </c>
      <c r="O67" s="79">
        <f t="shared" si="12"/>
        <v>0.26020599913279624</v>
      </c>
      <c r="P67" s="79">
        <f t="shared" si="12"/>
        <v>0.26434526764861876</v>
      </c>
      <c r="Q67" s="79">
        <f t="shared" si="12"/>
        <v>0.26812412373755873</v>
      </c>
      <c r="R67" s="79">
        <f t="shared" si="12"/>
        <v>0.27160033436347991</v>
      </c>
      <c r="S67" s="79">
        <f t="shared" si="12"/>
        <v>0.27481880270062004</v>
      </c>
      <c r="T67" s="79">
        <f t="shared" si="12"/>
        <v>0.27781512503836436</v>
      </c>
      <c r="U67" s="79">
        <f t="shared" si="12"/>
        <v>0.28061799739838872</v>
      </c>
      <c r="V67" s="79">
        <f t="shared" si="12"/>
        <v>0.28325089127062364</v>
      </c>
      <c r="W67" s="79">
        <f t="shared" ref="W67:AD67" si="13">10*LOG(20*W62)/100</f>
        <v>0.28573324964312685</v>
      </c>
      <c r="X67" s="79">
        <f t="shared" si="13"/>
        <v>0.28808135922807915</v>
      </c>
      <c r="Y67" s="79">
        <f t="shared" si="13"/>
        <v>0.29030899869919435</v>
      </c>
      <c r="Z67" s="79">
        <f t="shared" si="13"/>
        <v>0.29242792860618816</v>
      </c>
      <c r="AA67" s="79">
        <f t="shared" si="13"/>
        <v>0.29444826721501688</v>
      </c>
      <c r="AB67" s="79">
        <f t="shared" si="13"/>
        <v>0.29637878273455553</v>
      </c>
      <c r="AC67" s="79">
        <f t="shared" si="13"/>
        <v>0.29822712330395684</v>
      </c>
      <c r="AD67" s="79">
        <f t="shared" si="13"/>
        <v>0.3</v>
      </c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79"/>
      <c r="AQ67" s="79"/>
      <c r="AR67" s="79"/>
      <c r="AS67" s="79"/>
      <c r="AT67" s="79"/>
      <c r="AU67" s="79"/>
      <c r="AV67" s="79"/>
      <c r="AW67" s="79"/>
      <c r="AX67" s="79"/>
      <c r="AY67" s="79"/>
      <c r="AZ67" s="79"/>
      <c r="BA67" s="79"/>
      <c r="BB67" s="79"/>
    </row>
    <row r="68" spans="1:56" s="85" customFormat="1" ht="14.4">
      <c r="A68" s="89" t="e">
        <f>19.5*LOG(1.5*A62)/100</f>
        <v>#VALUE!</v>
      </c>
      <c r="C68" s="99" t="s">
        <v>126</v>
      </c>
      <c r="D68" s="87" t="s">
        <v>108</v>
      </c>
      <c r="E68" s="86">
        <v>0</v>
      </c>
      <c r="F68" s="86">
        <f t="shared" ref="F68:AB68" si="14">19.5*LOG(1.5*F62)/100</f>
        <v>9.3038644670334167E-2</v>
      </c>
      <c r="G68" s="86">
        <f t="shared" si="14"/>
        <v>0.15173949382481053</v>
      </c>
      <c r="H68" s="86">
        <f t="shared" si="14"/>
        <v>0.18607728934066833</v>
      </c>
      <c r="I68" s="86">
        <f t="shared" si="14"/>
        <v>0.21044034297928685</v>
      </c>
      <c r="J68" s="86">
        <f t="shared" si="14"/>
        <v>0.22933779551585787</v>
      </c>
      <c r="K68" s="86">
        <f t="shared" si="14"/>
        <v>0.24477813849514468</v>
      </c>
      <c r="L68" s="86">
        <f t="shared" si="14"/>
        <v>0.25783276247311426</v>
      </c>
      <c r="M68" s="86">
        <f t="shared" si="14"/>
        <v>0.2691411921337632</v>
      </c>
      <c r="N68" s="86">
        <f t="shared" si="14"/>
        <v>0.27911593401100254</v>
      </c>
      <c r="O68" s="86">
        <f t="shared" si="14"/>
        <v>0.28803864467033419</v>
      </c>
      <c r="P68" s="86">
        <f t="shared" si="14"/>
        <v>0.29611021827618805</v>
      </c>
      <c r="Q68" s="86">
        <f t="shared" si="14"/>
        <v>0.30347898764962106</v>
      </c>
      <c r="R68" s="86">
        <f t="shared" si="14"/>
        <v>0.31025759837016731</v>
      </c>
      <c r="S68" s="86">
        <f t="shared" si="14"/>
        <v>0.31653361162759064</v>
      </c>
      <c r="T68" s="86">
        <f t="shared" si="14"/>
        <v>0.32237644018619199</v>
      </c>
      <c r="U68" s="86">
        <f t="shared" si="14"/>
        <v>0.32784204128823952</v>
      </c>
      <c r="V68" s="86">
        <f t="shared" si="14"/>
        <v>0.33297618433909754</v>
      </c>
      <c r="W68" s="86">
        <f t="shared" si="14"/>
        <v>0.33781678316547892</v>
      </c>
      <c r="X68" s="86">
        <f t="shared" si="14"/>
        <v>0.34239559685613585</v>
      </c>
      <c r="Y68" s="86">
        <f t="shared" si="14"/>
        <v>0.34673949382481051</v>
      </c>
      <c r="Z68" s="86">
        <f t="shared" si="14"/>
        <v>0.35087140714344839</v>
      </c>
      <c r="AA68" s="86">
        <f t="shared" si="14"/>
        <v>0.35481106743066443</v>
      </c>
      <c r="AB68" s="86">
        <f t="shared" si="14"/>
        <v>0.35857557269376478</v>
      </c>
      <c r="AC68" s="86">
        <f>19.5*LOG(1.5*AC62)/100</f>
        <v>0.36217983680409738</v>
      </c>
      <c r="AD68" s="78">
        <f>19.5*LOG(1.5*AD62)/100</f>
        <v>0.3656369463613815</v>
      </c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86"/>
      <c r="AZ68" s="86"/>
      <c r="BA68" s="86"/>
      <c r="BB68" s="86"/>
    </row>
    <row r="69" spans="1:56" s="17" customFormat="1" ht="14.4">
      <c r="A69" s="96" t="e">
        <f>15*LOG(3*A62)/100</f>
        <v>#VALUE!</v>
      </c>
      <c r="C69" s="90" t="s">
        <v>111</v>
      </c>
      <c r="D69" s="97" t="s">
        <v>125</v>
      </c>
      <c r="E69" s="79">
        <v>0</v>
      </c>
      <c r="F69" s="79">
        <f>15*LOG(3*F62)/100</f>
        <v>0.11672268755754654</v>
      </c>
      <c r="G69" s="79">
        <f t="shared" ref="G69:U69" si="15">15*LOG(3*G62)/100</f>
        <v>0.16187718690714373</v>
      </c>
      <c r="H69" s="79">
        <f t="shared" si="15"/>
        <v>0.18829087576549589</v>
      </c>
      <c r="I69" s="79">
        <f t="shared" si="15"/>
        <v>0.20703168625674087</v>
      </c>
      <c r="J69" s="79">
        <f t="shared" si="15"/>
        <v>0.22156818820794935</v>
      </c>
      <c r="K69" s="79">
        <f t="shared" si="15"/>
        <v>0.23344537511509308</v>
      </c>
      <c r="L69" s="79">
        <f t="shared" si="15"/>
        <v>0.24348739355968507</v>
      </c>
      <c r="M69" s="79">
        <f t="shared" si="15"/>
        <v>0.2521861856063381</v>
      </c>
      <c r="N69" s="79">
        <f t="shared" si="15"/>
        <v>0.25985906397344527</v>
      </c>
      <c r="O69" s="79">
        <f t="shared" si="15"/>
        <v>0.26672268755754652</v>
      </c>
      <c r="P69" s="79">
        <f t="shared" si="15"/>
        <v>0.27293159033128034</v>
      </c>
      <c r="Q69" s="79">
        <f t="shared" si="15"/>
        <v>0.27859987446469026</v>
      </c>
      <c r="R69" s="79">
        <f t="shared" si="15"/>
        <v>0.28381419040357203</v>
      </c>
      <c r="S69" s="79">
        <f t="shared" si="15"/>
        <v>0.28864189290928222</v>
      </c>
      <c r="T69" s="79">
        <f t="shared" si="15"/>
        <v>0.29313637641589874</v>
      </c>
      <c r="U69" s="79">
        <f t="shared" si="15"/>
        <v>0.29734068495593524</v>
      </c>
      <c r="V69" s="79">
        <f>15*LOG(3*V62)/100</f>
        <v>0.30129002576428765</v>
      </c>
      <c r="W69" s="79">
        <f t="shared" ref="W69:AD69" si="16">15*LOG(3*W62)/100</f>
        <v>0.30501356332304247</v>
      </c>
      <c r="X69" s="79">
        <f t="shared" si="16"/>
        <v>0.30853572770047089</v>
      </c>
      <c r="Y69" s="79">
        <f t="shared" si="16"/>
        <v>0.31187718690714372</v>
      </c>
      <c r="Z69" s="79">
        <f t="shared" si="16"/>
        <v>0.31505558176763443</v>
      </c>
      <c r="AA69" s="79">
        <f t="shared" si="16"/>
        <v>0.31808608968087748</v>
      </c>
      <c r="AB69" s="79">
        <f t="shared" si="16"/>
        <v>0.32098186296018549</v>
      </c>
      <c r="AC69" s="79">
        <f t="shared" si="16"/>
        <v>0.32375437381428745</v>
      </c>
      <c r="AD69" s="79">
        <f t="shared" si="16"/>
        <v>0.3264136888583522</v>
      </c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79"/>
      <c r="AQ69" s="79"/>
      <c r="AR69" s="79"/>
      <c r="AS69" s="79"/>
      <c r="AT69" s="79"/>
      <c r="AU69" s="79"/>
      <c r="AV69" s="79"/>
      <c r="AW69" s="79"/>
      <c r="AX69" s="79"/>
      <c r="AY69" s="79"/>
      <c r="AZ69" s="79"/>
      <c r="BA69" s="79"/>
      <c r="BB69" s="79"/>
    </row>
    <row r="70" spans="1:56" s="44" customFormat="1" ht="14.4">
      <c r="C70" s="90" t="s">
        <v>110</v>
      </c>
      <c r="E70" s="4">
        <f>2.5*E62/100</f>
        <v>0</v>
      </c>
      <c r="F70" s="4">
        <f t="shared" ref="F70:O70" si="17">2.5*F62/100</f>
        <v>0.05</v>
      </c>
      <c r="G70" s="4">
        <f t="shared" si="17"/>
        <v>0.1</v>
      </c>
      <c r="H70" s="4">
        <f t="shared" si="17"/>
        <v>0.15</v>
      </c>
      <c r="I70" s="4">
        <f t="shared" si="17"/>
        <v>0.2</v>
      </c>
      <c r="J70" s="4">
        <f t="shared" si="17"/>
        <v>0.25</v>
      </c>
      <c r="K70" s="4">
        <f t="shared" si="17"/>
        <v>0.3</v>
      </c>
      <c r="L70" s="4">
        <f t="shared" si="17"/>
        <v>0.35</v>
      </c>
      <c r="M70" s="4">
        <f t="shared" si="17"/>
        <v>0.4</v>
      </c>
      <c r="N70" s="4">
        <f t="shared" si="17"/>
        <v>0.45</v>
      </c>
      <c r="O70" s="4">
        <f t="shared" si="17"/>
        <v>0.5</v>
      </c>
      <c r="AD70" s="7">
        <v>36.5</v>
      </c>
    </row>
    <row r="71" spans="1:56" s="44" customFormat="1"/>
    <row r="72" spans="1:56" s="44" customFormat="1"/>
    <row r="73" spans="1:56" s="44" customFormat="1"/>
    <row r="74" spans="1:56" s="44" customFormat="1"/>
    <row r="75" spans="1:56" s="10" customFormat="1">
      <c r="A75" s="10" t="s">
        <v>79</v>
      </c>
      <c r="C75" s="10">
        <v>1960</v>
      </c>
      <c r="D75" s="10">
        <v>1961</v>
      </c>
      <c r="E75" s="10">
        <v>1962</v>
      </c>
      <c r="F75" s="10">
        <v>1963</v>
      </c>
      <c r="G75" s="10">
        <v>1964</v>
      </c>
      <c r="H75" s="10">
        <v>1965</v>
      </c>
      <c r="I75" s="10">
        <v>1966</v>
      </c>
      <c r="J75" s="10">
        <v>1967</v>
      </c>
      <c r="K75" s="10">
        <v>1968</v>
      </c>
      <c r="L75" s="10">
        <v>1969</v>
      </c>
      <c r="M75" s="10">
        <v>1970</v>
      </c>
      <c r="N75" s="10">
        <v>1971</v>
      </c>
      <c r="O75" s="10">
        <v>1972</v>
      </c>
      <c r="P75" s="10">
        <v>1973</v>
      </c>
      <c r="Q75" s="10">
        <v>1974</v>
      </c>
      <c r="R75" s="10">
        <v>1975</v>
      </c>
      <c r="S75" s="10">
        <v>1976</v>
      </c>
      <c r="T75" s="10">
        <v>1977</v>
      </c>
      <c r="U75" s="10">
        <v>1978</v>
      </c>
      <c r="V75" s="10">
        <v>1979</v>
      </c>
      <c r="W75" s="10">
        <v>1980</v>
      </c>
      <c r="X75" s="10">
        <v>1981</v>
      </c>
      <c r="Y75" s="10">
        <v>1982</v>
      </c>
      <c r="Z75" s="10">
        <v>1983</v>
      </c>
      <c r="AA75" s="10">
        <v>1984</v>
      </c>
      <c r="AB75" s="10">
        <v>1985</v>
      </c>
      <c r="AC75" s="10">
        <v>1986</v>
      </c>
      <c r="AD75" s="10">
        <v>1987</v>
      </c>
      <c r="AE75" s="10">
        <v>1988</v>
      </c>
      <c r="AF75" s="10">
        <v>1989</v>
      </c>
      <c r="AG75" s="10">
        <v>1990</v>
      </c>
      <c r="AH75" s="10">
        <v>1991</v>
      </c>
      <c r="AI75" s="10">
        <v>1992</v>
      </c>
      <c r="AJ75" s="10">
        <v>1993</v>
      </c>
      <c r="AK75" s="10">
        <v>1994</v>
      </c>
      <c r="AL75" s="10">
        <v>1995</v>
      </c>
      <c r="AM75" s="10">
        <v>1996</v>
      </c>
      <c r="AN75" s="10">
        <v>1997</v>
      </c>
      <c r="AO75" s="10">
        <v>1998</v>
      </c>
      <c r="AP75" s="10">
        <v>1999</v>
      </c>
      <c r="AQ75" s="10">
        <v>2000</v>
      </c>
      <c r="AR75" s="10">
        <v>2001</v>
      </c>
      <c r="AS75" s="10">
        <v>2002</v>
      </c>
      <c r="AT75" s="10">
        <v>2003</v>
      </c>
      <c r="AU75" s="10">
        <v>2004</v>
      </c>
      <c r="AV75" s="10">
        <v>2005</v>
      </c>
      <c r="AW75" s="10">
        <v>2006</v>
      </c>
      <c r="AX75" s="10">
        <v>2007</v>
      </c>
      <c r="AY75" s="10">
        <v>2008</v>
      </c>
      <c r="AZ75" s="10">
        <v>2009</v>
      </c>
      <c r="BA75" s="10">
        <v>2010</v>
      </c>
      <c r="BB75" s="10">
        <v>2011</v>
      </c>
    </row>
    <row r="76" spans="1:56" s="44" customFormat="1">
      <c r="A76" s="44" t="str">
        <f>A109</f>
        <v>Class I freight, car-miles</v>
      </c>
      <c r="C76" s="1">
        <f>C109</f>
        <v>28170</v>
      </c>
      <c r="D76" s="42">
        <f t="shared" ref="D76:G78" si="18">C76+($H76-$C76)/5</f>
        <v>28403.200000000001</v>
      </c>
      <c r="E76" s="42">
        <f t="shared" si="18"/>
        <v>28636.400000000001</v>
      </c>
      <c r="F76" s="42">
        <f t="shared" si="18"/>
        <v>28869.600000000002</v>
      </c>
      <c r="G76" s="42">
        <f t="shared" si="18"/>
        <v>29102.800000000003</v>
      </c>
      <c r="H76" s="1">
        <f>H109</f>
        <v>29336</v>
      </c>
      <c r="I76" s="42">
        <f t="shared" ref="I76:L78" si="19">H76+($M76-$H76)/5</f>
        <v>29446.799999999999</v>
      </c>
      <c r="J76" s="42">
        <f t="shared" si="19"/>
        <v>29557.599999999999</v>
      </c>
      <c r="K76" s="42">
        <f t="shared" si="19"/>
        <v>29668.399999999998</v>
      </c>
      <c r="L76" s="42">
        <f t="shared" si="19"/>
        <v>29779.199999999997</v>
      </c>
      <c r="M76" s="1">
        <f>M109</f>
        <v>29890</v>
      </c>
      <c r="N76" s="42">
        <f t="shared" ref="N76:Q78" si="20">M76+($R76-$M76)/5</f>
        <v>29443.200000000001</v>
      </c>
      <c r="O76" s="42">
        <f t="shared" si="20"/>
        <v>28996.400000000001</v>
      </c>
      <c r="P76" s="42">
        <f t="shared" si="20"/>
        <v>28549.600000000002</v>
      </c>
      <c r="Q76" s="42">
        <f t="shared" si="20"/>
        <v>28102.800000000003</v>
      </c>
      <c r="R76" s="1">
        <f>R109</f>
        <v>27656</v>
      </c>
      <c r="S76" s="42">
        <f t="shared" ref="S76:V78" si="21">R76+($W76-$R76)/5</f>
        <v>27980.2</v>
      </c>
      <c r="T76" s="42">
        <f t="shared" si="21"/>
        <v>28304.400000000001</v>
      </c>
      <c r="U76" s="42">
        <f t="shared" si="21"/>
        <v>28628.600000000002</v>
      </c>
      <c r="V76" s="42">
        <f t="shared" si="21"/>
        <v>28952.800000000003</v>
      </c>
      <c r="W76" s="1">
        <f>W109</f>
        <v>29277</v>
      </c>
      <c r="X76" s="42">
        <f t="shared" ref="X76:AA78" si="22">W76+($AB76-$W76)/5</f>
        <v>28405.599999999999</v>
      </c>
      <c r="Y76" s="42">
        <f t="shared" si="22"/>
        <v>27534.199999999997</v>
      </c>
      <c r="Z76" s="42">
        <f t="shared" si="22"/>
        <v>26662.799999999996</v>
      </c>
      <c r="AA76" s="42">
        <f t="shared" si="22"/>
        <v>25791.399999999994</v>
      </c>
      <c r="AB76" s="1">
        <f>AB109</f>
        <v>24920</v>
      </c>
      <c r="AC76" s="42">
        <f>AB76+($AG76-$AB76)/5</f>
        <v>25167.8</v>
      </c>
      <c r="AD76" s="42">
        <f>AC76+($AG76-$AB76)/5</f>
        <v>25415.599999999999</v>
      </c>
      <c r="AE76" s="42">
        <f>AD76+($AG76-$AB76)/5</f>
        <v>25663.399999999998</v>
      </c>
      <c r="AF76" s="42">
        <f>AE76+($AG76-$AB76)/5</f>
        <v>25911.199999999997</v>
      </c>
      <c r="AG76" s="1">
        <f t="shared" ref="AG76:BB76" si="23">AG109</f>
        <v>26159</v>
      </c>
      <c r="AH76" s="1">
        <f t="shared" si="23"/>
        <v>25628</v>
      </c>
      <c r="AI76" s="1">
        <f t="shared" si="23"/>
        <v>26128</v>
      </c>
      <c r="AJ76" s="1">
        <f t="shared" si="23"/>
        <v>26883</v>
      </c>
      <c r="AK76" s="1">
        <f t="shared" si="23"/>
        <v>28485</v>
      </c>
      <c r="AL76" s="1">
        <f t="shared" si="23"/>
        <v>30383</v>
      </c>
      <c r="AM76" s="1">
        <f t="shared" si="23"/>
        <v>31715</v>
      </c>
      <c r="AN76" s="1">
        <f t="shared" si="23"/>
        <v>31660</v>
      </c>
      <c r="AO76" s="1">
        <f t="shared" si="23"/>
        <v>32657</v>
      </c>
      <c r="AP76" s="1">
        <f t="shared" si="23"/>
        <v>33851</v>
      </c>
      <c r="AQ76" s="1">
        <f t="shared" si="23"/>
        <v>34590</v>
      </c>
      <c r="AR76" s="1">
        <f t="shared" si="23"/>
        <v>34243</v>
      </c>
      <c r="AS76" s="1">
        <f t="shared" si="23"/>
        <v>34680</v>
      </c>
      <c r="AT76" s="1">
        <f t="shared" si="23"/>
        <v>35555</v>
      </c>
      <c r="AU76" s="1">
        <f t="shared" si="23"/>
        <v>37071</v>
      </c>
      <c r="AV76" s="1">
        <f t="shared" si="23"/>
        <v>37712</v>
      </c>
      <c r="AW76" s="1">
        <f t="shared" si="23"/>
        <v>38955</v>
      </c>
      <c r="AX76" s="1">
        <f t="shared" si="23"/>
        <v>38186</v>
      </c>
      <c r="AY76" s="1">
        <f t="shared" si="23"/>
        <v>37226</v>
      </c>
      <c r="AZ76" s="1">
        <f t="shared" si="23"/>
        <v>32115</v>
      </c>
      <c r="BA76" s="1">
        <f t="shared" si="23"/>
        <v>35541</v>
      </c>
      <c r="BB76" s="1">
        <f t="shared" si="23"/>
        <v>36649</v>
      </c>
    </row>
    <row r="77" spans="1:56" s="44" customFormat="1">
      <c r="A77" s="44" t="str">
        <f>A111</f>
        <v>Intercity/Amtrakh, car-miles</v>
      </c>
      <c r="C77" s="1">
        <f>C111</f>
        <v>2208</v>
      </c>
      <c r="D77" s="42">
        <f t="shared" si="18"/>
        <v>2121.4</v>
      </c>
      <c r="E77" s="42">
        <f t="shared" si="18"/>
        <v>2034.8000000000002</v>
      </c>
      <c r="F77" s="42">
        <f t="shared" si="18"/>
        <v>1948.2000000000003</v>
      </c>
      <c r="G77" s="42">
        <f t="shared" si="18"/>
        <v>1861.6000000000004</v>
      </c>
      <c r="H77" s="1">
        <f>H111</f>
        <v>1775</v>
      </c>
      <c r="I77" s="42">
        <f t="shared" si="19"/>
        <v>1558</v>
      </c>
      <c r="J77" s="42">
        <f t="shared" si="19"/>
        <v>1341</v>
      </c>
      <c r="K77" s="42">
        <f t="shared" si="19"/>
        <v>1124</v>
      </c>
      <c r="L77" s="42">
        <f t="shared" si="19"/>
        <v>907</v>
      </c>
      <c r="M77" s="1">
        <f>M111</f>
        <v>690</v>
      </c>
      <c r="N77" s="42">
        <f t="shared" si="20"/>
        <v>602.6</v>
      </c>
      <c r="O77" s="42">
        <f t="shared" si="20"/>
        <v>515.20000000000005</v>
      </c>
      <c r="P77" s="42">
        <f t="shared" si="20"/>
        <v>427.80000000000007</v>
      </c>
      <c r="Q77" s="42">
        <f t="shared" si="20"/>
        <v>340.40000000000009</v>
      </c>
      <c r="R77" s="1">
        <f>R111</f>
        <v>253</v>
      </c>
      <c r="S77" s="42">
        <f t="shared" si="21"/>
        <v>249.4</v>
      </c>
      <c r="T77" s="42">
        <f t="shared" si="21"/>
        <v>245.8</v>
      </c>
      <c r="U77" s="42">
        <f t="shared" si="21"/>
        <v>242.20000000000002</v>
      </c>
      <c r="V77" s="42">
        <f t="shared" si="21"/>
        <v>238.60000000000002</v>
      </c>
      <c r="W77" s="1">
        <f>W111</f>
        <v>235</v>
      </c>
      <c r="X77" s="42">
        <f t="shared" si="22"/>
        <v>238.2</v>
      </c>
      <c r="Y77" s="42">
        <f t="shared" si="22"/>
        <v>241.39999999999998</v>
      </c>
      <c r="Z77" s="42">
        <f t="shared" si="22"/>
        <v>244.59999999999997</v>
      </c>
      <c r="AA77" s="42">
        <f t="shared" si="22"/>
        <v>247.79999999999995</v>
      </c>
      <c r="AB77" s="1">
        <f>AB111</f>
        <v>251</v>
      </c>
      <c r="AC77" s="42">
        <f t="shared" ref="AC77:AF78" si="24">AB77+($AG77-$AB77)/5</f>
        <v>261</v>
      </c>
      <c r="AD77" s="42">
        <f t="shared" si="24"/>
        <v>271</v>
      </c>
      <c r="AE77" s="42">
        <f t="shared" si="24"/>
        <v>281</v>
      </c>
      <c r="AF77" s="42">
        <f t="shared" si="24"/>
        <v>291</v>
      </c>
      <c r="AG77" s="1">
        <f t="shared" ref="AG77:BB77" si="25">AG111</f>
        <v>301</v>
      </c>
      <c r="AH77" s="1">
        <f t="shared" si="25"/>
        <v>313</v>
      </c>
      <c r="AI77" s="1">
        <f t="shared" si="25"/>
        <v>307</v>
      </c>
      <c r="AJ77" s="1">
        <f t="shared" si="25"/>
        <v>303</v>
      </c>
      <c r="AK77" s="1">
        <f t="shared" si="25"/>
        <v>304</v>
      </c>
      <c r="AL77" s="1">
        <f t="shared" si="25"/>
        <v>292</v>
      </c>
      <c r="AM77" s="1">
        <f t="shared" si="25"/>
        <v>276</v>
      </c>
      <c r="AN77" s="1">
        <f t="shared" si="25"/>
        <v>288</v>
      </c>
      <c r="AO77" s="1">
        <f t="shared" si="25"/>
        <v>312</v>
      </c>
      <c r="AP77" s="1">
        <f t="shared" si="25"/>
        <v>342</v>
      </c>
      <c r="AQ77" s="1">
        <f t="shared" si="25"/>
        <v>368</v>
      </c>
      <c r="AR77" s="1">
        <f t="shared" si="25"/>
        <v>378</v>
      </c>
      <c r="AS77" s="1">
        <f t="shared" si="25"/>
        <v>379</v>
      </c>
      <c r="AT77" s="1">
        <f t="shared" si="25"/>
        <v>332</v>
      </c>
      <c r="AU77" s="1">
        <f t="shared" si="25"/>
        <v>308</v>
      </c>
      <c r="AV77" s="1">
        <f t="shared" si="25"/>
        <v>265</v>
      </c>
      <c r="AW77" s="1">
        <f t="shared" si="25"/>
        <v>264</v>
      </c>
      <c r="AX77" s="1">
        <f t="shared" si="25"/>
        <v>267</v>
      </c>
      <c r="AY77" s="1">
        <f t="shared" si="25"/>
        <v>272</v>
      </c>
      <c r="AZ77" s="1">
        <f t="shared" si="25"/>
        <v>283</v>
      </c>
      <c r="BA77" s="1">
        <f t="shared" si="25"/>
        <v>295</v>
      </c>
      <c r="BB77" s="1">
        <f t="shared" si="25"/>
        <v>296</v>
      </c>
    </row>
    <row r="78" spans="1:56" s="10" customFormat="1">
      <c r="A78" s="10" t="s">
        <v>80</v>
      </c>
      <c r="C78" s="13">
        <f>C76+C77</f>
        <v>30378</v>
      </c>
      <c r="D78" s="41">
        <f t="shared" si="18"/>
        <v>30524.6</v>
      </c>
      <c r="E78" s="41">
        <f t="shared" si="18"/>
        <v>30671.199999999997</v>
      </c>
      <c r="F78" s="41">
        <f t="shared" si="18"/>
        <v>30817.799999999996</v>
      </c>
      <c r="G78" s="41">
        <f t="shared" si="18"/>
        <v>30964.399999999994</v>
      </c>
      <c r="H78" s="13">
        <f>H76+H77</f>
        <v>31111</v>
      </c>
      <c r="I78" s="41">
        <f t="shared" si="19"/>
        <v>31004.799999999999</v>
      </c>
      <c r="J78" s="41">
        <f t="shared" si="19"/>
        <v>30898.6</v>
      </c>
      <c r="K78" s="41">
        <f t="shared" si="19"/>
        <v>30792.399999999998</v>
      </c>
      <c r="L78" s="41">
        <f t="shared" si="19"/>
        <v>30686.199999999997</v>
      </c>
      <c r="M78" s="13">
        <f>M76+M77</f>
        <v>30580</v>
      </c>
      <c r="N78" s="41">
        <f t="shared" si="20"/>
        <v>30045.8</v>
      </c>
      <c r="O78" s="41">
        <f t="shared" si="20"/>
        <v>29511.599999999999</v>
      </c>
      <c r="P78" s="41">
        <f t="shared" si="20"/>
        <v>28977.399999999998</v>
      </c>
      <c r="Q78" s="41">
        <f t="shared" si="20"/>
        <v>28443.199999999997</v>
      </c>
      <c r="R78" s="13">
        <f>R76+R77</f>
        <v>27909</v>
      </c>
      <c r="S78" s="41">
        <f t="shared" si="21"/>
        <v>28229.599999999999</v>
      </c>
      <c r="T78" s="41">
        <f t="shared" si="21"/>
        <v>28550.199999999997</v>
      </c>
      <c r="U78" s="41">
        <f t="shared" si="21"/>
        <v>28870.799999999996</v>
      </c>
      <c r="V78" s="41">
        <f t="shared" si="21"/>
        <v>29191.399999999994</v>
      </c>
      <c r="W78" s="13">
        <f>W76+W77</f>
        <v>29512</v>
      </c>
      <c r="X78" s="41">
        <f t="shared" si="22"/>
        <v>28643.8</v>
      </c>
      <c r="Y78" s="41">
        <f t="shared" si="22"/>
        <v>27775.599999999999</v>
      </c>
      <c r="Z78" s="41">
        <f t="shared" si="22"/>
        <v>26907.399999999998</v>
      </c>
      <c r="AA78" s="41">
        <f t="shared" si="22"/>
        <v>26039.199999999997</v>
      </c>
      <c r="AB78" s="13">
        <f>AB76+AB77</f>
        <v>25171</v>
      </c>
      <c r="AC78" s="41">
        <f t="shared" si="24"/>
        <v>25428.799999999999</v>
      </c>
      <c r="AD78" s="41">
        <f t="shared" si="24"/>
        <v>25686.6</v>
      </c>
      <c r="AE78" s="41">
        <f t="shared" si="24"/>
        <v>25944.399999999998</v>
      </c>
      <c r="AF78" s="41">
        <f t="shared" si="24"/>
        <v>26202.199999999997</v>
      </c>
      <c r="AG78" s="13">
        <f t="shared" ref="AG78:BB78" si="26">AG76+AG77</f>
        <v>26460</v>
      </c>
      <c r="AH78" s="13">
        <f t="shared" si="26"/>
        <v>25941</v>
      </c>
      <c r="AI78" s="13">
        <f t="shared" si="26"/>
        <v>26435</v>
      </c>
      <c r="AJ78" s="13">
        <f t="shared" si="26"/>
        <v>27186</v>
      </c>
      <c r="AK78" s="13">
        <f t="shared" si="26"/>
        <v>28789</v>
      </c>
      <c r="AL78" s="13">
        <f t="shared" si="26"/>
        <v>30675</v>
      </c>
      <c r="AM78" s="13">
        <f t="shared" si="26"/>
        <v>31991</v>
      </c>
      <c r="AN78" s="13">
        <f t="shared" si="26"/>
        <v>31948</v>
      </c>
      <c r="AO78" s="13">
        <f t="shared" si="26"/>
        <v>32969</v>
      </c>
      <c r="AP78" s="13">
        <f t="shared" si="26"/>
        <v>34193</v>
      </c>
      <c r="AQ78" s="13">
        <f t="shared" si="26"/>
        <v>34958</v>
      </c>
      <c r="AR78" s="13">
        <f t="shared" si="26"/>
        <v>34621</v>
      </c>
      <c r="AS78" s="13">
        <f t="shared" si="26"/>
        <v>35059</v>
      </c>
      <c r="AT78" s="13">
        <f t="shared" si="26"/>
        <v>35887</v>
      </c>
      <c r="AU78" s="13">
        <f t="shared" si="26"/>
        <v>37379</v>
      </c>
      <c r="AV78" s="13">
        <f t="shared" si="26"/>
        <v>37977</v>
      </c>
      <c r="AW78" s="13">
        <f t="shared" si="26"/>
        <v>39219</v>
      </c>
      <c r="AX78" s="13">
        <f t="shared" si="26"/>
        <v>38453</v>
      </c>
      <c r="AY78" s="13">
        <f t="shared" si="26"/>
        <v>37498</v>
      </c>
      <c r="AZ78" s="13">
        <f t="shared" si="26"/>
        <v>32398</v>
      </c>
      <c r="BA78" s="13">
        <f t="shared" si="26"/>
        <v>35836</v>
      </c>
      <c r="BB78" s="13">
        <f t="shared" si="26"/>
        <v>36945</v>
      </c>
    </row>
    <row r="79" spans="1:56" s="44" customFormat="1">
      <c r="D79" s="7"/>
      <c r="E79" s="7"/>
      <c r="F79" s="7"/>
      <c r="G79" s="7"/>
      <c r="I79" s="7"/>
      <c r="J79" s="7"/>
      <c r="K79" s="7"/>
      <c r="L79" s="7"/>
    </row>
    <row r="80" spans="1:56" s="44" customFormat="1">
      <c r="A80" s="44" t="str">
        <f>A108</f>
        <v>Class I freight, train-miles</v>
      </c>
      <c r="C80" s="44">
        <f>C108</f>
        <v>404</v>
      </c>
      <c r="D80" s="42">
        <f t="shared" ref="D80:G82" si="27">C80+($H80-$C80)/5</f>
        <v>407.4</v>
      </c>
      <c r="E80" s="42">
        <f t="shared" si="27"/>
        <v>410.79999999999995</v>
      </c>
      <c r="F80" s="42">
        <f t="shared" si="27"/>
        <v>414.19999999999993</v>
      </c>
      <c r="G80" s="42">
        <f t="shared" si="27"/>
        <v>417.59999999999991</v>
      </c>
      <c r="H80" s="44">
        <f>H108</f>
        <v>421</v>
      </c>
      <c r="I80" s="42">
        <f t="shared" ref="I80:L82" si="28">H80+($M80-$H80)/5</f>
        <v>422.2</v>
      </c>
      <c r="J80" s="42">
        <f t="shared" si="28"/>
        <v>423.4</v>
      </c>
      <c r="K80" s="42">
        <f t="shared" si="28"/>
        <v>424.59999999999997</v>
      </c>
      <c r="L80" s="42">
        <f t="shared" si="28"/>
        <v>425.79999999999995</v>
      </c>
      <c r="M80" s="44">
        <f>M108</f>
        <v>427</v>
      </c>
      <c r="N80" s="42">
        <f t="shared" ref="N80:Q82" si="29">M80+($R80-$M80)/5</f>
        <v>422.2</v>
      </c>
      <c r="O80" s="42">
        <f t="shared" si="29"/>
        <v>417.4</v>
      </c>
      <c r="P80" s="42">
        <f t="shared" si="29"/>
        <v>412.59999999999997</v>
      </c>
      <c r="Q80" s="42">
        <f t="shared" si="29"/>
        <v>407.79999999999995</v>
      </c>
      <c r="R80" s="44">
        <f>R108</f>
        <v>403</v>
      </c>
      <c r="S80" s="42">
        <f t="shared" ref="S80:V82" si="30">R80+($W80-$R80)/5</f>
        <v>408</v>
      </c>
      <c r="T80" s="42">
        <f t="shared" si="30"/>
        <v>413</v>
      </c>
      <c r="U80" s="42">
        <f t="shared" si="30"/>
        <v>418</v>
      </c>
      <c r="V80" s="42">
        <f t="shared" si="30"/>
        <v>423</v>
      </c>
      <c r="W80" s="44">
        <f>W108</f>
        <v>428</v>
      </c>
      <c r="X80" s="42">
        <f t="shared" ref="X80:AA82" si="31">W80+($AB80-$W80)/5</f>
        <v>411.8</v>
      </c>
      <c r="Y80" s="42">
        <f t="shared" si="31"/>
        <v>395.6</v>
      </c>
      <c r="Z80" s="42">
        <f t="shared" si="31"/>
        <v>379.40000000000003</v>
      </c>
      <c r="AA80" s="42">
        <f t="shared" si="31"/>
        <v>363.20000000000005</v>
      </c>
      <c r="AB80" s="44">
        <f>AB108</f>
        <v>347</v>
      </c>
      <c r="AC80" s="42">
        <f>AB80+($AG80-$AB80)/5</f>
        <v>353.6</v>
      </c>
      <c r="AD80" s="42">
        <f>AC80+($AG80-$AB80)/5</f>
        <v>360.20000000000005</v>
      </c>
      <c r="AE80" s="42">
        <f>AD80+($AG80-$AB80)/5</f>
        <v>366.80000000000007</v>
      </c>
      <c r="AF80" s="42">
        <f>AE80+($AG80-$AB80)/5</f>
        <v>373.40000000000009</v>
      </c>
      <c r="AG80" s="44">
        <f t="shared" ref="AG80:BB80" si="32">AG108</f>
        <v>380</v>
      </c>
      <c r="AH80" s="44">
        <f t="shared" si="32"/>
        <v>375</v>
      </c>
      <c r="AI80" s="44">
        <f t="shared" si="32"/>
        <v>390</v>
      </c>
      <c r="AJ80" s="44">
        <f t="shared" si="32"/>
        <v>405</v>
      </c>
      <c r="AK80" s="44">
        <f t="shared" si="32"/>
        <v>441</v>
      </c>
      <c r="AL80" s="44">
        <f t="shared" si="32"/>
        <v>458</v>
      </c>
      <c r="AM80" s="44">
        <f t="shared" si="32"/>
        <v>469</v>
      </c>
      <c r="AN80" s="44">
        <f t="shared" si="32"/>
        <v>475</v>
      </c>
      <c r="AO80" s="44">
        <f t="shared" si="32"/>
        <v>475</v>
      </c>
      <c r="AP80" s="44">
        <f t="shared" si="32"/>
        <v>490</v>
      </c>
      <c r="AQ80" s="44">
        <f t="shared" si="32"/>
        <v>504</v>
      </c>
      <c r="AR80" s="44">
        <f t="shared" si="32"/>
        <v>500</v>
      </c>
      <c r="AS80" s="44">
        <f t="shared" si="32"/>
        <v>500</v>
      </c>
      <c r="AT80" s="44">
        <f t="shared" si="32"/>
        <v>516</v>
      </c>
      <c r="AU80" s="44">
        <f t="shared" si="32"/>
        <v>535</v>
      </c>
      <c r="AV80" s="44">
        <f t="shared" si="32"/>
        <v>548</v>
      </c>
      <c r="AW80" s="44">
        <f t="shared" si="32"/>
        <v>563</v>
      </c>
      <c r="AX80" s="44">
        <f t="shared" si="32"/>
        <v>543</v>
      </c>
      <c r="AY80" s="44">
        <f t="shared" si="32"/>
        <v>524</v>
      </c>
      <c r="AZ80" s="44">
        <f t="shared" si="32"/>
        <v>436</v>
      </c>
      <c r="BA80" s="44">
        <f t="shared" si="32"/>
        <v>476</v>
      </c>
      <c r="BB80" s="44">
        <f t="shared" si="32"/>
        <v>493</v>
      </c>
    </row>
    <row r="81" spans="1:54" s="44" customFormat="1">
      <c r="A81" s="44" t="str">
        <f>A110</f>
        <v>Intercity/Amtrakh, train-miles</v>
      </c>
      <c r="C81" s="44">
        <f>C110</f>
        <v>209</v>
      </c>
      <c r="D81" s="42">
        <f t="shared" si="27"/>
        <v>201.6</v>
      </c>
      <c r="E81" s="42">
        <f t="shared" si="27"/>
        <v>194.2</v>
      </c>
      <c r="F81" s="42">
        <f t="shared" si="27"/>
        <v>186.79999999999998</v>
      </c>
      <c r="G81" s="42">
        <f t="shared" si="27"/>
        <v>179.39999999999998</v>
      </c>
      <c r="H81" s="44">
        <f>H110</f>
        <v>172</v>
      </c>
      <c r="I81" s="42">
        <f t="shared" si="28"/>
        <v>156.19999999999999</v>
      </c>
      <c r="J81" s="42">
        <f t="shared" si="28"/>
        <v>140.39999999999998</v>
      </c>
      <c r="K81" s="42">
        <f t="shared" si="28"/>
        <v>124.59999999999998</v>
      </c>
      <c r="L81" s="42">
        <f t="shared" si="28"/>
        <v>108.79999999999998</v>
      </c>
      <c r="M81" s="44">
        <f>M110</f>
        <v>93</v>
      </c>
      <c r="N81" s="42">
        <f t="shared" si="29"/>
        <v>80.400000000000006</v>
      </c>
      <c r="O81" s="42">
        <f t="shared" si="29"/>
        <v>67.800000000000011</v>
      </c>
      <c r="P81" s="42">
        <f t="shared" si="29"/>
        <v>55.20000000000001</v>
      </c>
      <c r="Q81" s="42">
        <f t="shared" si="29"/>
        <v>42.600000000000009</v>
      </c>
      <c r="R81" s="44">
        <f>R110</f>
        <v>30</v>
      </c>
      <c r="S81" s="42">
        <f t="shared" si="30"/>
        <v>30</v>
      </c>
      <c r="T81" s="42">
        <f t="shared" si="30"/>
        <v>30</v>
      </c>
      <c r="U81" s="42">
        <f t="shared" si="30"/>
        <v>30</v>
      </c>
      <c r="V81" s="42">
        <f t="shared" si="30"/>
        <v>30</v>
      </c>
      <c r="W81" s="44">
        <f>W110</f>
        <v>30</v>
      </c>
      <c r="X81" s="42">
        <f t="shared" si="31"/>
        <v>30</v>
      </c>
      <c r="Y81" s="42">
        <f t="shared" si="31"/>
        <v>30</v>
      </c>
      <c r="Z81" s="42">
        <f t="shared" si="31"/>
        <v>30</v>
      </c>
      <c r="AA81" s="42">
        <f t="shared" si="31"/>
        <v>30</v>
      </c>
      <c r="AB81" s="44">
        <f>AB110</f>
        <v>30</v>
      </c>
      <c r="AC81" s="42">
        <f t="shared" ref="AC81:AF82" si="33">AB81+($AG81-$AB81)/5</f>
        <v>30.6</v>
      </c>
      <c r="AD81" s="42">
        <f t="shared" si="33"/>
        <v>31.200000000000003</v>
      </c>
      <c r="AE81" s="42">
        <f t="shared" si="33"/>
        <v>31.800000000000004</v>
      </c>
      <c r="AF81" s="42">
        <f t="shared" si="33"/>
        <v>32.400000000000006</v>
      </c>
      <c r="AG81" s="44">
        <f t="shared" ref="AG81:BB81" si="34">AG110</f>
        <v>33</v>
      </c>
      <c r="AH81" s="44">
        <f t="shared" si="34"/>
        <v>34</v>
      </c>
      <c r="AI81" s="44">
        <f t="shared" si="34"/>
        <v>34</v>
      </c>
      <c r="AJ81" s="44">
        <f t="shared" si="34"/>
        <v>35</v>
      </c>
      <c r="AK81" s="44">
        <f t="shared" si="34"/>
        <v>34</v>
      </c>
      <c r="AL81" s="44">
        <f t="shared" si="34"/>
        <v>32</v>
      </c>
      <c r="AM81" s="44">
        <f t="shared" si="34"/>
        <v>30</v>
      </c>
      <c r="AN81" s="44">
        <f t="shared" si="34"/>
        <v>32</v>
      </c>
      <c r="AO81" s="44">
        <f t="shared" si="34"/>
        <v>33</v>
      </c>
      <c r="AP81" s="44">
        <f t="shared" si="34"/>
        <v>34</v>
      </c>
      <c r="AQ81" s="44">
        <f t="shared" si="34"/>
        <v>35</v>
      </c>
      <c r="AR81" s="44">
        <f t="shared" si="34"/>
        <v>36</v>
      </c>
      <c r="AS81" s="44">
        <f t="shared" si="34"/>
        <v>38</v>
      </c>
      <c r="AT81" s="44">
        <f t="shared" si="34"/>
        <v>37</v>
      </c>
      <c r="AU81" s="44">
        <f t="shared" si="34"/>
        <v>37</v>
      </c>
      <c r="AV81" s="44">
        <f t="shared" si="34"/>
        <v>36</v>
      </c>
      <c r="AW81" s="44">
        <f t="shared" si="34"/>
        <v>36</v>
      </c>
      <c r="AX81" s="44">
        <f t="shared" si="34"/>
        <v>37</v>
      </c>
      <c r="AY81" s="44">
        <f t="shared" si="34"/>
        <v>38</v>
      </c>
      <c r="AZ81" s="44">
        <f t="shared" si="34"/>
        <v>38</v>
      </c>
      <c r="BA81" s="44">
        <f t="shared" si="34"/>
        <v>37</v>
      </c>
      <c r="BB81" s="44">
        <f t="shared" si="34"/>
        <v>37</v>
      </c>
    </row>
    <row r="82" spans="1:54" s="10" customFormat="1">
      <c r="A82" s="10" t="s">
        <v>89</v>
      </c>
      <c r="C82" s="13">
        <f>C80+C81</f>
        <v>613</v>
      </c>
      <c r="D82" s="41">
        <f t="shared" si="27"/>
        <v>609</v>
      </c>
      <c r="E82" s="41">
        <f t="shared" si="27"/>
        <v>605</v>
      </c>
      <c r="F82" s="41">
        <f t="shared" si="27"/>
        <v>601</v>
      </c>
      <c r="G82" s="41">
        <f t="shared" si="27"/>
        <v>597</v>
      </c>
      <c r="H82" s="13">
        <f>H80+H81</f>
        <v>593</v>
      </c>
      <c r="I82" s="41">
        <f t="shared" si="28"/>
        <v>578.4</v>
      </c>
      <c r="J82" s="41">
        <f t="shared" si="28"/>
        <v>563.79999999999995</v>
      </c>
      <c r="K82" s="41">
        <f t="shared" si="28"/>
        <v>549.19999999999993</v>
      </c>
      <c r="L82" s="41">
        <f t="shared" si="28"/>
        <v>534.59999999999991</v>
      </c>
      <c r="M82" s="13">
        <f>M80+M81</f>
        <v>520</v>
      </c>
      <c r="N82" s="41">
        <f t="shared" si="29"/>
        <v>502.6</v>
      </c>
      <c r="O82" s="41">
        <f t="shared" si="29"/>
        <v>485.20000000000005</v>
      </c>
      <c r="P82" s="41">
        <f t="shared" si="29"/>
        <v>467.80000000000007</v>
      </c>
      <c r="Q82" s="41">
        <f t="shared" si="29"/>
        <v>450.40000000000009</v>
      </c>
      <c r="R82" s="13">
        <f>R80+R81</f>
        <v>433</v>
      </c>
      <c r="S82" s="41">
        <f t="shared" si="30"/>
        <v>438</v>
      </c>
      <c r="T82" s="41">
        <f t="shared" si="30"/>
        <v>443</v>
      </c>
      <c r="U82" s="41">
        <f t="shared" si="30"/>
        <v>448</v>
      </c>
      <c r="V82" s="41">
        <f t="shared" si="30"/>
        <v>453</v>
      </c>
      <c r="W82" s="13">
        <f>W80+W81</f>
        <v>458</v>
      </c>
      <c r="X82" s="41">
        <f t="shared" si="31"/>
        <v>441.8</v>
      </c>
      <c r="Y82" s="41">
        <f t="shared" si="31"/>
        <v>425.6</v>
      </c>
      <c r="Z82" s="41">
        <f t="shared" si="31"/>
        <v>409.40000000000003</v>
      </c>
      <c r="AA82" s="41">
        <f t="shared" si="31"/>
        <v>393.20000000000005</v>
      </c>
      <c r="AB82" s="13">
        <f>AB80+AB81</f>
        <v>377</v>
      </c>
      <c r="AC82" s="41">
        <f t="shared" si="33"/>
        <v>384.2</v>
      </c>
      <c r="AD82" s="41">
        <f t="shared" si="33"/>
        <v>391.4</v>
      </c>
      <c r="AE82" s="41">
        <f t="shared" si="33"/>
        <v>398.59999999999997</v>
      </c>
      <c r="AF82" s="41">
        <f t="shared" si="33"/>
        <v>405.79999999999995</v>
      </c>
      <c r="AG82" s="13">
        <f t="shared" ref="AG82:BB82" si="35">AG80+AG81</f>
        <v>413</v>
      </c>
      <c r="AH82" s="13">
        <f t="shared" si="35"/>
        <v>409</v>
      </c>
      <c r="AI82" s="13">
        <f t="shared" si="35"/>
        <v>424</v>
      </c>
      <c r="AJ82" s="13">
        <f t="shared" si="35"/>
        <v>440</v>
      </c>
      <c r="AK82" s="13">
        <f t="shared" si="35"/>
        <v>475</v>
      </c>
      <c r="AL82" s="13">
        <f t="shared" si="35"/>
        <v>490</v>
      </c>
      <c r="AM82" s="13">
        <f t="shared" si="35"/>
        <v>499</v>
      </c>
      <c r="AN82" s="13">
        <f t="shared" si="35"/>
        <v>507</v>
      </c>
      <c r="AO82" s="13">
        <f t="shared" si="35"/>
        <v>508</v>
      </c>
      <c r="AP82" s="13">
        <f t="shared" si="35"/>
        <v>524</v>
      </c>
      <c r="AQ82" s="13">
        <f t="shared" si="35"/>
        <v>539</v>
      </c>
      <c r="AR82" s="13">
        <f t="shared" si="35"/>
        <v>536</v>
      </c>
      <c r="AS82" s="13">
        <f t="shared" si="35"/>
        <v>538</v>
      </c>
      <c r="AT82" s="13">
        <f t="shared" si="35"/>
        <v>553</v>
      </c>
      <c r="AU82" s="13">
        <f t="shared" si="35"/>
        <v>572</v>
      </c>
      <c r="AV82" s="13">
        <f t="shared" si="35"/>
        <v>584</v>
      </c>
      <c r="AW82" s="13">
        <f t="shared" si="35"/>
        <v>599</v>
      </c>
      <c r="AX82" s="13">
        <f t="shared" si="35"/>
        <v>580</v>
      </c>
      <c r="AY82" s="13">
        <f t="shared" si="35"/>
        <v>562</v>
      </c>
      <c r="AZ82" s="13">
        <f t="shared" si="35"/>
        <v>474</v>
      </c>
      <c r="BA82" s="13">
        <f t="shared" si="35"/>
        <v>513</v>
      </c>
      <c r="BB82" s="13">
        <f t="shared" si="35"/>
        <v>530</v>
      </c>
    </row>
    <row r="83" spans="1:54" s="44" customFormat="1">
      <c r="D83" s="7"/>
      <c r="E83" s="7"/>
      <c r="F83" s="7"/>
      <c r="G83" s="7"/>
      <c r="I83" s="7"/>
      <c r="J83" s="7"/>
      <c r="K83" s="7"/>
      <c r="L83" s="7"/>
    </row>
    <row r="84" spans="1:54" s="44" customFormat="1">
      <c r="A84" s="44" t="s">
        <v>127</v>
      </c>
      <c r="C84" s="6">
        <f>C76/C80</f>
        <v>69.727722772277232</v>
      </c>
      <c r="D84" s="6">
        <f t="shared" ref="D84:I84" si="36">D76/D80</f>
        <v>69.718213058419252</v>
      </c>
      <c r="E84" s="6">
        <f t="shared" si="36"/>
        <v>69.708860759493689</v>
      </c>
      <c r="F84" s="6">
        <f t="shared" si="36"/>
        <v>69.699661999034305</v>
      </c>
      <c r="G84" s="6">
        <f t="shared" si="36"/>
        <v>69.690613026819946</v>
      </c>
      <c r="H84" s="6">
        <f t="shared" si="36"/>
        <v>69.681710213776725</v>
      </c>
      <c r="I84" s="6">
        <f t="shared" si="36"/>
        <v>69.746091899573656</v>
      </c>
      <c r="J84" s="6">
        <f t="shared" ref="J84:BB84" si="37">J76/J80</f>
        <v>69.810108644307988</v>
      </c>
      <c r="K84" s="6">
        <f t="shared" si="37"/>
        <v>69.87376354215732</v>
      </c>
      <c r="L84" s="6">
        <f t="shared" si="37"/>
        <v>69.937059652418981</v>
      </c>
      <c r="M84" s="6">
        <f t="shared" si="37"/>
        <v>70</v>
      </c>
      <c r="N84" s="6">
        <f t="shared" si="37"/>
        <v>69.737565135007102</v>
      </c>
      <c r="O84" s="6">
        <f t="shared" si="37"/>
        <v>69.469094393866797</v>
      </c>
      <c r="P84" s="6">
        <f t="shared" si="37"/>
        <v>69.194377120698022</v>
      </c>
      <c r="Q84" s="6">
        <f t="shared" si="37"/>
        <v>68.913192741539987</v>
      </c>
      <c r="R84" s="6">
        <f t="shared" si="37"/>
        <v>68.625310173697272</v>
      </c>
      <c r="S84" s="6">
        <f t="shared" si="37"/>
        <v>68.57892156862745</v>
      </c>
      <c r="T84" s="6">
        <f t="shared" si="37"/>
        <v>68.533656174334141</v>
      </c>
      <c r="U84" s="6">
        <f t="shared" si="37"/>
        <v>68.489473684210537</v>
      </c>
      <c r="V84" s="6">
        <f t="shared" si="37"/>
        <v>68.446335697399533</v>
      </c>
      <c r="W84" s="6">
        <f t="shared" si="37"/>
        <v>68.404205607476641</v>
      </c>
      <c r="X84" s="6">
        <f t="shared" si="37"/>
        <v>68.979116075764935</v>
      </c>
      <c r="Y84" s="6">
        <f t="shared" si="37"/>
        <v>69.60111223458037</v>
      </c>
      <c r="Z84" s="6">
        <f t="shared" si="37"/>
        <v>70.276225619399028</v>
      </c>
      <c r="AA84" s="6">
        <f t="shared" si="37"/>
        <v>71.011563876651962</v>
      </c>
      <c r="AB84" s="6">
        <f t="shared" si="37"/>
        <v>71.815561959654175</v>
      </c>
      <c r="AC84" s="6">
        <f t="shared" si="37"/>
        <v>71.175904977375552</v>
      </c>
      <c r="AD84" s="6">
        <f t="shared" si="37"/>
        <v>70.559689061632412</v>
      </c>
      <c r="AE84" s="6">
        <f t="shared" si="37"/>
        <v>69.965648854961813</v>
      </c>
      <c r="AF84" s="6">
        <f t="shared" si="37"/>
        <v>69.392608462774476</v>
      </c>
      <c r="AG84" s="6">
        <f t="shared" si="37"/>
        <v>68.839473684210532</v>
      </c>
      <c r="AH84" s="6">
        <f t="shared" si="37"/>
        <v>68.341333333333338</v>
      </c>
      <c r="AI84" s="6">
        <f t="shared" si="37"/>
        <v>66.994871794871798</v>
      </c>
      <c r="AJ84" s="6">
        <f t="shared" si="37"/>
        <v>66.37777777777778</v>
      </c>
      <c r="AK84" s="6">
        <f t="shared" si="37"/>
        <v>64.591836734693871</v>
      </c>
      <c r="AL84" s="6">
        <f t="shared" si="37"/>
        <v>66.338427947598248</v>
      </c>
      <c r="AM84" s="6">
        <f t="shared" si="37"/>
        <v>67.622601279317692</v>
      </c>
      <c r="AN84" s="6">
        <f t="shared" si="37"/>
        <v>66.652631578947364</v>
      </c>
      <c r="AO84" s="6">
        <f t="shared" si="37"/>
        <v>68.751578947368415</v>
      </c>
      <c r="AP84" s="6">
        <f t="shared" si="37"/>
        <v>69.083673469387762</v>
      </c>
      <c r="AQ84" s="6">
        <f t="shared" si="37"/>
        <v>68.63095238095238</v>
      </c>
      <c r="AR84" s="6">
        <f t="shared" si="37"/>
        <v>68.486000000000004</v>
      </c>
      <c r="AS84" s="6">
        <f t="shared" si="37"/>
        <v>69.36</v>
      </c>
      <c r="AT84" s="6">
        <f t="shared" si="37"/>
        <v>68.905038759689916</v>
      </c>
      <c r="AU84" s="6">
        <f t="shared" si="37"/>
        <v>69.291588785046727</v>
      </c>
      <c r="AV84" s="6">
        <f t="shared" si="37"/>
        <v>68.817518248175176</v>
      </c>
      <c r="AW84" s="6">
        <f t="shared" si="37"/>
        <v>69.191829484902314</v>
      </c>
      <c r="AX84" s="6">
        <f t="shared" si="37"/>
        <v>70.324125230202583</v>
      </c>
      <c r="AY84" s="6">
        <f t="shared" si="37"/>
        <v>71.041984732824432</v>
      </c>
      <c r="AZ84" s="6">
        <f t="shared" si="37"/>
        <v>73.658256880733944</v>
      </c>
      <c r="BA84" s="6">
        <f t="shared" si="37"/>
        <v>74.665966386554615</v>
      </c>
      <c r="BB84" s="6">
        <f t="shared" si="37"/>
        <v>74.338742393509122</v>
      </c>
    </row>
    <row r="85" spans="1:54" s="44" customFormat="1">
      <c r="A85" s="44" t="s">
        <v>128</v>
      </c>
      <c r="C85" s="6">
        <f>C77/C81</f>
        <v>10.564593301435407</v>
      </c>
      <c r="D85" s="6">
        <f t="shared" ref="D85:I85" si="38">D77/D81</f>
        <v>10.52281746031746</v>
      </c>
      <c r="E85" s="6">
        <f t="shared" si="38"/>
        <v>10.477857878475799</v>
      </c>
      <c r="F85" s="6">
        <f t="shared" si="38"/>
        <v>10.429336188436833</v>
      </c>
      <c r="G85" s="6">
        <f t="shared" si="38"/>
        <v>10.376811594202902</v>
      </c>
      <c r="H85" s="6">
        <f t="shared" si="38"/>
        <v>10.319767441860465</v>
      </c>
      <c r="I85" s="6">
        <f t="shared" si="38"/>
        <v>9.9743918053777207</v>
      </c>
      <c r="J85" s="6">
        <f t="shared" ref="J85:BB85" si="39">J77/J81</f>
        <v>9.5512820512820529</v>
      </c>
      <c r="K85" s="6">
        <f t="shared" si="39"/>
        <v>9.0208667736757633</v>
      </c>
      <c r="L85" s="6">
        <f t="shared" si="39"/>
        <v>8.3363970588235308</v>
      </c>
      <c r="M85" s="6">
        <f t="shared" si="39"/>
        <v>7.419354838709677</v>
      </c>
      <c r="N85" s="6">
        <f t="shared" si="39"/>
        <v>7.4950248756218905</v>
      </c>
      <c r="O85" s="6">
        <f t="shared" si="39"/>
        <v>7.5988200589970498</v>
      </c>
      <c r="P85" s="6">
        <f t="shared" si="39"/>
        <v>7.75</v>
      </c>
      <c r="Q85" s="6">
        <f t="shared" si="39"/>
        <v>7.990610328638498</v>
      </c>
      <c r="R85" s="6">
        <f t="shared" si="39"/>
        <v>8.4333333333333336</v>
      </c>
      <c r="S85" s="6">
        <f t="shared" si="39"/>
        <v>8.3133333333333344</v>
      </c>
      <c r="T85" s="6">
        <f t="shared" si="39"/>
        <v>8.1933333333333334</v>
      </c>
      <c r="U85" s="6">
        <f t="shared" si="39"/>
        <v>8.0733333333333341</v>
      </c>
      <c r="V85" s="6">
        <f t="shared" si="39"/>
        <v>7.953333333333334</v>
      </c>
      <c r="W85" s="6">
        <f t="shared" si="39"/>
        <v>7.833333333333333</v>
      </c>
      <c r="X85" s="6">
        <f t="shared" si="39"/>
        <v>7.9399999999999995</v>
      </c>
      <c r="Y85" s="6">
        <f t="shared" si="39"/>
        <v>8.0466666666666651</v>
      </c>
      <c r="Z85" s="6">
        <f t="shared" si="39"/>
        <v>8.1533333333333324</v>
      </c>
      <c r="AA85" s="6">
        <f t="shared" si="39"/>
        <v>8.259999999999998</v>
      </c>
      <c r="AB85" s="6">
        <f t="shared" si="39"/>
        <v>8.3666666666666671</v>
      </c>
      <c r="AC85" s="6">
        <f t="shared" si="39"/>
        <v>8.5294117647058822</v>
      </c>
      <c r="AD85" s="6">
        <f t="shared" si="39"/>
        <v>8.6858974358974343</v>
      </c>
      <c r="AE85" s="6">
        <f t="shared" si="39"/>
        <v>8.8364779874213824</v>
      </c>
      <c r="AF85" s="6">
        <f t="shared" si="39"/>
        <v>8.9814814814814792</v>
      </c>
      <c r="AG85" s="6">
        <f t="shared" si="39"/>
        <v>9.1212121212121211</v>
      </c>
      <c r="AH85" s="6">
        <f t="shared" si="39"/>
        <v>9.2058823529411757</v>
      </c>
      <c r="AI85" s="6">
        <f t="shared" si="39"/>
        <v>9.0294117647058822</v>
      </c>
      <c r="AJ85" s="6">
        <f t="shared" si="39"/>
        <v>8.6571428571428566</v>
      </c>
      <c r="AK85" s="6">
        <f t="shared" si="39"/>
        <v>8.9411764705882355</v>
      </c>
      <c r="AL85" s="6">
        <f t="shared" si="39"/>
        <v>9.125</v>
      </c>
      <c r="AM85" s="6">
        <f t="shared" si="39"/>
        <v>9.1999999999999993</v>
      </c>
      <c r="AN85" s="6">
        <f t="shared" si="39"/>
        <v>9</v>
      </c>
      <c r="AO85" s="6">
        <f t="shared" si="39"/>
        <v>9.454545454545455</v>
      </c>
      <c r="AP85" s="6">
        <f t="shared" si="39"/>
        <v>10.058823529411764</v>
      </c>
      <c r="AQ85" s="6">
        <f t="shared" si="39"/>
        <v>10.514285714285714</v>
      </c>
      <c r="AR85" s="6">
        <f t="shared" si="39"/>
        <v>10.5</v>
      </c>
      <c r="AS85" s="6">
        <f t="shared" si="39"/>
        <v>9.973684210526315</v>
      </c>
      <c r="AT85" s="6">
        <f t="shared" si="39"/>
        <v>8.9729729729729737</v>
      </c>
      <c r="AU85" s="6">
        <f t="shared" si="39"/>
        <v>8.3243243243243246</v>
      </c>
      <c r="AV85" s="6">
        <f t="shared" si="39"/>
        <v>7.3611111111111107</v>
      </c>
      <c r="AW85" s="6">
        <f t="shared" si="39"/>
        <v>7.333333333333333</v>
      </c>
      <c r="AX85" s="6">
        <f t="shared" si="39"/>
        <v>7.2162162162162158</v>
      </c>
      <c r="AY85" s="6">
        <f t="shared" si="39"/>
        <v>7.1578947368421053</v>
      </c>
      <c r="AZ85" s="6">
        <f t="shared" si="39"/>
        <v>7.4473684210526319</v>
      </c>
      <c r="BA85" s="6">
        <f t="shared" si="39"/>
        <v>7.9729729729729728</v>
      </c>
      <c r="BB85" s="6">
        <f t="shared" si="39"/>
        <v>8</v>
      </c>
    </row>
    <row r="86" spans="1:54" s="44" customFormat="1">
      <c r="D86" s="7"/>
      <c r="E86" s="7"/>
      <c r="F86" s="7"/>
      <c r="G86" s="7"/>
      <c r="I86" s="7"/>
      <c r="J86" s="7"/>
      <c r="K86" s="7"/>
      <c r="L86" s="7"/>
    </row>
    <row r="87" spans="1:54" s="44" customFormat="1">
      <c r="A87" s="44" t="str">
        <f>A128</f>
        <v>Rail, Class I (in freight service)</v>
      </c>
      <c r="B87" s="44" t="str">
        <f>A120</f>
        <v>Distillate / diesel fuel (million gallons)</v>
      </c>
      <c r="C87" s="1">
        <f>C120</f>
        <v>3463</v>
      </c>
      <c r="D87" s="42">
        <f t="shared" ref="D87:G93" si="40">C87+($H87-$C87)/5</f>
        <v>3488.8</v>
      </c>
      <c r="E87" s="42">
        <f t="shared" si="40"/>
        <v>3514.6000000000004</v>
      </c>
      <c r="F87" s="42">
        <f t="shared" si="40"/>
        <v>3540.4000000000005</v>
      </c>
      <c r="G87" s="42">
        <f t="shared" si="40"/>
        <v>3566.2000000000007</v>
      </c>
      <c r="H87" s="1">
        <f>H120</f>
        <v>3592</v>
      </c>
      <c r="I87" s="42">
        <f t="shared" ref="I87:L92" si="41">H87+($M87-$H87)/5</f>
        <v>3582.6</v>
      </c>
      <c r="J87" s="42">
        <f t="shared" si="41"/>
        <v>3573.2</v>
      </c>
      <c r="K87" s="42">
        <f t="shared" si="41"/>
        <v>3563.7999999999997</v>
      </c>
      <c r="L87" s="42">
        <f t="shared" si="41"/>
        <v>3554.3999999999996</v>
      </c>
      <c r="M87" s="1">
        <f>M120</f>
        <v>3545</v>
      </c>
      <c r="N87" s="42">
        <f t="shared" ref="N87:Q93" si="42">M87+($R87-$M87)/5</f>
        <v>3567.4</v>
      </c>
      <c r="O87" s="42">
        <f t="shared" si="42"/>
        <v>3589.8</v>
      </c>
      <c r="P87" s="42">
        <f t="shared" si="42"/>
        <v>3612.2000000000003</v>
      </c>
      <c r="Q87" s="42">
        <f t="shared" si="42"/>
        <v>3634.6000000000004</v>
      </c>
      <c r="R87" s="1">
        <f>R120</f>
        <v>3657</v>
      </c>
      <c r="S87" s="42">
        <f t="shared" ref="S87:V93" si="43">R87+($W87-$R87)/5</f>
        <v>3706.4</v>
      </c>
      <c r="T87" s="42">
        <f t="shared" si="43"/>
        <v>3755.8</v>
      </c>
      <c r="U87" s="42">
        <f t="shared" si="43"/>
        <v>3805.2000000000003</v>
      </c>
      <c r="V87" s="42">
        <f t="shared" si="43"/>
        <v>3854.6000000000004</v>
      </c>
      <c r="W87" s="1">
        <f>W120</f>
        <v>3904</v>
      </c>
      <c r="X87" s="42">
        <f t="shared" ref="X87:AA88" si="44">W87+($AB87-$W87)/5</f>
        <v>3745.2</v>
      </c>
      <c r="Y87" s="42">
        <f t="shared" si="44"/>
        <v>3586.3999999999996</v>
      </c>
      <c r="Z87" s="42">
        <f t="shared" si="44"/>
        <v>3427.5999999999995</v>
      </c>
      <c r="AA87" s="42">
        <f t="shared" si="44"/>
        <v>3268.7999999999993</v>
      </c>
      <c r="AB87" s="1">
        <f>AB120</f>
        <v>3110</v>
      </c>
      <c r="AC87" s="42">
        <f>AB87+($AG87-$AB87)/5</f>
        <v>3111</v>
      </c>
      <c r="AD87" s="42">
        <f>AC87+($AG87-$AB87)/5</f>
        <v>3112</v>
      </c>
      <c r="AE87" s="42">
        <f>AD87+($AG87-$AB87)/5</f>
        <v>3113</v>
      </c>
      <c r="AF87" s="42">
        <f>AE87+($AG87-$AB87)/5</f>
        <v>3114</v>
      </c>
      <c r="AG87" s="1">
        <f t="shared" ref="AG87:BB87" si="45">AG120</f>
        <v>3115</v>
      </c>
      <c r="AH87" s="1">
        <f t="shared" si="45"/>
        <v>2906</v>
      </c>
      <c r="AI87" s="1">
        <f t="shared" si="45"/>
        <v>3005</v>
      </c>
      <c r="AJ87" s="1">
        <f t="shared" si="45"/>
        <v>3088</v>
      </c>
      <c r="AK87" s="1">
        <f t="shared" si="45"/>
        <v>3334</v>
      </c>
      <c r="AL87" s="1">
        <f t="shared" si="45"/>
        <v>3480</v>
      </c>
      <c r="AM87" s="1">
        <f t="shared" si="45"/>
        <v>3579</v>
      </c>
      <c r="AN87" s="1">
        <f t="shared" si="45"/>
        <v>3575</v>
      </c>
      <c r="AO87" s="1">
        <f t="shared" si="45"/>
        <v>3583</v>
      </c>
      <c r="AP87" s="1">
        <f t="shared" si="45"/>
        <v>3715</v>
      </c>
      <c r="AQ87" s="1">
        <f t="shared" si="45"/>
        <v>3700</v>
      </c>
      <c r="AR87" s="1">
        <f t="shared" si="45"/>
        <v>3710</v>
      </c>
      <c r="AS87" s="1">
        <f t="shared" si="45"/>
        <v>3730</v>
      </c>
      <c r="AT87" s="1">
        <f t="shared" si="45"/>
        <v>3826</v>
      </c>
      <c r="AU87" s="1">
        <f t="shared" si="45"/>
        <v>4059</v>
      </c>
      <c r="AV87" s="1">
        <f t="shared" si="45"/>
        <v>4098</v>
      </c>
      <c r="AW87" s="1">
        <f t="shared" si="45"/>
        <v>4192</v>
      </c>
      <c r="AX87" s="1">
        <f t="shared" si="45"/>
        <v>4062</v>
      </c>
      <c r="AY87" s="1">
        <f t="shared" si="45"/>
        <v>3886</v>
      </c>
      <c r="AZ87" s="1">
        <f t="shared" si="45"/>
        <v>3192</v>
      </c>
      <c r="BA87" s="1">
        <f t="shared" si="45"/>
        <v>3494</v>
      </c>
      <c r="BB87" s="1">
        <f t="shared" si="45"/>
        <v>3685</v>
      </c>
    </row>
    <row r="88" spans="1:54" s="44" customFormat="1">
      <c r="A88" s="44" t="str">
        <f>A121</f>
        <v>Amtrak</v>
      </c>
      <c r="B88" s="44" t="str">
        <f>A122</f>
        <v>Electricity  (million kWh)</v>
      </c>
      <c r="C88" s="7" t="str">
        <f>C122</f>
        <v>N</v>
      </c>
      <c r="D88" s="42" t="e">
        <f t="shared" si="40"/>
        <v>#VALUE!</v>
      </c>
      <c r="E88" s="42" t="e">
        <f t="shared" si="40"/>
        <v>#VALUE!</v>
      </c>
      <c r="F88" s="42" t="e">
        <f t="shared" si="40"/>
        <v>#VALUE!</v>
      </c>
      <c r="G88" s="42" t="e">
        <f t="shared" si="40"/>
        <v>#VALUE!</v>
      </c>
      <c r="H88" s="7" t="str">
        <f>H122</f>
        <v>N</v>
      </c>
      <c r="I88" s="42" t="e">
        <f t="shared" si="41"/>
        <v>#VALUE!</v>
      </c>
      <c r="J88" s="42" t="e">
        <f t="shared" si="41"/>
        <v>#VALUE!</v>
      </c>
      <c r="K88" s="42" t="e">
        <f t="shared" si="41"/>
        <v>#VALUE!</v>
      </c>
      <c r="L88" s="42" t="e">
        <f t="shared" si="41"/>
        <v>#VALUE!</v>
      </c>
      <c r="M88" s="7" t="str">
        <f>M122</f>
        <v>N</v>
      </c>
      <c r="N88" s="42" t="e">
        <f t="shared" si="42"/>
        <v>#VALUE!</v>
      </c>
      <c r="O88" s="42" t="e">
        <f t="shared" si="42"/>
        <v>#VALUE!</v>
      </c>
      <c r="P88" s="42" t="e">
        <f t="shared" si="42"/>
        <v>#VALUE!</v>
      </c>
      <c r="Q88" s="42" t="e">
        <f t="shared" si="42"/>
        <v>#VALUE!</v>
      </c>
      <c r="R88" s="44">
        <f>R122</f>
        <v>180</v>
      </c>
      <c r="S88" s="42">
        <f t="shared" si="43"/>
        <v>194.8</v>
      </c>
      <c r="T88" s="42">
        <f t="shared" si="43"/>
        <v>209.60000000000002</v>
      </c>
      <c r="U88" s="42">
        <f t="shared" si="43"/>
        <v>224.40000000000003</v>
      </c>
      <c r="V88" s="42">
        <f t="shared" si="43"/>
        <v>239.20000000000005</v>
      </c>
      <c r="W88" s="44">
        <f>W122</f>
        <v>254</v>
      </c>
      <c r="X88" s="42">
        <f t="shared" si="44"/>
        <v>262.2</v>
      </c>
      <c r="Y88" s="42">
        <f t="shared" si="44"/>
        <v>270.39999999999998</v>
      </c>
      <c r="Z88" s="42">
        <f t="shared" si="44"/>
        <v>278.59999999999997</v>
      </c>
      <c r="AA88" s="42">
        <f t="shared" si="44"/>
        <v>286.79999999999995</v>
      </c>
      <c r="AB88" s="44">
        <f>AB122</f>
        <v>295</v>
      </c>
      <c r="AC88" s="42">
        <f t="shared" ref="AC88:AF93" si="46">AB88+($AG88-$AB88)/5</f>
        <v>302</v>
      </c>
      <c r="AD88" s="42">
        <f t="shared" si="46"/>
        <v>309</v>
      </c>
      <c r="AE88" s="42">
        <f t="shared" si="46"/>
        <v>316</v>
      </c>
      <c r="AF88" s="42">
        <f t="shared" si="46"/>
        <v>323</v>
      </c>
      <c r="AG88" s="44">
        <f t="shared" ref="AG88:BB88" si="47">AG122</f>
        <v>330</v>
      </c>
      <c r="AH88" s="44">
        <f t="shared" si="47"/>
        <v>303</v>
      </c>
      <c r="AI88" s="44">
        <f t="shared" si="47"/>
        <v>300</v>
      </c>
      <c r="AJ88" s="44">
        <f t="shared" si="47"/>
        <v>301</v>
      </c>
      <c r="AK88" s="44">
        <f t="shared" si="47"/>
        <v>309</v>
      </c>
      <c r="AL88" s="44">
        <f t="shared" si="47"/>
        <v>336</v>
      </c>
      <c r="AM88" s="44">
        <f t="shared" si="47"/>
        <v>363</v>
      </c>
      <c r="AN88" s="44">
        <f t="shared" si="47"/>
        <v>390</v>
      </c>
      <c r="AO88" s="44">
        <f t="shared" si="47"/>
        <v>416</v>
      </c>
      <c r="AP88" s="44">
        <f t="shared" si="47"/>
        <v>443</v>
      </c>
      <c r="AQ88" s="44">
        <f t="shared" si="47"/>
        <v>470</v>
      </c>
      <c r="AR88" s="44">
        <f t="shared" si="47"/>
        <v>456</v>
      </c>
      <c r="AS88" s="44">
        <f t="shared" si="47"/>
        <v>518</v>
      </c>
      <c r="AT88" s="44">
        <f t="shared" si="47"/>
        <v>537</v>
      </c>
      <c r="AU88" s="44">
        <f t="shared" si="47"/>
        <v>551</v>
      </c>
      <c r="AV88" s="44">
        <f t="shared" si="47"/>
        <v>531</v>
      </c>
      <c r="AW88" s="44">
        <f t="shared" si="47"/>
        <v>549</v>
      </c>
      <c r="AX88" s="44">
        <f t="shared" si="47"/>
        <v>578</v>
      </c>
      <c r="AY88" s="44">
        <f t="shared" si="47"/>
        <v>582</v>
      </c>
      <c r="AZ88" s="44">
        <f t="shared" si="47"/>
        <v>565</v>
      </c>
      <c r="BA88" s="44">
        <f t="shared" si="47"/>
        <v>559</v>
      </c>
      <c r="BB88" s="44">
        <f t="shared" si="47"/>
        <v>555</v>
      </c>
    </row>
    <row r="89" spans="1:54" s="44" customFormat="1">
      <c r="A89" s="44" t="str">
        <f>A88</f>
        <v>Amtrak</v>
      </c>
      <c r="B89" s="44" t="str">
        <f>A123</f>
        <v>Distillate / diesel fuel (million gallons)</v>
      </c>
      <c r="C89" s="7" t="str">
        <f>C123</f>
        <v>N</v>
      </c>
      <c r="D89" s="42" t="e">
        <f t="shared" si="40"/>
        <v>#VALUE!</v>
      </c>
      <c r="E89" s="42" t="e">
        <f t="shared" si="40"/>
        <v>#VALUE!</v>
      </c>
      <c r="F89" s="42" t="e">
        <f t="shared" si="40"/>
        <v>#VALUE!</v>
      </c>
      <c r="G89" s="42" t="e">
        <f t="shared" si="40"/>
        <v>#VALUE!</v>
      </c>
      <c r="H89" s="7" t="str">
        <f>H123</f>
        <v>N</v>
      </c>
      <c r="I89" s="42" t="e">
        <f t="shared" si="41"/>
        <v>#VALUE!</v>
      </c>
      <c r="J89" s="42" t="e">
        <f t="shared" si="41"/>
        <v>#VALUE!</v>
      </c>
      <c r="K89" s="42" t="e">
        <f t="shared" si="41"/>
        <v>#VALUE!</v>
      </c>
      <c r="L89" s="42" t="e">
        <f t="shared" si="41"/>
        <v>#VALUE!</v>
      </c>
      <c r="M89" s="7" t="str">
        <f>M123</f>
        <v>N</v>
      </c>
      <c r="N89" s="42" t="e">
        <f t="shared" si="42"/>
        <v>#VALUE!</v>
      </c>
      <c r="O89" s="42" t="e">
        <f t="shared" si="42"/>
        <v>#VALUE!</v>
      </c>
      <c r="P89" s="42" t="e">
        <f t="shared" si="42"/>
        <v>#VALUE!</v>
      </c>
      <c r="Q89" s="42" t="e">
        <f t="shared" si="42"/>
        <v>#VALUE!</v>
      </c>
      <c r="R89" s="44">
        <f>R123</f>
        <v>63</v>
      </c>
      <c r="S89" s="42">
        <f t="shared" si="43"/>
        <v>63.2</v>
      </c>
      <c r="T89" s="42">
        <f t="shared" si="43"/>
        <v>63.400000000000006</v>
      </c>
      <c r="U89" s="42">
        <f t="shared" si="43"/>
        <v>63.600000000000009</v>
      </c>
      <c r="V89" s="42">
        <f t="shared" si="43"/>
        <v>63.800000000000011</v>
      </c>
      <c r="W89" s="44">
        <f>W123</f>
        <v>64</v>
      </c>
      <c r="X89" s="42">
        <f t="shared" ref="X89:AA93" si="48">W89+($AB89-$W89)/5</f>
        <v>64.2</v>
      </c>
      <c r="Y89" s="42">
        <f t="shared" si="48"/>
        <v>64.400000000000006</v>
      </c>
      <c r="Z89" s="42">
        <f t="shared" si="48"/>
        <v>64.600000000000009</v>
      </c>
      <c r="AA89" s="42">
        <f t="shared" si="48"/>
        <v>64.800000000000011</v>
      </c>
      <c r="AB89" s="44">
        <f>AB123</f>
        <v>65</v>
      </c>
      <c r="AC89" s="42">
        <f t="shared" si="46"/>
        <v>68.400000000000006</v>
      </c>
      <c r="AD89" s="42">
        <f t="shared" si="46"/>
        <v>71.800000000000011</v>
      </c>
      <c r="AE89" s="42">
        <f t="shared" si="46"/>
        <v>75.200000000000017</v>
      </c>
      <c r="AF89" s="42">
        <f t="shared" si="46"/>
        <v>78.600000000000023</v>
      </c>
      <c r="AG89" s="44">
        <f t="shared" ref="AG89:BB89" si="49">AG123</f>
        <v>82</v>
      </c>
      <c r="AH89" s="44">
        <f t="shared" si="49"/>
        <v>82</v>
      </c>
      <c r="AI89" s="44">
        <f t="shared" si="49"/>
        <v>82</v>
      </c>
      <c r="AJ89" s="44">
        <f t="shared" si="49"/>
        <v>83</v>
      </c>
      <c r="AK89" s="44">
        <f t="shared" si="49"/>
        <v>74</v>
      </c>
      <c r="AL89" s="44">
        <f t="shared" si="49"/>
        <v>72</v>
      </c>
      <c r="AM89" s="44">
        <f t="shared" si="49"/>
        <v>71</v>
      </c>
      <c r="AN89" s="44">
        <f t="shared" si="49"/>
        <v>76</v>
      </c>
      <c r="AO89" s="44">
        <f t="shared" si="49"/>
        <v>76</v>
      </c>
      <c r="AP89" s="44">
        <f t="shared" si="49"/>
        <v>79</v>
      </c>
      <c r="AQ89" s="44">
        <f t="shared" si="49"/>
        <v>95</v>
      </c>
      <c r="AR89" s="44">
        <f t="shared" si="49"/>
        <v>97</v>
      </c>
      <c r="AS89" s="44">
        <f t="shared" si="49"/>
        <v>84</v>
      </c>
      <c r="AT89" s="44">
        <f t="shared" si="49"/>
        <v>75</v>
      </c>
      <c r="AU89" s="44">
        <f t="shared" si="49"/>
        <v>69</v>
      </c>
      <c r="AV89" s="44">
        <f t="shared" si="49"/>
        <v>65</v>
      </c>
      <c r="AW89" s="44">
        <f t="shared" si="49"/>
        <v>62</v>
      </c>
      <c r="AX89" s="44">
        <f t="shared" si="49"/>
        <v>62</v>
      </c>
      <c r="AY89" s="44">
        <f t="shared" si="49"/>
        <v>63</v>
      </c>
      <c r="AZ89" s="44">
        <f t="shared" si="49"/>
        <v>62</v>
      </c>
      <c r="BA89" s="44">
        <f t="shared" si="49"/>
        <v>63</v>
      </c>
      <c r="BB89" s="44">
        <f t="shared" si="49"/>
        <v>63</v>
      </c>
    </row>
    <row r="90" spans="1:54" s="44" customFormat="1">
      <c r="A90" s="44" t="s">
        <v>23</v>
      </c>
      <c r="B90" s="44" t="s">
        <v>24</v>
      </c>
      <c r="C90" s="1">
        <f>C87</f>
        <v>3463</v>
      </c>
      <c r="D90" s="42">
        <f t="shared" si="40"/>
        <v>3488.8</v>
      </c>
      <c r="E90" s="42">
        <f t="shared" si="40"/>
        <v>3514.6000000000004</v>
      </c>
      <c r="F90" s="42">
        <f t="shared" si="40"/>
        <v>3540.4000000000005</v>
      </c>
      <c r="G90" s="42">
        <f t="shared" si="40"/>
        <v>3566.2000000000007</v>
      </c>
      <c r="H90" s="1">
        <f>H87</f>
        <v>3592</v>
      </c>
      <c r="I90" s="42">
        <f t="shared" si="41"/>
        <v>3582.6</v>
      </c>
      <c r="J90" s="42">
        <f t="shared" si="41"/>
        <v>3573.2</v>
      </c>
      <c r="K90" s="42">
        <f t="shared" si="41"/>
        <v>3563.7999999999997</v>
      </c>
      <c r="L90" s="42">
        <f t="shared" si="41"/>
        <v>3554.3999999999996</v>
      </c>
      <c r="M90" s="1">
        <f>M87</f>
        <v>3545</v>
      </c>
      <c r="N90" s="42">
        <f t="shared" si="42"/>
        <v>3567.4</v>
      </c>
      <c r="O90" s="42">
        <f t="shared" si="42"/>
        <v>3589.8</v>
      </c>
      <c r="P90" s="42">
        <f t="shared" si="42"/>
        <v>3612.2000000000003</v>
      </c>
      <c r="Q90" s="42">
        <f t="shared" si="42"/>
        <v>3634.6000000000004</v>
      </c>
      <c r="R90" s="1">
        <f>R87</f>
        <v>3657</v>
      </c>
      <c r="S90" s="42">
        <f t="shared" si="43"/>
        <v>3706.4</v>
      </c>
      <c r="T90" s="42">
        <f t="shared" si="43"/>
        <v>3755.8</v>
      </c>
      <c r="U90" s="42">
        <f t="shared" si="43"/>
        <v>3805.2000000000003</v>
      </c>
      <c r="V90" s="42">
        <f t="shared" si="43"/>
        <v>3854.6000000000004</v>
      </c>
      <c r="W90" s="1">
        <f>W87</f>
        <v>3904</v>
      </c>
      <c r="X90" s="42">
        <f t="shared" si="48"/>
        <v>3745.2</v>
      </c>
      <c r="Y90" s="42">
        <f t="shared" si="48"/>
        <v>3586.3999999999996</v>
      </c>
      <c r="Z90" s="42">
        <f t="shared" si="48"/>
        <v>3427.5999999999995</v>
      </c>
      <c r="AA90" s="42">
        <f t="shared" si="48"/>
        <v>3268.7999999999993</v>
      </c>
      <c r="AB90" s="1">
        <f>AB87</f>
        <v>3110</v>
      </c>
      <c r="AC90" s="42">
        <f t="shared" si="46"/>
        <v>3111</v>
      </c>
      <c r="AD90" s="42">
        <f t="shared" si="46"/>
        <v>3112</v>
      </c>
      <c r="AE90" s="42">
        <f t="shared" si="46"/>
        <v>3113</v>
      </c>
      <c r="AF90" s="42">
        <f t="shared" si="46"/>
        <v>3114</v>
      </c>
      <c r="AG90" s="1">
        <f t="shared" ref="AG90:BB90" si="50">AG87</f>
        <v>3115</v>
      </c>
      <c r="AH90" s="1">
        <f t="shared" si="50"/>
        <v>2906</v>
      </c>
      <c r="AI90" s="1">
        <f t="shared" si="50"/>
        <v>3005</v>
      </c>
      <c r="AJ90" s="1">
        <f t="shared" si="50"/>
        <v>3088</v>
      </c>
      <c r="AK90" s="1">
        <f t="shared" si="50"/>
        <v>3334</v>
      </c>
      <c r="AL90" s="1">
        <f t="shared" si="50"/>
        <v>3480</v>
      </c>
      <c r="AM90" s="1">
        <f t="shared" si="50"/>
        <v>3579</v>
      </c>
      <c r="AN90" s="1">
        <f t="shared" si="50"/>
        <v>3575</v>
      </c>
      <c r="AO90" s="1">
        <f t="shared" si="50"/>
        <v>3583</v>
      </c>
      <c r="AP90" s="1">
        <f t="shared" si="50"/>
        <v>3715</v>
      </c>
      <c r="AQ90" s="1">
        <f t="shared" si="50"/>
        <v>3700</v>
      </c>
      <c r="AR90" s="1">
        <f t="shared" si="50"/>
        <v>3710</v>
      </c>
      <c r="AS90" s="1">
        <f t="shared" si="50"/>
        <v>3730</v>
      </c>
      <c r="AT90" s="1">
        <f t="shared" si="50"/>
        <v>3826</v>
      </c>
      <c r="AU90" s="1">
        <f t="shared" si="50"/>
        <v>4059</v>
      </c>
      <c r="AV90" s="1">
        <f t="shared" si="50"/>
        <v>4098</v>
      </c>
      <c r="AW90" s="1">
        <f t="shared" si="50"/>
        <v>4192</v>
      </c>
      <c r="AX90" s="1">
        <f t="shared" si="50"/>
        <v>4062</v>
      </c>
      <c r="AY90" s="1">
        <f t="shared" si="50"/>
        <v>3886</v>
      </c>
      <c r="AZ90" s="1">
        <f t="shared" si="50"/>
        <v>3192</v>
      </c>
      <c r="BA90" s="1">
        <f t="shared" si="50"/>
        <v>3494</v>
      </c>
      <c r="BB90" s="1">
        <f t="shared" si="50"/>
        <v>3685</v>
      </c>
    </row>
    <row r="91" spans="1:54" s="44" customFormat="1">
      <c r="A91" s="44" t="s">
        <v>25</v>
      </c>
      <c r="B91" s="18" t="s">
        <v>87</v>
      </c>
      <c r="C91" s="72">
        <f>C$77/$R$77*$R91</f>
        <v>38.655315975890133</v>
      </c>
      <c r="D91" s="42">
        <f t="shared" si="40"/>
        <v>37.139215267777779</v>
      </c>
      <c r="E91" s="42">
        <f t="shared" si="40"/>
        <v>35.623114559665424</v>
      </c>
      <c r="F91" s="42">
        <f t="shared" si="40"/>
        <v>34.10701385155307</v>
      </c>
      <c r="G91" s="42">
        <f t="shared" si="40"/>
        <v>32.590913143440716</v>
      </c>
      <c r="H91" s="72">
        <f>H$77/$R$77*$R91</f>
        <v>31.074812435328347</v>
      </c>
      <c r="I91" s="42">
        <f t="shared" si="41"/>
        <v>27.27580719675581</v>
      </c>
      <c r="J91" s="42">
        <f t="shared" si="41"/>
        <v>23.476801958183273</v>
      </c>
      <c r="K91" s="42">
        <f t="shared" si="41"/>
        <v>19.677796719610736</v>
      </c>
      <c r="L91" s="42">
        <f t="shared" si="41"/>
        <v>15.878791481038199</v>
      </c>
      <c r="M91" s="72">
        <f>M$77/$R$77*$R91</f>
        <v>12.079786242465666</v>
      </c>
      <c r="N91" s="42">
        <f t="shared" si="42"/>
        <v>10.549679985086682</v>
      </c>
      <c r="O91" s="42">
        <f t="shared" si="42"/>
        <v>9.0195737277076979</v>
      </c>
      <c r="P91" s="42">
        <f t="shared" si="42"/>
        <v>7.4894674703287141</v>
      </c>
      <c r="Q91" s="42">
        <f t="shared" si="42"/>
        <v>5.9593612129497302</v>
      </c>
      <c r="R91" s="1">
        <f>R88*1/$D$22</f>
        <v>4.4292549555707446</v>
      </c>
      <c r="S91" s="42">
        <f t="shared" si="43"/>
        <v>4.7934381408065612</v>
      </c>
      <c r="T91" s="42">
        <f t="shared" si="43"/>
        <v>5.1576213260423778</v>
      </c>
      <c r="U91" s="42">
        <f t="shared" si="43"/>
        <v>5.5218045112781944</v>
      </c>
      <c r="V91" s="42">
        <f t="shared" si="43"/>
        <v>5.885987696514011</v>
      </c>
      <c r="W91" s="1">
        <f>W88*1/$D$22</f>
        <v>6.2501708817498285</v>
      </c>
      <c r="X91" s="42">
        <f t="shared" si="48"/>
        <v>6.451948051948051</v>
      </c>
      <c r="Y91" s="42">
        <f t="shared" si="48"/>
        <v>6.6537252221462735</v>
      </c>
      <c r="Z91" s="42">
        <f t="shared" si="48"/>
        <v>6.855502392344496</v>
      </c>
      <c r="AA91" s="42">
        <f t="shared" si="48"/>
        <v>7.0572795625427185</v>
      </c>
      <c r="AB91" s="1">
        <f>AB88*1/$D$22</f>
        <v>7.2590567327409428</v>
      </c>
      <c r="AC91" s="42">
        <f t="shared" si="46"/>
        <v>7.4313055365686935</v>
      </c>
      <c r="AD91" s="42">
        <f t="shared" si="46"/>
        <v>7.6035543403964443</v>
      </c>
      <c r="AE91" s="42">
        <f t="shared" si="46"/>
        <v>7.7758031442241951</v>
      </c>
      <c r="AF91" s="42">
        <f t="shared" si="46"/>
        <v>7.9480519480519458</v>
      </c>
      <c r="AG91" s="1">
        <f t="shared" ref="AG91:BB91" si="51">AG88*1/$D$22</f>
        <v>8.1203007518796984</v>
      </c>
      <c r="AH91" s="1">
        <f t="shared" si="51"/>
        <v>7.4559125085440865</v>
      </c>
      <c r="AI91" s="1">
        <f t="shared" si="51"/>
        <v>7.3820915926179076</v>
      </c>
      <c r="AJ91" s="1">
        <f t="shared" si="51"/>
        <v>7.4066985645933006</v>
      </c>
      <c r="AK91" s="1">
        <f t="shared" si="51"/>
        <v>7.6035543403964452</v>
      </c>
      <c r="AL91" s="1">
        <f t="shared" si="51"/>
        <v>8.2679425837320561</v>
      </c>
      <c r="AM91" s="1">
        <f t="shared" si="51"/>
        <v>8.932330827067668</v>
      </c>
      <c r="AN91" s="1">
        <f t="shared" si="51"/>
        <v>9.5967190704032799</v>
      </c>
      <c r="AO91" s="1">
        <f t="shared" si="51"/>
        <v>10.236500341763499</v>
      </c>
      <c r="AP91" s="1">
        <f t="shared" si="51"/>
        <v>10.900888585099111</v>
      </c>
      <c r="AQ91" s="1">
        <f t="shared" si="51"/>
        <v>11.565276828434722</v>
      </c>
      <c r="AR91" s="1">
        <f t="shared" si="51"/>
        <v>11.220779220779219</v>
      </c>
      <c r="AS91" s="1">
        <f t="shared" si="51"/>
        <v>12.746411483253587</v>
      </c>
      <c r="AT91" s="1">
        <f t="shared" si="51"/>
        <v>13.213943950786055</v>
      </c>
      <c r="AU91" s="1">
        <f t="shared" si="51"/>
        <v>13.558441558441556</v>
      </c>
      <c r="AV91" s="1">
        <f t="shared" si="51"/>
        <v>13.066302118933697</v>
      </c>
      <c r="AW91" s="1">
        <f t="shared" si="51"/>
        <v>13.50922761449077</v>
      </c>
      <c r="AX91" s="1">
        <f t="shared" si="51"/>
        <v>14.222829801777168</v>
      </c>
      <c r="AY91" s="1">
        <f t="shared" si="51"/>
        <v>14.321257689678742</v>
      </c>
      <c r="AZ91" s="1">
        <f t="shared" si="51"/>
        <v>13.90293916609706</v>
      </c>
      <c r="BA91" s="1">
        <f t="shared" si="51"/>
        <v>13.755297334244702</v>
      </c>
      <c r="BB91" s="1">
        <f t="shared" si="51"/>
        <v>13.65686944634313</v>
      </c>
    </row>
    <row r="92" spans="1:54" s="44" customFormat="1">
      <c r="A92" s="44" t="s">
        <v>25</v>
      </c>
      <c r="B92" s="44" t="s">
        <v>24</v>
      </c>
      <c r="C92" s="72">
        <f>C$77/$R$77*$R92</f>
        <v>549.81818181818176</v>
      </c>
      <c r="D92" s="42">
        <f t="shared" si="40"/>
        <v>528.25375494071136</v>
      </c>
      <c r="E92" s="42">
        <f t="shared" si="40"/>
        <v>506.68932806324102</v>
      </c>
      <c r="F92" s="42">
        <f t="shared" si="40"/>
        <v>485.12490118577068</v>
      </c>
      <c r="G92" s="42">
        <f t="shared" si="40"/>
        <v>463.56047430830034</v>
      </c>
      <c r="H92" s="72">
        <f>H$77/$R$77*$R92</f>
        <v>441.99604743083006</v>
      </c>
      <c r="I92" s="42">
        <f t="shared" si="41"/>
        <v>387.96047430830043</v>
      </c>
      <c r="J92" s="42">
        <f t="shared" si="41"/>
        <v>333.92490118577081</v>
      </c>
      <c r="K92" s="42">
        <f t="shared" si="41"/>
        <v>279.88932806324118</v>
      </c>
      <c r="L92" s="42">
        <f t="shared" si="41"/>
        <v>225.85375494071153</v>
      </c>
      <c r="M92" s="72">
        <f>M$77/$R$77*$R92</f>
        <v>171.81818181818181</v>
      </c>
      <c r="N92" s="41">
        <f t="shared" si="42"/>
        <v>150.05454545454546</v>
      </c>
      <c r="O92" s="41">
        <f t="shared" si="42"/>
        <v>128.29090909090911</v>
      </c>
      <c r="P92" s="41">
        <f t="shared" si="42"/>
        <v>106.52727272727275</v>
      </c>
      <c r="Q92" s="41">
        <f t="shared" si="42"/>
        <v>84.76363636363638</v>
      </c>
      <c r="R92" s="44">
        <f>R89</f>
        <v>63</v>
      </c>
      <c r="S92" s="42">
        <f t="shared" si="43"/>
        <v>63.2</v>
      </c>
      <c r="T92" s="42">
        <f t="shared" si="43"/>
        <v>63.400000000000006</v>
      </c>
      <c r="U92" s="42">
        <f t="shared" si="43"/>
        <v>63.600000000000009</v>
      </c>
      <c r="V92" s="42">
        <f t="shared" si="43"/>
        <v>63.800000000000011</v>
      </c>
      <c r="W92" s="44">
        <f>W89</f>
        <v>64</v>
      </c>
      <c r="X92" s="42">
        <f t="shared" si="48"/>
        <v>64.2</v>
      </c>
      <c r="Y92" s="42">
        <f t="shared" si="48"/>
        <v>64.400000000000006</v>
      </c>
      <c r="Z92" s="42">
        <f t="shared" si="48"/>
        <v>64.600000000000009</v>
      </c>
      <c r="AA92" s="42">
        <f t="shared" si="48"/>
        <v>64.800000000000011</v>
      </c>
      <c r="AB92" s="44">
        <f>AB89</f>
        <v>65</v>
      </c>
      <c r="AC92" s="42">
        <f t="shared" si="46"/>
        <v>68.400000000000006</v>
      </c>
      <c r="AD92" s="42">
        <f t="shared" si="46"/>
        <v>71.800000000000011</v>
      </c>
      <c r="AE92" s="42">
        <f t="shared" si="46"/>
        <v>75.200000000000017</v>
      </c>
      <c r="AF92" s="42">
        <f t="shared" si="46"/>
        <v>78.600000000000023</v>
      </c>
      <c r="AG92" s="44">
        <f t="shared" ref="AG92:BB92" si="52">AG89</f>
        <v>82</v>
      </c>
      <c r="AH92" s="44">
        <f t="shared" si="52"/>
        <v>82</v>
      </c>
      <c r="AI92" s="44">
        <f t="shared" si="52"/>
        <v>82</v>
      </c>
      <c r="AJ92" s="44">
        <f t="shared" si="52"/>
        <v>83</v>
      </c>
      <c r="AK92" s="44">
        <f t="shared" si="52"/>
        <v>74</v>
      </c>
      <c r="AL92" s="44">
        <f t="shared" si="52"/>
        <v>72</v>
      </c>
      <c r="AM92" s="44">
        <f t="shared" si="52"/>
        <v>71</v>
      </c>
      <c r="AN92" s="44">
        <f t="shared" si="52"/>
        <v>76</v>
      </c>
      <c r="AO92" s="44">
        <f t="shared" si="52"/>
        <v>76</v>
      </c>
      <c r="AP92" s="44">
        <f t="shared" si="52"/>
        <v>79</v>
      </c>
      <c r="AQ92" s="44">
        <f t="shared" si="52"/>
        <v>95</v>
      </c>
      <c r="AR92" s="44">
        <f t="shared" si="52"/>
        <v>97</v>
      </c>
      <c r="AS92" s="44">
        <f t="shared" si="52"/>
        <v>84</v>
      </c>
      <c r="AT92" s="44">
        <f t="shared" si="52"/>
        <v>75</v>
      </c>
      <c r="AU92" s="44">
        <f t="shared" si="52"/>
        <v>69</v>
      </c>
      <c r="AV92" s="44">
        <f t="shared" si="52"/>
        <v>65</v>
      </c>
      <c r="AW92" s="44">
        <f t="shared" si="52"/>
        <v>62</v>
      </c>
      <c r="AX92" s="44">
        <f t="shared" si="52"/>
        <v>62</v>
      </c>
      <c r="AY92" s="44">
        <f t="shared" si="52"/>
        <v>63</v>
      </c>
      <c r="AZ92" s="44">
        <f t="shared" si="52"/>
        <v>62</v>
      </c>
      <c r="BA92" s="44">
        <f t="shared" si="52"/>
        <v>63</v>
      </c>
      <c r="BB92" s="44">
        <f t="shared" si="52"/>
        <v>63</v>
      </c>
    </row>
    <row r="93" spans="1:54" s="10" customFormat="1">
      <c r="A93" s="10" t="s">
        <v>3</v>
      </c>
      <c r="C93" s="24">
        <f>SUM(C90:C92)</f>
        <v>4051.4734977940716</v>
      </c>
      <c r="D93" s="41">
        <f t="shared" si="40"/>
        <v>4054.192970208489</v>
      </c>
      <c r="E93" s="41">
        <f t="shared" si="40"/>
        <v>4056.9124426229064</v>
      </c>
      <c r="F93" s="41">
        <f t="shared" si="40"/>
        <v>4059.6319150373238</v>
      </c>
      <c r="G93" s="41">
        <f t="shared" si="40"/>
        <v>4062.3513874517412</v>
      </c>
      <c r="H93" s="24">
        <f>SUM(H90:H92)</f>
        <v>4065.0708598661586</v>
      </c>
      <c r="I93" s="41">
        <f t="shared" ref="I93:L100" si="53">H93+($M93-$H93)/5</f>
        <v>3997.8362815050564</v>
      </c>
      <c r="J93" s="41">
        <f t="shared" si="53"/>
        <v>3930.6017031439542</v>
      </c>
      <c r="K93" s="41">
        <f t="shared" si="53"/>
        <v>3863.367124782852</v>
      </c>
      <c r="L93" s="41">
        <f t="shared" si="53"/>
        <v>3796.1325464217498</v>
      </c>
      <c r="M93" s="24">
        <f>SUM(M90:M92)</f>
        <v>3728.8979680606476</v>
      </c>
      <c r="N93" s="41">
        <f t="shared" si="42"/>
        <v>3728.0042254396321</v>
      </c>
      <c r="O93" s="41">
        <f t="shared" si="42"/>
        <v>3727.1104828186167</v>
      </c>
      <c r="P93" s="41">
        <f t="shared" si="42"/>
        <v>3726.2167401976012</v>
      </c>
      <c r="Q93" s="41">
        <f t="shared" si="42"/>
        <v>3725.3229975765857</v>
      </c>
      <c r="R93" s="24">
        <f>SUM(R90:R92)</f>
        <v>3724.4292549555707</v>
      </c>
      <c r="S93" s="41">
        <f t="shared" si="43"/>
        <v>3774.3934381408067</v>
      </c>
      <c r="T93" s="41">
        <f t="shared" si="43"/>
        <v>3824.3576213260426</v>
      </c>
      <c r="U93" s="41">
        <f t="shared" si="43"/>
        <v>3874.3218045112785</v>
      </c>
      <c r="V93" s="41">
        <f t="shared" si="43"/>
        <v>3924.2859876965144</v>
      </c>
      <c r="W93" s="24">
        <f>SUM(W90:W92)</f>
        <v>3974.2501708817499</v>
      </c>
      <c r="X93" s="41">
        <f t="shared" si="48"/>
        <v>3815.8519480519481</v>
      </c>
      <c r="Y93" s="41">
        <f t="shared" si="48"/>
        <v>3657.4537252221462</v>
      </c>
      <c r="Z93" s="41">
        <f t="shared" si="48"/>
        <v>3499.0555023923444</v>
      </c>
      <c r="AA93" s="41">
        <f t="shared" si="48"/>
        <v>3340.6572795625425</v>
      </c>
      <c r="AB93" s="24">
        <f>SUM(AB90:AB92)</f>
        <v>3182.2590567327411</v>
      </c>
      <c r="AC93" s="41">
        <f t="shared" si="46"/>
        <v>3186.8313055365688</v>
      </c>
      <c r="AD93" s="41">
        <f t="shared" si="46"/>
        <v>3191.4035543403966</v>
      </c>
      <c r="AE93" s="41">
        <f t="shared" si="46"/>
        <v>3195.9758031442243</v>
      </c>
      <c r="AF93" s="41">
        <f t="shared" si="46"/>
        <v>3200.548051948052</v>
      </c>
      <c r="AG93" s="24">
        <f t="shared" ref="AG93:BB93" si="54">SUM(AG90:AG92)</f>
        <v>3205.1203007518798</v>
      </c>
      <c r="AH93" s="24">
        <f t="shared" si="54"/>
        <v>2995.4559125085439</v>
      </c>
      <c r="AI93" s="24">
        <f t="shared" si="54"/>
        <v>3094.3820915926181</v>
      </c>
      <c r="AJ93" s="24">
        <f t="shared" si="54"/>
        <v>3178.4066985645932</v>
      </c>
      <c r="AK93" s="24">
        <f t="shared" si="54"/>
        <v>3415.6035543403964</v>
      </c>
      <c r="AL93" s="24">
        <f t="shared" si="54"/>
        <v>3560.2679425837318</v>
      </c>
      <c r="AM93" s="24">
        <f t="shared" si="54"/>
        <v>3658.9323308270677</v>
      </c>
      <c r="AN93" s="24">
        <f t="shared" si="54"/>
        <v>3660.5967190704032</v>
      </c>
      <c r="AO93" s="24">
        <f t="shared" si="54"/>
        <v>3669.2365003417635</v>
      </c>
      <c r="AP93" s="24">
        <f t="shared" si="54"/>
        <v>3804.900888585099</v>
      </c>
      <c r="AQ93" s="24">
        <f t="shared" si="54"/>
        <v>3806.5652768284349</v>
      </c>
      <c r="AR93" s="24">
        <f t="shared" si="54"/>
        <v>3818.2207792207791</v>
      </c>
      <c r="AS93" s="24">
        <f t="shared" si="54"/>
        <v>3826.7464114832537</v>
      </c>
      <c r="AT93" s="24">
        <f t="shared" si="54"/>
        <v>3914.213943950786</v>
      </c>
      <c r="AU93" s="24">
        <f t="shared" si="54"/>
        <v>4141.5584415584417</v>
      </c>
      <c r="AV93" s="24">
        <f t="shared" si="54"/>
        <v>4176.0663021189339</v>
      </c>
      <c r="AW93" s="24">
        <f t="shared" si="54"/>
        <v>4267.5092276144906</v>
      </c>
      <c r="AX93" s="24">
        <f t="shared" si="54"/>
        <v>4138.2228298017772</v>
      </c>
      <c r="AY93" s="24">
        <f t="shared" si="54"/>
        <v>3963.3212576896785</v>
      </c>
      <c r="AZ93" s="24">
        <f t="shared" si="54"/>
        <v>3267.902939166097</v>
      </c>
      <c r="BA93" s="24">
        <f t="shared" si="54"/>
        <v>3570.7552973342449</v>
      </c>
      <c r="BB93" s="24">
        <f t="shared" si="54"/>
        <v>3761.6568694463431</v>
      </c>
    </row>
    <row r="94" spans="1:54" s="10" customFormat="1">
      <c r="D94" s="75"/>
      <c r="E94" s="75"/>
      <c r="F94" s="75"/>
      <c r="G94" s="75"/>
      <c r="I94" s="75"/>
      <c r="J94" s="75"/>
      <c r="K94" s="75"/>
      <c r="L94" s="75"/>
      <c r="R94" s="24"/>
      <c r="W94" s="24"/>
      <c r="AB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</row>
    <row r="95" spans="1:54" s="10" customFormat="1">
      <c r="A95" s="10" t="s">
        <v>23</v>
      </c>
      <c r="B95" s="10" t="s">
        <v>88</v>
      </c>
      <c r="C95" s="32">
        <f>C76/C87</f>
        <v>8.134565405717586</v>
      </c>
      <c r="D95" s="76">
        <f t="shared" ref="D95:G96" si="55">C95+($H95-$C95)/5</f>
        <v>8.1410598969571417</v>
      </c>
      <c r="E95" s="76">
        <f t="shared" si="55"/>
        <v>8.1475543881966974</v>
      </c>
      <c r="F95" s="76">
        <f t="shared" si="55"/>
        <v>8.1540488794362531</v>
      </c>
      <c r="G95" s="76">
        <f t="shared" si="55"/>
        <v>8.1605433706758088</v>
      </c>
      <c r="H95" s="32">
        <f>H76/H87</f>
        <v>8.1670378619153681</v>
      </c>
      <c r="I95" s="76">
        <f t="shared" si="53"/>
        <v>8.2199490483475266</v>
      </c>
      <c r="J95" s="76">
        <f t="shared" si="53"/>
        <v>8.2728602347796851</v>
      </c>
      <c r="K95" s="76">
        <f t="shared" si="53"/>
        <v>8.3257714212118437</v>
      </c>
      <c r="L95" s="76">
        <f t="shared" si="53"/>
        <v>8.3786826076440022</v>
      </c>
      <c r="M95" s="32">
        <f>M76/M87</f>
        <v>8.4315937940761643</v>
      </c>
      <c r="N95" s="76">
        <f t="shared" ref="N95:Q100" si="56">M95+($R95-$M95)/5</f>
        <v>8.2577716171586619</v>
      </c>
      <c r="O95" s="76">
        <f t="shared" si="56"/>
        <v>8.0839494402411596</v>
      </c>
      <c r="P95" s="76">
        <f t="shared" si="56"/>
        <v>7.9101272633236572</v>
      </c>
      <c r="Q95" s="76">
        <f t="shared" si="56"/>
        <v>7.7363050864061549</v>
      </c>
      <c r="R95" s="32">
        <f>R76/R87</f>
        <v>7.5624829094886517</v>
      </c>
      <c r="S95" s="76">
        <f t="shared" ref="S95:V96" si="57">R95+($W95-$R95)/5</f>
        <v>7.5498326390663308</v>
      </c>
      <c r="T95" s="76">
        <f t="shared" si="57"/>
        <v>7.53718236864401</v>
      </c>
      <c r="U95" s="76">
        <f t="shared" si="57"/>
        <v>7.5245320982216892</v>
      </c>
      <c r="V95" s="76">
        <f t="shared" si="57"/>
        <v>7.5118818277993684</v>
      </c>
      <c r="W95" s="32">
        <f>W76/W87</f>
        <v>7.4992315573770494</v>
      </c>
      <c r="X95" s="76">
        <f t="shared" ref="X95:AA96" si="58">W95+($AB95-$W95)/5</f>
        <v>7.601957593168521</v>
      </c>
      <c r="Y95" s="76">
        <f t="shared" si="58"/>
        <v>7.7046836289599927</v>
      </c>
      <c r="Z95" s="76">
        <f t="shared" si="58"/>
        <v>7.8074096647514644</v>
      </c>
      <c r="AA95" s="76">
        <f t="shared" si="58"/>
        <v>7.910135700542936</v>
      </c>
      <c r="AB95" s="32">
        <f>AB76/AB87</f>
        <v>8.0128617363344059</v>
      </c>
      <c r="AC95" s="76">
        <f>AB95+($AB95-$W95)/5</f>
        <v>8.1155877721258776</v>
      </c>
      <c r="AD95" s="76">
        <f>AC95+($AB95-$W95)/5</f>
        <v>8.2183138079173492</v>
      </c>
      <c r="AE95" s="76">
        <f>AD95+($AB95-$W95)/5</f>
        <v>8.3210398437088209</v>
      </c>
      <c r="AF95" s="76">
        <f>AE95+($AB95-$W95)/5</f>
        <v>8.4237658795002925</v>
      </c>
      <c r="AG95" s="32">
        <f t="shared" ref="AG95:BB95" si="59">AG76/AG87</f>
        <v>8.3977528089887645</v>
      </c>
      <c r="AH95" s="32">
        <f t="shared" si="59"/>
        <v>8.8189951823812809</v>
      </c>
      <c r="AI95" s="32">
        <f t="shared" si="59"/>
        <v>8.694841930116473</v>
      </c>
      <c r="AJ95" s="32">
        <f t="shared" si="59"/>
        <v>8.7056347150259068</v>
      </c>
      <c r="AK95" s="32">
        <f t="shared" si="59"/>
        <v>8.5437912417516504</v>
      </c>
      <c r="AL95" s="32">
        <f t="shared" si="59"/>
        <v>8.730747126436782</v>
      </c>
      <c r="AM95" s="32">
        <f t="shared" si="59"/>
        <v>8.8614138027381948</v>
      </c>
      <c r="AN95" s="32">
        <f t="shared" si="59"/>
        <v>8.8559440559440556</v>
      </c>
      <c r="AO95" s="32">
        <f t="shared" si="59"/>
        <v>9.1144292492324865</v>
      </c>
      <c r="AP95" s="32">
        <f t="shared" si="59"/>
        <v>9.1119784656796767</v>
      </c>
      <c r="AQ95" s="32">
        <f t="shared" si="59"/>
        <v>9.3486486486486484</v>
      </c>
      <c r="AR95" s="32">
        <f t="shared" si="59"/>
        <v>9.2299191374663074</v>
      </c>
      <c r="AS95" s="32">
        <f t="shared" si="59"/>
        <v>9.2975871313672922</v>
      </c>
      <c r="AT95" s="32">
        <f t="shared" si="59"/>
        <v>9.2929952953476214</v>
      </c>
      <c r="AU95" s="32">
        <f t="shared" si="59"/>
        <v>9.1330376940133036</v>
      </c>
      <c r="AV95" s="32">
        <f t="shared" si="59"/>
        <v>9.202537823328452</v>
      </c>
      <c r="AW95" s="32">
        <f t="shared" si="59"/>
        <v>9.2927003816793885</v>
      </c>
      <c r="AX95" s="32">
        <f t="shared" si="59"/>
        <v>9.4007877892663707</v>
      </c>
      <c r="AY95" s="32">
        <f t="shared" si="59"/>
        <v>9.5795162120432327</v>
      </c>
      <c r="AZ95" s="32">
        <f t="shared" si="59"/>
        <v>10.061090225563909</v>
      </c>
      <c r="BA95" s="32">
        <f t="shared" si="59"/>
        <v>10.172009158557527</v>
      </c>
      <c r="BB95" s="32">
        <f t="shared" si="59"/>
        <v>9.9454545454545453</v>
      </c>
    </row>
    <row r="96" spans="1:54" s="10" customFormat="1">
      <c r="A96" s="10" t="s">
        <v>25</v>
      </c>
      <c r="B96" s="10" t="s">
        <v>88</v>
      </c>
      <c r="C96" s="74">
        <v>3.75</v>
      </c>
      <c r="D96" s="76">
        <f t="shared" si="55"/>
        <v>3.75</v>
      </c>
      <c r="E96" s="76">
        <f t="shared" si="55"/>
        <v>3.75</v>
      </c>
      <c r="F96" s="76">
        <f t="shared" si="55"/>
        <v>3.75</v>
      </c>
      <c r="G96" s="76">
        <f t="shared" si="55"/>
        <v>3.75</v>
      </c>
      <c r="H96" s="74">
        <v>3.75</v>
      </c>
      <c r="I96" s="76">
        <f t="shared" si="53"/>
        <v>3.75</v>
      </c>
      <c r="J96" s="76">
        <f t="shared" si="53"/>
        <v>3.75</v>
      </c>
      <c r="K96" s="76">
        <f t="shared" si="53"/>
        <v>3.75</v>
      </c>
      <c r="L96" s="76">
        <f t="shared" si="53"/>
        <v>3.75</v>
      </c>
      <c r="M96" s="74">
        <v>3.75</v>
      </c>
      <c r="N96" s="76">
        <f t="shared" si="56"/>
        <v>3.7504161218055936</v>
      </c>
      <c r="O96" s="76">
        <f t="shared" si="56"/>
        <v>3.7508322436111872</v>
      </c>
      <c r="P96" s="76">
        <f t="shared" si="56"/>
        <v>3.7512483654167808</v>
      </c>
      <c r="Q96" s="76">
        <f t="shared" si="56"/>
        <v>3.7516644872223743</v>
      </c>
      <c r="R96" s="32">
        <f>R77/(R91+R92)</f>
        <v>3.7520806090279679</v>
      </c>
      <c r="S96" s="76">
        <f t="shared" si="57"/>
        <v>3.6707020057091806</v>
      </c>
      <c r="T96" s="76">
        <f t="shared" si="57"/>
        <v>3.5893234023903933</v>
      </c>
      <c r="U96" s="76">
        <f t="shared" si="57"/>
        <v>3.5079447990716059</v>
      </c>
      <c r="V96" s="76">
        <f t="shared" si="57"/>
        <v>3.4265661957528186</v>
      </c>
      <c r="W96" s="32">
        <f>W77/(W91+W92)</f>
        <v>3.3451875924340317</v>
      </c>
      <c r="X96" s="76">
        <f t="shared" si="58"/>
        <v>3.3708726771728794</v>
      </c>
      <c r="Y96" s="76">
        <f t="shared" si="58"/>
        <v>3.3965577619117271</v>
      </c>
      <c r="Z96" s="76">
        <f t="shared" si="58"/>
        <v>3.4222428466505748</v>
      </c>
      <c r="AA96" s="76">
        <f t="shared" si="58"/>
        <v>3.4479279313894224</v>
      </c>
      <c r="AB96" s="32">
        <f>AB77/(AB91+AB92)</f>
        <v>3.4736130161282692</v>
      </c>
      <c r="AC96" s="76">
        <f t="shared" ref="AC96:AF100" si="60">AB96+($AB96-$W96)/5</f>
        <v>3.4992981008671169</v>
      </c>
      <c r="AD96" s="76">
        <f t="shared" si="60"/>
        <v>3.5249831856059646</v>
      </c>
      <c r="AE96" s="76">
        <f t="shared" si="60"/>
        <v>3.5506682703448122</v>
      </c>
      <c r="AF96" s="76">
        <f t="shared" si="60"/>
        <v>3.5763533550836599</v>
      </c>
      <c r="AG96" s="32">
        <f t="shared" ref="AG96:BB96" si="61">AG77/(AG91+AG92)</f>
        <v>3.3399799766394129</v>
      </c>
      <c r="AH96" s="32">
        <f t="shared" si="61"/>
        <v>3.4989302688081665</v>
      </c>
      <c r="AI96" s="32">
        <f t="shared" si="61"/>
        <v>3.4346925041677498</v>
      </c>
      <c r="AJ96" s="32">
        <f t="shared" si="61"/>
        <v>3.3515215665519982</v>
      </c>
      <c r="AK96" s="32">
        <f t="shared" si="61"/>
        <v>3.7253279278977436</v>
      </c>
      <c r="AL96" s="32">
        <f t="shared" si="61"/>
        <v>3.6378159275154984</v>
      </c>
      <c r="AM96" s="32">
        <f t="shared" si="61"/>
        <v>3.4529207036026714</v>
      </c>
      <c r="AN96" s="32">
        <f t="shared" si="61"/>
        <v>3.3646149423451623</v>
      </c>
      <c r="AO96" s="32">
        <f t="shared" si="61"/>
        <v>3.6179575790241274</v>
      </c>
      <c r="AP96" s="32">
        <f t="shared" si="61"/>
        <v>3.8041893176202244</v>
      </c>
      <c r="AQ96" s="32">
        <f t="shared" si="61"/>
        <v>3.4532824476443991</v>
      </c>
      <c r="AR96" s="32">
        <f t="shared" si="61"/>
        <v>3.4928597143885756</v>
      </c>
      <c r="AS96" s="32">
        <f t="shared" si="61"/>
        <v>3.9174579624134522</v>
      </c>
      <c r="AT96" s="32">
        <f t="shared" si="61"/>
        <v>3.7635773340461967</v>
      </c>
      <c r="AU96" s="32">
        <f t="shared" si="61"/>
        <v>3.7306905773163441</v>
      </c>
      <c r="AV96" s="32">
        <f t="shared" si="61"/>
        <v>3.3945504373484168</v>
      </c>
      <c r="AW96" s="32">
        <f t="shared" si="61"/>
        <v>3.4962614284421112</v>
      </c>
      <c r="AX96" s="32">
        <f t="shared" si="61"/>
        <v>3.502887529816884</v>
      </c>
      <c r="AY96" s="32">
        <f t="shared" si="61"/>
        <v>3.5177906843114894</v>
      </c>
      <c r="AZ96" s="32">
        <f t="shared" si="61"/>
        <v>3.728445869279398</v>
      </c>
      <c r="BA96" s="32">
        <f t="shared" si="61"/>
        <v>3.8433829357128229</v>
      </c>
      <c r="BB96" s="32">
        <f t="shared" si="61"/>
        <v>3.8613630081409549</v>
      </c>
    </row>
    <row r="97" spans="1:54" s="10" customFormat="1">
      <c r="A97" s="10" t="s">
        <v>98</v>
      </c>
      <c r="B97" s="10" t="s">
        <v>88</v>
      </c>
      <c r="C97" s="73">
        <f>C78/C93</f>
        <v>7.4980127641313903</v>
      </c>
      <c r="D97" s="73">
        <f t="shared" ref="D97:BB97" si="62">D78/D93</f>
        <v>7.5291433398223901</v>
      </c>
      <c r="E97" s="73">
        <f t="shared" si="62"/>
        <v>7.5602321799605354</v>
      </c>
      <c r="F97" s="73">
        <f t="shared" si="62"/>
        <v>7.5912793684194542</v>
      </c>
      <c r="G97" s="73">
        <f t="shared" si="62"/>
        <v>7.6222849888481825</v>
      </c>
      <c r="H97" s="73">
        <f t="shared" si="62"/>
        <v>7.6532491246719179</v>
      </c>
      <c r="I97" s="73">
        <f t="shared" si="62"/>
        <v>7.7553951229657887</v>
      </c>
      <c r="J97" s="73">
        <f t="shared" si="62"/>
        <v>7.8610356209038583</v>
      </c>
      <c r="K97" s="73">
        <f t="shared" si="62"/>
        <v>7.9703530639042608</v>
      </c>
      <c r="L97" s="73">
        <f t="shared" si="62"/>
        <v>8.0835428227934081</v>
      </c>
      <c r="M97" s="73">
        <f t="shared" si="62"/>
        <v>8.2008143590757108</v>
      </c>
      <c r="N97" s="73">
        <f t="shared" si="62"/>
        <v>8.0594865732634169</v>
      </c>
      <c r="O97" s="73">
        <f t="shared" si="62"/>
        <v>7.9180910080459794</v>
      </c>
      <c r="P97" s="73">
        <f t="shared" si="62"/>
        <v>7.7766276146522078</v>
      </c>
      <c r="Q97" s="73">
        <f t="shared" si="62"/>
        <v>7.6350963442641078</v>
      </c>
      <c r="R97" s="73">
        <f>R78/R93</f>
        <v>7.493497148016826</v>
      </c>
      <c r="S97" s="73">
        <f t="shared" si="62"/>
        <v>7.4792414894366059</v>
      </c>
      <c r="T97" s="73">
        <f t="shared" si="62"/>
        <v>7.4653583233935672</v>
      </c>
      <c r="U97" s="73">
        <f t="shared" si="62"/>
        <v>7.4518332386284225</v>
      </c>
      <c r="V97" s="73">
        <f t="shared" si="62"/>
        <v>7.4386525578210527</v>
      </c>
      <c r="W97" s="73">
        <f t="shared" si="62"/>
        <v>7.4258032914551775</v>
      </c>
      <c r="X97" s="73">
        <f t="shared" si="62"/>
        <v>7.5065281331533598</v>
      </c>
      <c r="Y97" s="73">
        <f t="shared" si="62"/>
        <v>7.5942450914571626</v>
      </c>
      <c r="Z97" s="73">
        <f t="shared" si="62"/>
        <v>7.6899037416248754</v>
      </c>
      <c r="AA97" s="73">
        <f t="shared" si="62"/>
        <v>7.7946337564474195</v>
      </c>
      <c r="AB97" s="73">
        <f t="shared" si="62"/>
        <v>7.9097897283834993</v>
      </c>
      <c r="AC97" s="73">
        <f t="shared" si="62"/>
        <v>7.9793367022038009</v>
      </c>
      <c r="AD97" s="73">
        <f t="shared" si="62"/>
        <v>8.0486843993970982</v>
      </c>
      <c r="AE97" s="73">
        <f t="shared" si="62"/>
        <v>8.1178336752348716</v>
      </c>
      <c r="AF97" s="73">
        <f t="shared" si="62"/>
        <v>8.1867853801012966</v>
      </c>
      <c r="AG97" s="73">
        <f t="shared" si="62"/>
        <v>8.2555403595281049</v>
      </c>
      <c r="AH97" s="73">
        <f t="shared" si="62"/>
        <v>8.6601174437836121</v>
      </c>
      <c r="AI97" s="73">
        <f t="shared" si="62"/>
        <v>8.5429010437409882</v>
      </c>
      <c r="AJ97" s="73">
        <f t="shared" si="62"/>
        <v>8.5533421548216371</v>
      </c>
      <c r="AK97" s="73">
        <f t="shared" si="62"/>
        <v>8.4286714022815161</v>
      </c>
      <c r="AL97" s="73">
        <f t="shared" si="62"/>
        <v>8.6159245581215327</v>
      </c>
      <c r="AM97" s="73">
        <f t="shared" si="62"/>
        <v>8.7432609044094374</v>
      </c>
      <c r="AN97" s="73">
        <f t="shared" si="62"/>
        <v>8.7275388281812951</v>
      </c>
      <c r="AO97" s="73">
        <f t="shared" si="62"/>
        <v>8.9852480201069547</v>
      </c>
      <c r="AP97" s="73">
        <f t="shared" si="62"/>
        <v>8.9865678505794406</v>
      </c>
      <c r="AQ97" s="73">
        <f t="shared" si="62"/>
        <v>9.1836071255098535</v>
      </c>
      <c r="AR97" s="73">
        <f t="shared" si="62"/>
        <v>9.0673122383104943</v>
      </c>
      <c r="AS97" s="73">
        <f t="shared" si="62"/>
        <v>9.1615686617737158</v>
      </c>
      <c r="AT97" s="73">
        <f t="shared" si="62"/>
        <v>9.1683797855407185</v>
      </c>
      <c r="AU97" s="73">
        <f t="shared" si="62"/>
        <v>9.025346503606146</v>
      </c>
      <c r="AV97" s="73">
        <f t="shared" si="62"/>
        <v>9.0939648110305367</v>
      </c>
      <c r="AW97" s="73">
        <f t="shared" si="62"/>
        <v>9.1901383003975745</v>
      </c>
      <c r="AX97" s="73">
        <f t="shared" si="62"/>
        <v>9.2921530766969163</v>
      </c>
      <c r="AY97" s="73">
        <f t="shared" si="62"/>
        <v>9.4612567495622457</v>
      </c>
      <c r="AZ97" s="73">
        <f t="shared" si="62"/>
        <v>9.9140031399669777</v>
      </c>
      <c r="BA97" s="73">
        <f t="shared" si="62"/>
        <v>10.03597194877886</v>
      </c>
      <c r="BB97" s="73">
        <f t="shared" si="62"/>
        <v>9.8214699751276697</v>
      </c>
    </row>
    <row r="98" spans="1:54" s="44" customFormat="1">
      <c r="D98" s="76"/>
      <c r="E98" s="76"/>
      <c r="F98" s="76"/>
      <c r="G98" s="76"/>
      <c r="I98" s="76"/>
      <c r="J98" s="76"/>
      <c r="K98" s="76"/>
      <c r="L98" s="76"/>
    </row>
    <row r="99" spans="1:54" s="10" customFormat="1">
      <c r="A99" s="10" t="s">
        <v>23</v>
      </c>
      <c r="B99" s="10" t="s">
        <v>90</v>
      </c>
      <c r="C99" s="32">
        <f>C80/C90</f>
        <v>0.11666185388391569</v>
      </c>
      <c r="D99" s="76">
        <f t="shared" ref="D99:G100" si="63">C99+($H99-$C99)/5</f>
        <v>0.11677046306258912</v>
      </c>
      <c r="E99" s="76">
        <f t="shared" si="63"/>
        <v>0.11687907224126255</v>
      </c>
      <c r="F99" s="76">
        <f t="shared" si="63"/>
        <v>0.11698768141993598</v>
      </c>
      <c r="G99" s="76">
        <f t="shared" si="63"/>
        <v>0.11709629059860942</v>
      </c>
      <c r="H99" s="32">
        <f>H80/H90</f>
        <v>0.11720489977728285</v>
      </c>
      <c r="I99" s="76">
        <f t="shared" si="53"/>
        <v>0.11785418780490103</v>
      </c>
      <c r="J99" s="76">
        <f t="shared" si="53"/>
        <v>0.11850347583251922</v>
      </c>
      <c r="K99" s="76">
        <f t="shared" si="53"/>
        <v>0.1191527638601374</v>
      </c>
      <c r="L99" s="76">
        <f t="shared" si="53"/>
        <v>0.11980205188775558</v>
      </c>
      <c r="M99" s="32">
        <f>M80/M90</f>
        <v>0.12045133991537377</v>
      </c>
      <c r="N99" s="76">
        <f t="shared" si="56"/>
        <v>0.11840099536680818</v>
      </c>
      <c r="O99" s="76">
        <f t="shared" si="56"/>
        <v>0.11635065081824258</v>
      </c>
      <c r="P99" s="76">
        <f t="shared" si="56"/>
        <v>0.11430030626967699</v>
      </c>
      <c r="Q99" s="76">
        <f t="shared" si="56"/>
        <v>0.1122499617211114</v>
      </c>
      <c r="R99" s="32">
        <f>R80/R90</f>
        <v>0.1101996171725458</v>
      </c>
      <c r="S99" s="76">
        <f t="shared" ref="S99:V100" si="64">R99+($W99-$R99)/5</f>
        <v>0.11008592324623336</v>
      </c>
      <c r="T99" s="76">
        <f t="shared" si="64"/>
        <v>0.10997222931992091</v>
      </c>
      <c r="U99" s="76">
        <f t="shared" si="64"/>
        <v>0.10985853539360847</v>
      </c>
      <c r="V99" s="76">
        <f t="shared" si="64"/>
        <v>0.10974484146729603</v>
      </c>
      <c r="W99" s="32">
        <f>W80/W90</f>
        <v>0.1096311475409836</v>
      </c>
      <c r="X99" s="76">
        <f t="shared" ref="X99:AA100" si="65">W99+($AB99-$W99)/5</f>
        <v>0.11002003057297981</v>
      </c>
      <c r="Y99" s="76">
        <f t="shared" si="65"/>
        <v>0.11040891360497601</v>
      </c>
      <c r="Z99" s="76">
        <f t="shared" si="65"/>
        <v>0.11079779663697222</v>
      </c>
      <c r="AA99" s="76">
        <f t="shared" si="65"/>
        <v>0.11118667966896842</v>
      </c>
      <c r="AB99" s="32">
        <f>AB80/AB90</f>
        <v>0.11157556270096464</v>
      </c>
      <c r="AC99" s="76">
        <f t="shared" si="60"/>
        <v>0.11196444573296084</v>
      </c>
      <c r="AD99" s="76">
        <f t="shared" si="60"/>
        <v>0.11235332876495704</v>
      </c>
      <c r="AE99" s="76">
        <f t="shared" si="60"/>
        <v>0.11274221179695325</v>
      </c>
      <c r="AF99" s="76">
        <f t="shared" si="60"/>
        <v>0.11313109482894945</v>
      </c>
      <c r="AG99" s="32">
        <f t="shared" ref="AG99:BB99" si="66">AG80/AG90</f>
        <v>0.12199036918138041</v>
      </c>
      <c r="AH99" s="32">
        <f t="shared" si="66"/>
        <v>0.12904335856847901</v>
      </c>
      <c r="AI99" s="32">
        <f t="shared" si="66"/>
        <v>0.12978369384359401</v>
      </c>
      <c r="AJ99" s="32">
        <f t="shared" si="66"/>
        <v>0.13115284974093264</v>
      </c>
      <c r="AK99" s="32">
        <f t="shared" si="66"/>
        <v>0.13227354529094182</v>
      </c>
      <c r="AL99" s="32">
        <f t="shared" si="66"/>
        <v>0.13160919540229885</v>
      </c>
      <c r="AM99" s="32">
        <f t="shared" si="66"/>
        <v>0.13104219055602123</v>
      </c>
      <c r="AN99" s="32">
        <f t="shared" si="66"/>
        <v>0.13286713286713286</v>
      </c>
      <c r="AO99" s="32">
        <f t="shared" si="66"/>
        <v>0.13257047167178343</v>
      </c>
      <c r="AP99" s="32">
        <f t="shared" si="66"/>
        <v>0.13189771197846567</v>
      </c>
      <c r="AQ99" s="32">
        <f t="shared" si="66"/>
        <v>0.13621621621621621</v>
      </c>
      <c r="AR99" s="32">
        <f t="shared" si="66"/>
        <v>0.13477088948787061</v>
      </c>
      <c r="AS99" s="32">
        <f t="shared" si="66"/>
        <v>0.13404825737265416</v>
      </c>
      <c r="AT99" s="32">
        <f t="shared" si="66"/>
        <v>0.13486670151594354</v>
      </c>
      <c r="AU99" s="32">
        <f t="shared" si="66"/>
        <v>0.13180586351318058</v>
      </c>
      <c r="AV99" s="32">
        <f t="shared" si="66"/>
        <v>0.13372376769155686</v>
      </c>
      <c r="AW99" s="32">
        <f t="shared" si="66"/>
        <v>0.13430343511450382</v>
      </c>
      <c r="AX99" s="32">
        <f t="shared" si="66"/>
        <v>0.13367799113737075</v>
      </c>
      <c r="AY99" s="32">
        <f t="shared" si="66"/>
        <v>0.13484302624806999</v>
      </c>
      <c r="AZ99" s="32">
        <f t="shared" si="66"/>
        <v>0.13659147869674185</v>
      </c>
      <c r="BA99" s="32">
        <f t="shared" si="66"/>
        <v>0.13623354321694334</v>
      </c>
      <c r="BB99" s="32">
        <f t="shared" si="66"/>
        <v>0.13378561736770692</v>
      </c>
    </row>
    <row r="100" spans="1:54" s="10" customFormat="1">
      <c r="A100" s="10" t="s">
        <v>25</v>
      </c>
      <c r="B100" s="10" t="s">
        <v>90</v>
      </c>
      <c r="C100" s="74">
        <v>0.44</v>
      </c>
      <c r="D100" s="76">
        <f t="shared" si="63"/>
        <v>0.44</v>
      </c>
      <c r="E100" s="76">
        <f t="shared" si="63"/>
        <v>0.44</v>
      </c>
      <c r="F100" s="76">
        <f t="shared" si="63"/>
        <v>0.44</v>
      </c>
      <c r="G100" s="76">
        <f t="shared" si="63"/>
        <v>0.44</v>
      </c>
      <c r="H100" s="74">
        <v>0.44</v>
      </c>
      <c r="I100" s="76">
        <f t="shared" si="53"/>
        <v>0.44</v>
      </c>
      <c r="J100" s="76">
        <f t="shared" si="53"/>
        <v>0.44</v>
      </c>
      <c r="K100" s="76">
        <f t="shared" si="53"/>
        <v>0.44</v>
      </c>
      <c r="L100" s="76">
        <f t="shared" si="53"/>
        <v>0.44</v>
      </c>
      <c r="M100" s="74">
        <v>0.44</v>
      </c>
      <c r="N100" s="76">
        <f t="shared" si="56"/>
        <v>0.4409821488307028</v>
      </c>
      <c r="O100" s="76">
        <f t="shared" si="56"/>
        <v>0.4419642976614056</v>
      </c>
      <c r="P100" s="76">
        <f t="shared" si="56"/>
        <v>0.4429464464921084</v>
      </c>
      <c r="Q100" s="76">
        <f t="shared" si="56"/>
        <v>0.4439285953228112</v>
      </c>
      <c r="R100" s="32">
        <f>R81/(R91+R92)</f>
        <v>0.444910744153514</v>
      </c>
      <c r="S100" s="76">
        <f t="shared" si="64"/>
        <v>0.44133764023602051</v>
      </c>
      <c r="T100" s="76">
        <f t="shared" si="64"/>
        <v>0.43776453631852702</v>
      </c>
      <c r="U100" s="76">
        <f t="shared" si="64"/>
        <v>0.43419143240103353</v>
      </c>
      <c r="V100" s="76">
        <f t="shared" si="64"/>
        <v>0.43061832848354004</v>
      </c>
      <c r="W100" s="32">
        <f>W81/(W91+W92)</f>
        <v>0.4270452245660466</v>
      </c>
      <c r="X100" s="76">
        <f t="shared" si="65"/>
        <v>0.4246707537435529</v>
      </c>
      <c r="Y100" s="76">
        <f t="shared" si="65"/>
        <v>0.4222962829210592</v>
      </c>
      <c r="Z100" s="76">
        <f t="shared" si="65"/>
        <v>0.41992181209856549</v>
      </c>
      <c r="AA100" s="76">
        <f t="shared" si="65"/>
        <v>0.41754734127607179</v>
      </c>
      <c r="AB100" s="32">
        <f>AB81/(AB91+AB92)</f>
        <v>0.41517287045357804</v>
      </c>
      <c r="AC100" s="76">
        <f t="shared" si="60"/>
        <v>0.41279839963108433</v>
      </c>
      <c r="AD100" s="76">
        <f t="shared" si="60"/>
        <v>0.41042392880859063</v>
      </c>
      <c r="AE100" s="76">
        <f t="shared" si="60"/>
        <v>0.40804945798609693</v>
      </c>
      <c r="AF100" s="76">
        <f t="shared" si="60"/>
        <v>0.40567498716360323</v>
      </c>
      <c r="AG100" s="32">
        <f t="shared" ref="AG100:BB100" si="67">AG81/(AG91+AG92)</f>
        <v>0.36617720674119808</v>
      </c>
      <c r="AH100" s="32">
        <f t="shared" si="67"/>
        <v>0.38007549245839511</v>
      </c>
      <c r="AI100" s="32">
        <f t="shared" si="67"/>
        <v>0.38038939785571174</v>
      </c>
      <c r="AJ100" s="32">
        <f t="shared" si="67"/>
        <v>0.38713945488224399</v>
      </c>
      <c r="AK100" s="32">
        <f t="shared" si="67"/>
        <v>0.41664851825172133</v>
      </c>
      <c r="AL100" s="32">
        <f t="shared" si="67"/>
        <v>0.39866475917978067</v>
      </c>
      <c r="AM100" s="32">
        <f t="shared" si="67"/>
        <v>0.37531746778289904</v>
      </c>
      <c r="AN100" s="32">
        <f t="shared" si="67"/>
        <v>0.37384610470501806</v>
      </c>
      <c r="AO100" s="32">
        <f t="shared" si="67"/>
        <v>0.38266859008909038</v>
      </c>
      <c r="AP100" s="32">
        <f t="shared" si="67"/>
        <v>0.37819425964645503</v>
      </c>
      <c r="AQ100" s="32">
        <f t="shared" si="67"/>
        <v>0.32843718931400534</v>
      </c>
      <c r="AR100" s="32">
        <f t="shared" si="67"/>
        <v>0.33265330613224531</v>
      </c>
      <c r="AS100" s="32">
        <f t="shared" si="67"/>
        <v>0.3927794263105836</v>
      </c>
      <c r="AT100" s="32">
        <f>AT81/(AT91+AT92)</f>
        <v>0.41943482337261828</v>
      </c>
      <c r="AU100" s="32">
        <f t="shared" si="67"/>
        <v>0.44816737454774264</v>
      </c>
      <c r="AV100" s="32">
        <f t="shared" si="67"/>
        <v>0.46114647450770946</v>
      </c>
      <c r="AW100" s="32">
        <f t="shared" si="67"/>
        <v>0.47676292206028786</v>
      </c>
      <c r="AX100" s="32">
        <f t="shared" si="67"/>
        <v>0.48541887117312627</v>
      </c>
      <c r="AY100" s="32">
        <f t="shared" si="67"/>
        <v>0.49145605148469335</v>
      </c>
      <c r="AZ100" s="32">
        <f t="shared" si="67"/>
        <v>0.50063937467355879</v>
      </c>
      <c r="BA100" s="32">
        <f t="shared" si="67"/>
        <v>0.48205141905550658</v>
      </c>
      <c r="BB100" s="32">
        <f t="shared" si="67"/>
        <v>0.48267037601761936</v>
      </c>
    </row>
    <row r="101" spans="1:54" s="10" customFormat="1">
      <c r="R101" s="32"/>
      <c r="W101" s="32"/>
      <c r="AB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</row>
    <row r="102" spans="1:54" s="44" customFormat="1">
      <c r="A102" s="44" t="s">
        <v>28</v>
      </c>
    </row>
    <row r="103" spans="1:54" s="44" customFormat="1">
      <c r="C103" s="10">
        <v>1960</v>
      </c>
      <c r="D103" s="10"/>
      <c r="E103" s="10"/>
      <c r="F103" s="10"/>
      <c r="G103" s="10"/>
      <c r="H103" s="10">
        <v>1965</v>
      </c>
      <c r="M103" s="44">
        <v>1970</v>
      </c>
      <c r="R103" s="44">
        <v>1975</v>
      </c>
      <c r="W103" s="44">
        <v>1980</v>
      </c>
      <c r="AB103" s="44">
        <v>1985</v>
      </c>
      <c r="AG103" s="44">
        <v>1990</v>
      </c>
      <c r="AH103" s="44">
        <v>1991</v>
      </c>
      <c r="AI103" s="44">
        <v>1992</v>
      </c>
      <c r="AJ103" s="44">
        <v>1993</v>
      </c>
      <c r="AK103" s="44">
        <v>1994</v>
      </c>
      <c r="AL103" s="44">
        <v>1995</v>
      </c>
      <c r="AM103" s="44">
        <v>1996</v>
      </c>
      <c r="AN103" s="44">
        <v>1997</v>
      </c>
      <c r="AO103" s="44">
        <v>1998</v>
      </c>
      <c r="AP103" s="44">
        <v>1999</v>
      </c>
      <c r="AQ103" s="44">
        <v>2000</v>
      </c>
      <c r="AR103" s="44">
        <v>2001</v>
      </c>
      <c r="AS103" s="44">
        <v>2002</v>
      </c>
      <c r="AT103" s="44">
        <v>2003</v>
      </c>
      <c r="AU103" s="44">
        <v>2004</v>
      </c>
      <c r="AV103" s="44">
        <v>2005</v>
      </c>
      <c r="AW103" s="44">
        <v>2006</v>
      </c>
      <c r="AX103" s="44">
        <v>2007</v>
      </c>
      <c r="AY103" s="44">
        <v>2008</v>
      </c>
      <c r="AZ103" s="44">
        <v>2009</v>
      </c>
      <c r="BA103" s="44">
        <v>2010</v>
      </c>
      <c r="BB103" s="44">
        <v>2011</v>
      </c>
    </row>
    <row r="104" spans="1:54" s="44" customFormat="1">
      <c r="A104" s="44" t="s">
        <v>29</v>
      </c>
      <c r="C104" s="44">
        <v>75</v>
      </c>
      <c r="D104" s="18" t="s">
        <v>91</v>
      </c>
      <c r="H104" s="44">
        <v>42</v>
      </c>
      <c r="M104" s="44">
        <v>34</v>
      </c>
      <c r="R104" s="44">
        <v>24</v>
      </c>
      <c r="W104" s="44">
        <v>18</v>
      </c>
      <c r="AB104" s="44">
        <v>17</v>
      </c>
      <c r="AG104" s="44">
        <v>24</v>
      </c>
      <c r="AH104" s="44">
        <v>28</v>
      </c>
      <c r="AI104" s="44">
        <v>29</v>
      </c>
      <c r="AJ104" s="44">
        <v>28</v>
      </c>
      <c r="AK104" s="44">
        <v>34</v>
      </c>
      <c r="AL104" s="44">
        <v>35</v>
      </c>
      <c r="AM104" s="44">
        <v>37</v>
      </c>
      <c r="AN104" s="44">
        <v>41</v>
      </c>
      <c r="AO104" s="44">
        <v>43</v>
      </c>
      <c r="AP104" s="44">
        <v>48</v>
      </c>
      <c r="AQ104" s="44">
        <v>52</v>
      </c>
      <c r="AR104" s="44">
        <v>54</v>
      </c>
      <c r="AS104" s="44">
        <v>61</v>
      </c>
      <c r="AT104" s="44">
        <v>64</v>
      </c>
      <c r="AU104" s="44">
        <v>67</v>
      </c>
      <c r="AV104" s="44">
        <v>69</v>
      </c>
      <c r="AW104" s="44">
        <v>74</v>
      </c>
      <c r="AX104" s="44">
        <v>84</v>
      </c>
      <c r="AY104" s="44">
        <v>88</v>
      </c>
      <c r="AZ104" s="44">
        <v>90</v>
      </c>
      <c r="BA104" s="44">
        <v>93</v>
      </c>
      <c r="BB104" s="44">
        <v>89</v>
      </c>
    </row>
    <row r="105" spans="1:54" s="44" customFormat="1">
      <c r="A105" s="44" t="s">
        <v>30</v>
      </c>
      <c r="C105" s="44">
        <v>391</v>
      </c>
      <c r="H105" s="44">
        <v>395</v>
      </c>
      <c r="M105" s="44">
        <v>407</v>
      </c>
      <c r="R105" s="44">
        <v>423</v>
      </c>
      <c r="W105" s="44">
        <v>385</v>
      </c>
      <c r="AB105" s="44">
        <v>451</v>
      </c>
      <c r="AG105" s="44">
        <v>537</v>
      </c>
      <c r="AH105" s="44">
        <v>527</v>
      </c>
      <c r="AI105" s="44">
        <v>525</v>
      </c>
      <c r="AJ105" s="44">
        <v>522</v>
      </c>
      <c r="AK105" s="44">
        <v>532</v>
      </c>
      <c r="AL105" s="44">
        <v>537</v>
      </c>
      <c r="AM105" s="44">
        <v>543</v>
      </c>
      <c r="AN105" s="44">
        <v>558</v>
      </c>
      <c r="AO105" s="44">
        <v>566</v>
      </c>
      <c r="AP105" s="44">
        <v>578</v>
      </c>
      <c r="AQ105" s="44">
        <v>595</v>
      </c>
      <c r="AR105" s="44">
        <v>608</v>
      </c>
      <c r="AS105" s="44">
        <v>621</v>
      </c>
      <c r="AT105" s="44">
        <v>630</v>
      </c>
      <c r="AU105" s="44">
        <v>642</v>
      </c>
      <c r="AV105" s="44">
        <v>646</v>
      </c>
      <c r="AW105" s="44">
        <v>652</v>
      </c>
      <c r="AX105" s="44">
        <v>657</v>
      </c>
      <c r="AY105" s="44">
        <v>674</v>
      </c>
      <c r="AZ105" s="44">
        <v>685</v>
      </c>
      <c r="BA105" s="44">
        <v>666</v>
      </c>
      <c r="BB105" s="44">
        <v>655</v>
      </c>
    </row>
    <row r="106" spans="1:54" s="44" customFormat="1">
      <c r="A106" s="44" t="s">
        <v>31</v>
      </c>
      <c r="C106" s="44" t="s">
        <v>21</v>
      </c>
      <c r="H106" s="44" t="s">
        <v>21</v>
      </c>
      <c r="M106" s="44" t="s">
        <v>21</v>
      </c>
      <c r="R106" s="44">
        <v>173</v>
      </c>
      <c r="W106" s="44">
        <v>179</v>
      </c>
      <c r="AB106" s="44">
        <v>183</v>
      </c>
      <c r="AG106" s="44">
        <v>213</v>
      </c>
      <c r="AH106" s="44">
        <v>215</v>
      </c>
      <c r="AI106" s="44">
        <v>219</v>
      </c>
      <c r="AJ106" s="44">
        <v>224</v>
      </c>
      <c r="AK106" s="44">
        <v>231</v>
      </c>
      <c r="AL106" s="44">
        <v>238</v>
      </c>
      <c r="AM106" s="44">
        <v>242</v>
      </c>
      <c r="AN106" s="44">
        <v>251</v>
      </c>
      <c r="AO106" s="44">
        <v>259</v>
      </c>
      <c r="AP106" s="44">
        <v>266</v>
      </c>
      <c r="AQ106" s="44">
        <v>271</v>
      </c>
      <c r="AR106" s="44">
        <v>277</v>
      </c>
      <c r="AS106" s="44">
        <v>284</v>
      </c>
      <c r="AT106" s="44">
        <v>286</v>
      </c>
      <c r="AU106" s="44">
        <v>295</v>
      </c>
      <c r="AV106" s="44">
        <v>303</v>
      </c>
      <c r="AW106" s="44">
        <v>315</v>
      </c>
      <c r="AX106" s="44">
        <v>325</v>
      </c>
      <c r="AY106" s="44">
        <v>337</v>
      </c>
      <c r="AZ106" s="44">
        <v>337</v>
      </c>
      <c r="BA106" s="44">
        <v>342</v>
      </c>
      <c r="BB106" s="44">
        <v>339</v>
      </c>
    </row>
    <row r="107" spans="1:54" s="44" customFormat="1">
      <c r="A107" s="44" t="s">
        <v>2</v>
      </c>
    </row>
    <row r="108" spans="1:54" s="44" customFormat="1">
      <c r="A108" s="44" t="s">
        <v>32</v>
      </c>
      <c r="C108" s="44">
        <v>404</v>
      </c>
      <c r="H108" s="44">
        <v>421</v>
      </c>
      <c r="M108" s="44">
        <v>427</v>
      </c>
      <c r="R108" s="44">
        <v>403</v>
      </c>
      <c r="W108" s="44">
        <v>428</v>
      </c>
      <c r="AB108" s="44">
        <v>347</v>
      </c>
      <c r="AG108" s="44">
        <v>380</v>
      </c>
      <c r="AH108" s="44">
        <v>375</v>
      </c>
      <c r="AI108" s="44">
        <v>390</v>
      </c>
      <c r="AJ108" s="44">
        <v>405</v>
      </c>
      <c r="AK108" s="44">
        <v>441</v>
      </c>
      <c r="AL108" s="44">
        <v>458</v>
      </c>
      <c r="AM108" s="44">
        <v>469</v>
      </c>
      <c r="AN108" s="44">
        <v>475</v>
      </c>
      <c r="AO108" s="44">
        <v>475</v>
      </c>
      <c r="AP108" s="44">
        <v>490</v>
      </c>
      <c r="AQ108" s="44">
        <v>504</v>
      </c>
      <c r="AR108" s="44">
        <v>500</v>
      </c>
      <c r="AS108" s="44">
        <v>500</v>
      </c>
      <c r="AT108" s="44">
        <v>516</v>
      </c>
      <c r="AU108" s="44">
        <v>535</v>
      </c>
      <c r="AV108" s="44">
        <v>548</v>
      </c>
      <c r="AW108" s="44">
        <v>563</v>
      </c>
      <c r="AX108" s="44">
        <v>543</v>
      </c>
      <c r="AY108" s="44">
        <v>524</v>
      </c>
      <c r="AZ108" s="44">
        <v>436</v>
      </c>
      <c r="BA108" s="44">
        <v>476</v>
      </c>
      <c r="BB108" s="44">
        <v>493</v>
      </c>
    </row>
    <row r="109" spans="1:54" s="44" customFormat="1">
      <c r="A109" s="44" t="s">
        <v>33</v>
      </c>
      <c r="C109" s="1">
        <v>28170</v>
      </c>
      <c r="H109" s="1">
        <v>29336</v>
      </c>
      <c r="M109" s="1">
        <v>29890</v>
      </c>
      <c r="R109" s="1">
        <v>27656</v>
      </c>
      <c r="W109" s="1">
        <v>29277</v>
      </c>
      <c r="AB109" s="1">
        <v>24920</v>
      </c>
      <c r="AG109" s="1">
        <v>26159</v>
      </c>
      <c r="AH109" s="1">
        <v>25628</v>
      </c>
      <c r="AI109" s="1">
        <v>26128</v>
      </c>
      <c r="AJ109" s="1">
        <v>26883</v>
      </c>
      <c r="AK109" s="1">
        <v>28485</v>
      </c>
      <c r="AL109" s="1">
        <v>30383</v>
      </c>
      <c r="AM109" s="1">
        <v>31715</v>
      </c>
      <c r="AN109" s="1">
        <v>31660</v>
      </c>
      <c r="AO109" s="1">
        <v>32657</v>
      </c>
      <c r="AP109" s="1">
        <v>33851</v>
      </c>
      <c r="AQ109" s="1">
        <v>34590</v>
      </c>
      <c r="AR109" s="1">
        <v>34243</v>
      </c>
      <c r="AS109" s="1">
        <v>34680</v>
      </c>
      <c r="AT109" s="1">
        <v>35555</v>
      </c>
      <c r="AU109" s="1">
        <v>37071</v>
      </c>
      <c r="AV109" s="1">
        <v>37712</v>
      </c>
      <c r="AW109" s="1">
        <v>38955</v>
      </c>
      <c r="AX109" s="1">
        <v>38186</v>
      </c>
      <c r="AY109" s="1">
        <v>37226</v>
      </c>
      <c r="AZ109" s="1">
        <v>32115</v>
      </c>
      <c r="BA109" s="1">
        <v>35541</v>
      </c>
      <c r="BB109" s="1">
        <v>36649</v>
      </c>
    </row>
    <row r="110" spans="1:54" s="44" customFormat="1">
      <c r="A110" s="44" t="s">
        <v>34</v>
      </c>
      <c r="C110" s="44">
        <v>209</v>
      </c>
      <c r="H110" s="44">
        <v>172</v>
      </c>
      <c r="M110" s="44">
        <v>93</v>
      </c>
      <c r="R110" s="44">
        <v>30</v>
      </c>
      <c r="W110" s="44">
        <v>30</v>
      </c>
      <c r="AB110" s="44">
        <v>30</v>
      </c>
      <c r="AG110" s="44">
        <v>33</v>
      </c>
      <c r="AH110" s="44">
        <v>34</v>
      </c>
      <c r="AI110" s="44">
        <v>34</v>
      </c>
      <c r="AJ110" s="44">
        <v>35</v>
      </c>
      <c r="AK110" s="44">
        <v>34</v>
      </c>
      <c r="AL110" s="44">
        <v>32</v>
      </c>
      <c r="AM110" s="44">
        <v>30</v>
      </c>
      <c r="AN110" s="44">
        <v>32</v>
      </c>
      <c r="AO110" s="44">
        <v>33</v>
      </c>
      <c r="AP110" s="44">
        <v>34</v>
      </c>
      <c r="AQ110" s="44">
        <v>35</v>
      </c>
      <c r="AR110" s="44">
        <v>36</v>
      </c>
      <c r="AS110" s="44">
        <v>38</v>
      </c>
      <c r="AT110" s="44">
        <v>37</v>
      </c>
      <c r="AU110" s="44">
        <v>37</v>
      </c>
      <c r="AV110" s="44">
        <v>36</v>
      </c>
      <c r="AW110" s="44">
        <v>36</v>
      </c>
      <c r="AX110" s="44">
        <v>37</v>
      </c>
      <c r="AY110" s="44">
        <v>38</v>
      </c>
      <c r="AZ110" s="44">
        <v>38</v>
      </c>
      <c r="BA110" s="44">
        <v>37</v>
      </c>
      <c r="BB110" s="44">
        <v>37</v>
      </c>
    </row>
    <row r="111" spans="1:54" s="44" customFormat="1">
      <c r="A111" s="44" t="s">
        <v>35</v>
      </c>
      <c r="C111" s="1">
        <v>2208</v>
      </c>
      <c r="H111" s="1">
        <v>1775</v>
      </c>
      <c r="M111" s="44">
        <v>690</v>
      </c>
      <c r="R111" s="44">
        <v>253</v>
      </c>
      <c r="W111" s="44">
        <v>235</v>
      </c>
      <c r="AB111" s="44">
        <v>251</v>
      </c>
      <c r="AG111" s="44">
        <v>301</v>
      </c>
      <c r="AH111" s="44">
        <v>313</v>
      </c>
      <c r="AI111" s="44">
        <v>307</v>
      </c>
      <c r="AJ111" s="44">
        <v>303</v>
      </c>
      <c r="AK111" s="44">
        <v>304</v>
      </c>
      <c r="AL111" s="44">
        <v>292</v>
      </c>
      <c r="AM111" s="44">
        <v>276</v>
      </c>
      <c r="AN111" s="44">
        <v>288</v>
      </c>
      <c r="AO111" s="44">
        <v>312</v>
      </c>
      <c r="AP111" s="44">
        <v>342</v>
      </c>
      <c r="AQ111" s="44">
        <v>368</v>
      </c>
      <c r="AR111" s="44">
        <v>378</v>
      </c>
      <c r="AS111" s="44">
        <v>379</v>
      </c>
      <c r="AT111" s="44">
        <v>332</v>
      </c>
      <c r="AU111" s="44">
        <v>308</v>
      </c>
      <c r="AV111" s="44">
        <v>265</v>
      </c>
      <c r="AW111" s="44">
        <v>264</v>
      </c>
      <c r="AX111" s="44">
        <v>267</v>
      </c>
      <c r="AY111" s="44">
        <v>272</v>
      </c>
      <c r="AZ111" s="44">
        <v>283</v>
      </c>
      <c r="BA111" s="44">
        <v>295</v>
      </c>
      <c r="BB111" s="44">
        <v>296</v>
      </c>
    </row>
    <row r="112" spans="1:54" s="44" customFormat="1">
      <c r="A112" s="5" t="s">
        <v>123</v>
      </c>
      <c r="B112" s="5"/>
      <c r="C112" s="5">
        <f>C111/C110</f>
        <v>10.564593301435407</v>
      </c>
      <c r="D112" s="5"/>
      <c r="E112" s="5"/>
      <c r="F112" s="5"/>
      <c r="G112" s="5"/>
      <c r="H112" s="5">
        <f>H111/H110</f>
        <v>10.319767441860465</v>
      </c>
      <c r="I112" s="5"/>
      <c r="J112" s="5"/>
      <c r="K112" s="5"/>
      <c r="L112" s="5"/>
      <c r="M112" s="5">
        <f>M111/M110</f>
        <v>7.419354838709677</v>
      </c>
      <c r="N112" s="5"/>
      <c r="O112" s="5"/>
      <c r="P112" s="5"/>
      <c r="Q112" s="5"/>
      <c r="R112" s="5">
        <f>R111/R110</f>
        <v>8.4333333333333336</v>
      </c>
      <c r="S112" s="5"/>
      <c r="T112" s="5"/>
      <c r="U112" s="5"/>
      <c r="V112" s="5"/>
      <c r="W112" s="5">
        <f>W111/W110</f>
        <v>7.833333333333333</v>
      </c>
      <c r="X112" s="5"/>
      <c r="Y112" s="5"/>
      <c r="Z112" s="5"/>
      <c r="AA112" s="5"/>
      <c r="AB112" s="5">
        <f>AB111/AB110</f>
        <v>8.3666666666666671</v>
      </c>
      <c r="AC112" s="5"/>
      <c r="AD112" s="5"/>
      <c r="AE112" s="5"/>
      <c r="AF112" s="5"/>
      <c r="AG112" s="5">
        <f t="shared" ref="AG112:BB112" si="68">AG111/AG110</f>
        <v>9.1212121212121211</v>
      </c>
      <c r="AH112" s="5">
        <f t="shared" si="68"/>
        <v>9.2058823529411757</v>
      </c>
      <c r="AI112" s="5">
        <f t="shared" si="68"/>
        <v>9.0294117647058822</v>
      </c>
      <c r="AJ112" s="5">
        <f t="shared" si="68"/>
        <v>8.6571428571428566</v>
      </c>
      <c r="AK112" s="5">
        <f t="shared" si="68"/>
        <v>8.9411764705882355</v>
      </c>
      <c r="AL112" s="5">
        <f t="shared" si="68"/>
        <v>9.125</v>
      </c>
      <c r="AM112" s="5">
        <f t="shared" si="68"/>
        <v>9.1999999999999993</v>
      </c>
      <c r="AN112" s="5">
        <f t="shared" si="68"/>
        <v>9</v>
      </c>
      <c r="AO112" s="5">
        <f t="shared" si="68"/>
        <v>9.454545454545455</v>
      </c>
      <c r="AP112" s="5">
        <f t="shared" si="68"/>
        <v>10.058823529411764</v>
      </c>
      <c r="AQ112" s="5">
        <f t="shared" si="68"/>
        <v>10.514285714285714</v>
      </c>
      <c r="AR112" s="5">
        <f t="shared" si="68"/>
        <v>10.5</v>
      </c>
      <c r="AS112" s="5">
        <f t="shared" si="68"/>
        <v>9.973684210526315</v>
      </c>
      <c r="AT112" s="5">
        <f t="shared" si="68"/>
        <v>8.9729729729729737</v>
      </c>
      <c r="AU112" s="5">
        <f t="shared" si="68"/>
        <v>8.3243243243243246</v>
      </c>
      <c r="AV112" s="5">
        <f t="shared" si="68"/>
        <v>7.3611111111111107</v>
      </c>
      <c r="AW112" s="5">
        <f t="shared" si="68"/>
        <v>7.333333333333333</v>
      </c>
      <c r="AX112" s="5">
        <f t="shared" si="68"/>
        <v>7.2162162162162158</v>
      </c>
      <c r="AY112" s="5">
        <f t="shared" si="68"/>
        <v>7.1578947368421053</v>
      </c>
      <c r="AZ112" s="5">
        <f t="shared" si="68"/>
        <v>7.4473684210526319</v>
      </c>
      <c r="BA112" s="5">
        <f t="shared" si="68"/>
        <v>7.9729729729729728</v>
      </c>
      <c r="BB112" s="5">
        <f t="shared" si="68"/>
        <v>8</v>
      </c>
    </row>
    <row r="113" spans="1:54" s="44" customFormat="1">
      <c r="A113" s="44" t="s">
        <v>36</v>
      </c>
      <c r="C113" s="44">
        <v>613</v>
      </c>
      <c r="H113" s="44">
        <v>593</v>
      </c>
      <c r="M113" s="44">
        <v>520</v>
      </c>
      <c r="R113" s="44">
        <v>433</v>
      </c>
      <c r="W113" s="44">
        <v>458</v>
      </c>
      <c r="AB113" s="44">
        <v>377</v>
      </c>
      <c r="AG113" s="44">
        <v>413</v>
      </c>
      <c r="AH113" s="44">
        <v>409</v>
      </c>
      <c r="AI113" s="44">
        <v>424</v>
      </c>
      <c r="AJ113" s="44">
        <v>440</v>
      </c>
      <c r="AK113" s="44">
        <v>475</v>
      </c>
      <c r="AL113" s="44">
        <v>490</v>
      </c>
      <c r="AM113" s="44">
        <v>499</v>
      </c>
      <c r="AN113" s="44">
        <v>507</v>
      </c>
      <c r="AO113" s="44">
        <v>508</v>
      </c>
      <c r="AP113" s="44">
        <v>524</v>
      </c>
      <c r="AQ113" s="44">
        <v>539</v>
      </c>
      <c r="AR113" s="44">
        <v>536</v>
      </c>
      <c r="AS113" s="44">
        <v>537</v>
      </c>
      <c r="AT113" s="44">
        <v>553</v>
      </c>
      <c r="AU113" s="44">
        <v>572</v>
      </c>
      <c r="AV113" s="44">
        <v>584</v>
      </c>
      <c r="AW113" s="44">
        <v>599</v>
      </c>
      <c r="AX113" s="44">
        <v>581</v>
      </c>
      <c r="AY113" s="44">
        <v>562</v>
      </c>
      <c r="AZ113" s="44">
        <v>475</v>
      </c>
      <c r="BA113" s="44">
        <v>513</v>
      </c>
      <c r="BB113" s="44">
        <v>530</v>
      </c>
    </row>
    <row r="114" spans="1:54" s="44" customFormat="1">
      <c r="A114" s="44" t="s">
        <v>37</v>
      </c>
    </row>
    <row r="115" spans="1:54" s="44" customFormat="1"/>
    <row r="116" spans="1:54" s="44" customFormat="1"/>
    <row r="117" spans="1:54" s="44" customFormat="1">
      <c r="A117" s="44" t="s">
        <v>20</v>
      </c>
    </row>
    <row r="118" spans="1:54" s="44" customFormat="1">
      <c r="C118" s="44">
        <v>1960</v>
      </c>
      <c r="H118" s="44">
        <v>1965</v>
      </c>
      <c r="M118" s="44">
        <v>1970</v>
      </c>
      <c r="R118" s="44">
        <v>1975</v>
      </c>
      <c r="W118" s="44">
        <v>1980</v>
      </c>
      <c r="AB118" s="44">
        <v>1985</v>
      </c>
      <c r="AG118" s="44">
        <v>1990</v>
      </c>
      <c r="AH118" s="44">
        <v>1991</v>
      </c>
      <c r="AI118" s="44">
        <v>1992</v>
      </c>
      <c r="AJ118" s="44">
        <v>1993</v>
      </c>
      <c r="AK118" s="44">
        <v>1994</v>
      </c>
      <c r="AL118" s="44">
        <v>1995</v>
      </c>
      <c r="AM118" s="44">
        <v>1996</v>
      </c>
      <c r="AN118" s="44">
        <v>1997</v>
      </c>
      <c r="AO118" s="44">
        <v>1998</v>
      </c>
      <c r="AP118" s="44">
        <v>1999</v>
      </c>
      <c r="AQ118" s="44">
        <v>2000</v>
      </c>
      <c r="AR118" s="44">
        <v>2001</v>
      </c>
      <c r="AS118" s="44">
        <v>2002</v>
      </c>
      <c r="AT118" s="44">
        <v>2003</v>
      </c>
      <c r="AU118" s="44">
        <v>2004</v>
      </c>
      <c r="AV118" s="44">
        <v>2005</v>
      </c>
      <c r="AW118" s="44">
        <v>2006</v>
      </c>
      <c r="AX118" s="44">
        <v>2007</v>
      </c>
      <c r="AY118" s="44">
        <v>2008</v>
      </c>
      <c r="AZ118" s="44">
        <v>2009</v>
      </c>
      <c r="BA118" s="44">
        <v>2010</v>
      </c>
      <c r="BB118" s="44">
        <v>2011</v>
      </c>
    </row>
    <row r="119" spans="1:54" s="43" customFormat="1" ht="14.4">
      <c r="A119" s="43" t="s">
        <v>23</v>
      </c>
    </row>
    <row r="120" spans="1:54" s="44" customFormat="1">
      <c r="A120" s="44" t="s">
        <v>24</v>
      </c>
      <c r="C120" s="1">
        <v>3463</v>
      </c>
      <c r="H120" s="1">
        <v>3592</v>
      </c>
      <c r="M120" s="1">
        <v>3545</v>
      </c>
      <c r="R120" s="1">
        <v>3657</v>
      </c>
      <c r="W120" s="1">
        <v>3904</v>
      </c>
      <c r="AB120" s="1">
        <v>3110</v>
      </c>
      <c r="AG120" s="1">
        <v>3115</v>
      </c>
      <c r="AH120" s="1">
        <v>2906</v>
      </c>
      <c r="AI120" s="1">
        <v>3005</v>
      </c>
      <c r="AJ120" s="1">
        <v>3088</v>
      </c>
      <c r="AK120" s="1">
        <v>3334</v>
      </c>
      <c r="AL120" s="1">
        <v>3480</v>
      </c>
      <c r="AM120" s="1">
        <v>3579</v>
      </c>
      <c r="AN120" s="1">
        <v>3575</v>
      </c>
      <c r="AO120" s="1">
        <v>3583</v>
      </c>
      <c r="AP120" s="1">
        <v>3715</v>
      </c>
      <c r="AQ120" s="1">
        <v>3700</v>
      </c>
      <c r="AR120" s="1">
        <v>3710</v>
      </c>
      <c r="AS120" s="1">
        <v>3730</v>
      </c>
      <c r="AT120" s="1">
        <v>3826</v>
      </c>
      <c r="AU120" s="1">
        <v>4059</v>
      </c>
      <c r="AV120" s="1">
        <v>4098</v>
      </c>
      <c r="AW120" s="1">
        <v>4192</v>
      </c>
      <c r="AX120" s="1">
        <v>4062</v>
      </c>
      <c r="AY120" s="1">
        <v>3886</v>
      </c>
      <c r="AZ120" s="1">
        <v>3192</v>
      </c>
      <c r="BA120" s="1">
        <v>3494</v>
      </c>
      <c r="BB120" s="1">
        <v>3685</v>
      </c>
    </row>
    <row r="121" spans="1:54" s="43" customFormat="1" ht="14.4">
      <c r="A121" s="43" t="s">
        <v>25</v>
      </c>
    </row>
    <row r="122" spans="1:54" s="44" customFormat="1">
      <c r="A122" s="44" t="s">
        <v>26</v>
      </c>
      <c r="C122" s="44" t="s">
        <v>21</v>
      </c>
      <c r="H122" s="44" t="s">
        <v>21</v>
      </c>
      <c r="M122" s="44" t="s">
        <v>21</v>
      </c>
      <c r="R122" s="44">
        <v>180</v>
      </c>
      <c r="W122" s="44">
        <v>254</v>
      </c>
      <c r="AB122" s="44">
        <v>295</v>
      </c>
      <c r="AG122" s="44">
        <v>330</v>
      </c>
      <c r="AH122" s="44">
        <v>303</v>
      </c>
      <c r="AI122" s="44">
        <v>300</v>
      </c>
      <c r="AJ122" s="44">
        <v>301</v>
      </c>
      <c r="AK122" s="44">
        <v>309</v>
      </c>
      <c r="AL122" s="44">
        <v>336</v>
      </c>
      <c r="AM122" s="44">
        <v>363</v>
      </c>
      <c r="AN122" s="44">
        <v>390</v>
      </c>
      <c r="AO122" s="44">
        <v>416</v>
      </c>
      <c r="AP122" s="44">
        <v>443</v>
      </c>
      <c r="AQ122" s="44">
        <v>470</v>
      </c>
      <c r="AR122" s="44">
        <v>456</v>
      </c>
      <c r="AS122" s="44">
        <v>518</v>
      </c>
      <c r="AT122" s="44">
        <v>537</v>
      </c>
      <c r="AU122" s="44">
        <v>551</v>
      </c>
      <c r="AV122" s="44">
        <v>531</v>
      </c>
      <c r="AW122" s="44">
        <v>549</v>
      </c>
      <c r="AX122" s="44">
        <v>578</v>
      </c>
      <c r="AY122" s="44">
        <v>582</v>
      </c>
      <c r="AZ122" s="44">
        <v>565</v>
      </c>
      <c r="BA122" s="44">
        <v>559</v>
      </c>
      <c r="BB122" s="44">
        <v>555</v>
      </c>
    </row>
    <row r="123" spans="1:54" s="44" customFormat="1">
      <c r="A123" s="44" t="s">
        <v>24</v>
      </c>
      <c r="C123" s="44" t="s">
        <v>21</v>
      </c>
      <c r="H123" s="44" t="s">
        <v>21</v>
      </c>
      <c r="M123" s="44" t="s">
        <v>21</v>
      </c>
      <c r="R123" s="44">
        <v>63</v>
      </c>
      <c r="W123" s="44">
        <v>64</v>
      </c>
      <c r="AB123" s="44">
        <v>65</v>
      </c>
      <c r="AG123" s="44">
        <v>82</v>
      </c>
      <c r="AH123" s="44">
        <v>82</v>
      </c>
      <c r="AI123" s="44">
        <v>82</v>
      </c>
      <c r="AJ123" s="44">
        <v>83</v>
      </c>
      <c r="AK123" s="44">
        <v>74</v>
      </c>
      <c r="AL123" s="44">
        <v>72</v>
      </c>
      <c r="AM123" s="44">
        <v>71</v>
      </c>
      <c r="AN123" s="44">
        <v>76</v>
      </c>
      <c r="AO123" s="44">
        <v>76</v>
      </c>
      <c r="AP123" s="44">
        <v>79</v>
      </c>
      <c r="AQ123" s="44">
        <v>95</v>
      </c>
      <c r="AR123" s="44">
        <v>97</v>
      </c>
      <c r="AS123" s="44">
        <v>84</v>
      </c>
      <c r="AT123" s="44">
        <v>75</v>
      </c>
      <c r="AU123" s="44">
        <v>69</v>
      </c>
      <c r="AV123" s="44">
        <v>65</v>
      </c>
      <c r="AW123" s="44">
        <v>62</v>
      </c>
      <c r="AX123" s="44">
        <v>62</v>
      </c>
      <c r="AY123" s="44">
        <v>63</v>
      </c>
      <c r="AZ123" s="44">
        <v>62</v>
      </c>
      <c r="BA123" s="44">
        <v>63</v>
      </c>
      <c r="BB123" s="44">
        <v>63</v>
      </c>
    </row>
    <row r="124" spans="1:54" s="44" customFormat="1"/>
    <row r="125" spans="1:54" s="44" customFormat="1"/>
    <row r="126" spans="1:54" s="44" customFormat="1">
      <c r="A126" s="44" t="s">
        <v>38</v>
      </c>
    </row>
    <row r="127" spans="1:54" s="44" customFormat="1">
      <c r="C127" s="44">
        <v>1960</v>
      </c>
      <c r="H127" s="44">
        <v>1965</v>
      </c>
      <c r="M127" s="44">
        <v>1970</v>
      </c>
      <c r="R127" s="44">
        <v>1975</v>
      </c>
      <c r="W127" s="44">
        <v>1980</v>
      </c>
      <c r="AB127" s="44">
        <v>1985</v>
      </c>
      <c r="AG127" s="44">
        <v>1990</v>
      </c>
      <c r="AH127" s="44">
        <v>1991</v>
      </c>
      <c r="AI127" s="44">
        <v>1992</v>
      </c>
      <c r="AJ127" s="44">
        <v>1993</v>
      </c>
      <c r="AK127" s="44">
        <v>1994</v>
      </c>
      <c r="AL127" s="44">
        <v>1995</v>
      </c>
      <c r="AM127" s="44">
        <v>1996</v>
      </c>
      <c r="AN127" s="44">
        <v>1997</v>
      </c>
      <c r="AO127" s="44">
        <v>1998</v>
      </c>
      <c r="AP127" s="44">
        <v>1999</v>
      </c>
      <c r="AQ127" s="44">
        <v>2000</v>
      </c>
      <c r="AR127" s="44">
        <v>2001</v>
      </c>
      <c r="AS127" s="44">
        <v>2002</v>
      </c>
      <c r="AT127" s="44">
        <v>2003</v>
      </c>
      <c r="AU127" s="44">
        <v>2004</v>
      </c>
      <c r="AV127" s="44">
        <v>2005</v>
      </c>
      <c r="AW127" s="44">
        <v>2006</v>
      </c>
      <c r="AX127" s="44">
        <v>2007</v>
      </c>
      <c r="AY127" s="44">
        <v>2008</v>
      </c>
      <c r="AZ127" s="44">
        <v>2009</v>
      </c>
      <c r="BA127" s="44">
        <v>2010</v>
      </c>
      <c r="BB127" s="44">
        <v>2011</v>
      </c>
    </row>
    <row r="128" spans="1:54" s="43" customFormat="1" ht="14.4">
      <c r="A128" s="43" t="s">
        <v>23</v>
      </c>
    </row>
    <row r="129" spans="1:54" s="44" customFormat="1">
      <c r="A129" s="44" t="s">
        <v>39</v>
      </c>
      <c r="C129" s="44">
        <v>480</v>
      </c>
      <c r="H129" s="44">
        <v>498</v>
      </c>
      <c r="M129" s="44">
        <v>492</v>
      </c>
      <c r="R129" s="44">
        <v>507</v>
      </c>
      <c r="W129" s="44">
        <v>541</v>
      </c>
      <c r="AB129" s="44">
        <v>431</v>
      </c>
      <c r="AG129" s="44">
        <v>432</v>
      </c>
      <c r="AH129" s="44">
        <v>403</v>
      </c>
      <c r="AI129" s="44">
        <v>417</v>
      </c>
      <c r="AJ129" s="44">
        <v>428</v>
      </c>
      <c r="AK129" s="44">
        <v>462</v>
      </c>
      <c r="AL129" s="44">
        <v>483</v>
      </c>
      <c r="AM129" s="44">
        <v>496</v>
      </c>
      <c r="AN129" s="44">
        <v>496</v>
      </c>
      <c r="AO129" s="44">
        <v>497</v>
      </c>
      <c r="AP129" s="44">
        <v>515</v>
      </c>
      <c r="AQ129" s="44">
        <v>513</v>
      </c>
      <c r="AR129" s="44">
        <v>515</v>
      </c>
      <c r="AS129" s="44">
        <v>517</v>
      </c>
      <c r="AT129" s="44">
        <v>531</v>
      </c>
      <c r="AU129" s="44">
        <v>563</v>
      </c>
      <c r="AV129" s="44">
        <v>568</v>
      </c>
      <c r="AW129" s="44">
        <v>581</v>
      </c>
      <c r="AX129" s="44">
        <v>563</v>
      </c>
      <c r="AY129" s="44">
        <v>539</v>
      </c>
      <c r="AZ129" s="44">
        <v>443</v>
      </c>
      <c r="BA129" s="44">
        <v>485</v>
      </c>
      <c r="BB129" s="44">
        <v>511</v>
      </c>
    </row>
    <row r="130" spans="1:54" s="3" customFormat="1">
      <c r="A130" s="3" t="s">
        <v>25</v>
      </c>
    </row>
    <row r="131" spans="1:54" s="44" customFormat="1">
      <c r="A131" s="44" t="s">
        <v>1</v>
      </c>
      <c r="C131" s="44" t="s">
        <v>22</v>
      </c>
      <c r="H131" s="44" t="s">
        <v>22</v>
      </c>
      <c r="M131" s="44" t="s">
        <v>22</v>
      </c>
      <c r="R131" s="44">
        <v>1</v>
      </c>
      <c r="W131" s="44">
        <v>1</v>
      </c>
      <c r="AB131" s="44">
        <v>1</v>
      </c>
      <c r="AG131" s="44">
        <v>1</v>
      </c>
      <c r="AH131" s="44">
        <v>1</v>
      </c>
      <c r="AI131" s="44">
        <v>1</v>
      </c>
      <c r="AJ131" s="44">
        <v>1</v>
      </c>
      <c r="AK131" s="44">
        <v>1</v>
      </c>
      <c r="AL131" s="44">
        <v>1</v>
      </c>
      <c r="AM131" s="44">
        <v>1</v>
      </c>
      <c r="AN131" s="44">
        <v>1</v>
      </c>
      <c r="AO131" s="44">
        <v>1</v>
      </c>
      <c r="AP131" s="44">
        <v>2</v>
      </c>
      <c r="AQ131" s="44">
        <v>2</v>
      </c>
      <c r="AR131" s="44">
        <v>2</v>
      </c>
      <c r="AS131" s="44">
        <v>2</v>
      </c>
      <c r="AT131" s="44">
        <v>2</v>
      </c>
      <c r="AU131" s="44">
        <v>2</v>
      </c>
      <c r="AV131" s="44">
        <v>2</v>
      </c>
      <c r="AW131" s="44">
        <v>2</v>
      </c>
      <c r="AX131" s="44">
        <v>2</v>
      </c>
      <c r="AY131" s="44">
        <v>2</v>
      </c>
      <c r="AZ131" s="44">
        <v>2</v>
      </c>
      <c r="BA131" s="44">
        <v>2</v>
      </c>
      <c r="BB131" s="44">
        <v>2</v>
      </c>
    </row>
    <row r="132" spans="1:54" s="44" customFormat="1">
      <c r="A132" s="44" t="s">
        <v>39</v>
      </c>
      <c r="C132" s="44" t="s">
        <v>22</v>
      </c>
      <c r="H132" s="44" t="s">
        <v>22</v>
      </c>
      <c r="M132" s="44" t="s">
        <v>22</v>
      </c>
      <c r="R132" s="44">
        <v>9</v>
      </c>
      <c r="W132" s="44">
        <v>9</v>
      </c>
      <c r="AB132" s="44">
        <v>9</v>
      </c>
      <c r="AG132" s="44">
        <v>11</v>
      </c>
      <c r="AH132" s="44">
        <v>11</v>
      </c>
      <c r="AI132" s="44">
        <v>11</v>
      </c>
      <c r="AJ132" s="44">
        <v>11</v>
      </c>
      <c r="AK132" s="44">
        <v>10</v>
      </c>
      <c r="AL132" s="44">
        <v>10</v>
      </c>
      <c r="AM132" s="44">
        <v>10</v>
      </c>
      <c r="AN132" s="44">
        <v>10</v>
      </c>
      <c r="AO132" s="44">
        <v>11</v>
      </c>
      <c r="AP132" s="44">
        <v>11</v>
      </c>
      <c r="AQ132" s="44">
        <v>13</v>
      </c>
      <c r="AR132" s="44">
        <v>13</v>
      </c>
      <c r="AS132" s="44">
        <v>12</v>
      </c>
      <c r="AT132" s="44">
        <v>10</v>
      </c>
      <c r="AU132" s="44">
        <v>10</v>
      </c>
      <c r="AV132" s="44">
        <v>9</v>
      </c>
      <c r="AW132" s="44">
        <v>9</v>
      </c>
      <c r="AX132" s="44">
        <v>9</v>
      </c>
      <c r="AY132" s="44">
        <v>9</v>
      </c>
      <c r="AZ132" s="44">
        <v>9</v>
      </c>
      <c r="BA132" s="44">
        <v>9</v>
      </c>
      <c r="BB132" s="44">
        <v>9</v>
      </c>
    </row>
    <row r="133" spans="1:54" s="44" customFormat="1"/>
    <row r="134" spans="1:54" s="44" customFormat="1"/>
    <row r="135" spans="1:54" s="44" customFormat="1" ht="14.4">
      <c r="A135" s="43" t="s">
        <v>40</v>
      </c>
    </row>
    <row r="136" spans="1:54" s="44" customFormat="1">
      <c r="C136" s="44">
        <v>1960</v>
      </c>
      <c r="H136" s="44">
        <v>1965</v>
      </c>
      <c r="M136" s="44">
        <v>1970</v>
      </c>
      <c r="R136" s="44">
        <v>1975</v>
      </c>
      <c r="W136" s="44">
        <v>1980</v>
      </c>
      <c r="AB136" s="44">
        <v>1985</v>
      </c>
      <c r="AG136" s="44">
        <v>1990</v>
      </c>
      <c r="AH136" s="44">
        <v>1991</v>
      </c>
      <c r="AI136" s="44">
        <v>1992</v>
      </c>
      <c r="AJ136" s="44">
        <v>1993</v>
      </c>
      <c r="AK136" s="44">
        <v>1994</v>
      </c>
      <c r="AL136" s="44">
        <v>1995</v>
      </c>
      <c r="AM136" s="44">
        <v>1996</v>
      </c>
      <c r="AN136" s="44">
        <v>1997</v>
      </c>
      <c r="AO136" s="44">
        <v>1998</v>
      </c>
      <c r="AP136" s="44">
        <v>1999</v>
      </c>
      <c r="AQ136" s="44">
        <v>2000</v>
      </c>
      <c r="AR136" s="44">
        <v>2001</v>
      </c>
      <c r="AS136" s="44">
        <v>2002</v>
      </c>
      <c r="AT136" s="44">
        <v>2003</v>
      </c>
      <c r="AU136" s="44">
        <v>2004</v>
      </c>
      <c r="AV136" s="44">
        <v>2005</v>
      </c>
      <c r="AW136" s="44">
        <v>2006</v>
      </c>
      <c r="AX136" s="44">
        <v>2007</v>
      </c>
      <c r="AY136" s="44">
        <v>2008</v>
      </c>
      <c r="AZ136" s="44">
        <v>2009</v>
      </c>
      <c r="BA136" s="44">
        <v>2010</v>
      </c>
      <c r="BB136" s="44">
        <v>2011</v>
      </c>
    </row>
    <row r="137" spans="1:54" s="44" customFormat="1">
      <c r="A137" s="44" t="s">
        <v>41</v>
      </c>
    </row>
    <row r="138" spans="1:54" s="44" customFormat="1">
      <c r="A138" s="44" t="s">
        <v>42</v>
      </c>
      <c r="C138" s="1">
        <v>29031</v>
      </c>
      <c r="H138" s="1">
        <v>27780</v>
      </c>
      <c r="M138" s="1">
        <v>27077</v>
      </c>
      <c r="R138" s="1">
        <v>27846</v>
      </c>
      <c r="W138" s="1">
        <v>28094</v>
      </c>
      <c r="AB138" s="1">
        <v>22548</v>
      </c>
      <c r="AG138" s="1">
        <v>18835</v>
      </c>
      <c r="AH138" s="1">
        <v>18344</v>
      </c>
      <c r="AI138" s="1">
        <v>18004</v>
      </c>
      <c r="AJ138" s="1">
        <v>18161</v>
      </c>
      <c r="AK138" s="1">
        <v>18505</v>
      </c>
      <c r="AL138" s="1">
        <v>18812</v>
      </c>
      <c r="AM138" s="1">
        <v>19269</v>
      </c>
      <c r="AN138" s="1">
        <v>19684</v>
      </c>
      <c r="AO138" s="1">
        <v>20261</v>
      </c>
      <c r="AP138" s="1">
        <v>20256</v>
      </c>
      <c r="AQ138" s="1">
        <v>20028</v>
      </c>
      <c r="AR138" s="1">
        <v>19745</v>
      </c>
      <c r="AS138" s="1">
        <v>20506</v>
      </c>
      <c r="AT138" s="1">
        <v>20774</v>
      </c>
      <c r="AU138" s="1">
        <v>22015</v>
      </c>
      <c r="AV138" s="1">
        <v>22779</v>
      </c>
      <c r="AW138" s="1">
        <v>23732</v>
      </c>
      <c r="AX138" s="1">
        <v>24143</v>
      </c>
      <c r="AY138" s="1">
        <v>24003</v>
      </c>
      <c r="AZ138" s="1">
        <v>24045</v>
      </c>
      <c r="BA138" s="1">
        <v>23893</v>
      </c>
      <c r="BB138" s="1">
        <v>24250</v>
      </c>
    </row>
    <row r="139" spans="1:54" s="44" customFormat="1">
      <c r="A139" s="44" t="s">
        <v>43</v>
      </c>
      <c r="C139" s="1">
        <v>1965486</v>
      </c>
      <c r="H139" s="1">
        <v>1800662</v>
      </c>
      <c r="M139" s="1">
        <v>1784181</v>
      </c>
      <c r="R139" s="1">
        <v>1723605</v>
      </c>
      <c r="W139" s="1">
        <v>1710827</v>
      </c>
      <c r="AB139" s="1">
        <v>1421686</v>
      </c>
      <c r="AG139" s="1">
        <v>1212261</v>
      </c>
      <c r="AH139" s="1">
        <v>1189660</v>
      </c>
      <c r="AI139" s="1">
        <v>1173136</v>
      </c>
      <c r="AJ139" s="1">
        <v>1173132</v>
      </c>
      <c r="AK139" s="1">
        <v>1192412</v>
      </c>
      <c r="AL139" s="1">
        <v>1218927</v>
      </c>
      <c r="AM139" s="1">
        <v>1240573</v>
      </c>
      <c r="AN139" s="1">
        <v>1270419</v>
      </c>
      <c r="AO139" s="1">
        <v>1315667</v>
      </c>
      <c r="AP139" s="1">
        <v>1368836</v>
      </c>
      <c r="AQ139" s="1">
        <v>1380796</v>
      </c>
      <c r="AR139" s="1">
        <v>1314136</v>
      </c>
      <c r="AS139" s="1">
        <v>1299670</v>
      </c>
      <c r="AT139" s="1">
        <v>1278980</v>
      </c>
      <c r="AU139" s="1">
        <v>1287920</v>
      </c>
      <c r="AV139" s="1">
        <v>1316522</v>
      </c>
      <c r="AW139" s="1">
        <v>1361250</v>
      </c>
      <c r="AX139" s="1">
        <v>1385709</v>
      </c>
      <c r="AY139" s="1">
        <v>1392972</v>
      </c>
      <c r="AZ139" s="1">
        <v>1363433</v>
      </c>
      <c r="BA139" s="1">
        <v>1309029</v>
      </c>
      <c r="BB139" s="1">
        <v>1283225</v>
      </c>
    </row>
    <row r="140" spans="1:54" s="44" customFormat="1">
      <c r="A140" s="44" t="s">
        <v>113</v>
      </c>
      <c r="C140" s="1">
        <f>C139/C138</f>
        <v>67.703007130308976</v>
      </c>
      <c r="H140" s="1">
        <f>H139/H138</f>
        <v>64.818646508279343</v>
      </c>
      <c r="M140" s="1">
        <f>M139/M138</f>
        <v>65.892861099826419</v>
      </c>
      <c r="R140" s="1">
        <f>R139/R138</f>
        <v>61.897759103641455</v>
      </c>
      <c r="W140" s="1">
        <f>W139/W138</f>
        <v>60.896525948601123</v>
      </c>
      <c r="AB140" s="1">
        <f>AB139/AB138</f>
        <v>63.051534504168885</v>
      </c>
      <c r="AG140" s="1">
        <f t="shared" ref="AG140:BB140" si="69">AG139/AG138</f>
        <v>64.362144942925411</v>
      </c>
      <c r="AH140" s="1">
        <f t="shared" si="69"/>
        <v>64.852812908853025</v>
      </c>
      <c r="AI140" s="1">
        <f t="shared" si="69"/>
        <v>65.159742279493443</v>
      </c>
      <c r="AJ140" s="1">
        <f t="shared" si="69"/>
        <v>64.596222674962831</v>
      </c>
      <c r="AK140" s="1">
        <f t="shared" si="69"/>
        <v>64.437287219670353</v>
      </c>
      <c r="AL140" s="1">
        <f t="shared" si="69"/>
        <v>64.795183925154163</v>
      </c>
      <c r="AM140" s="1">
        <f t="shared" si="69"/>
        <v>64.381804971716221</v>
      </c>
      <c r="AN140" s="1">
        <f t="shared" si="69"/>
        <v>64.54069294858769</v>
      </c>
      <c r="AO140" s="1">
        <f t="shared" si="69"/>
        <v>64.935936034746561</v>
      </c>
      <c r="AP140" s="1">
        <f t="shared" si="69"/>
        <v>67.576816745655606</v>
      </c>
      <c r="AQ140" s="1">
        <f t="shared" si="69"/>
        <v>68.943279408827635</v>
      </c>
      <c r="AR140" s="1">
        <f t="shared" si="69"/>
        <v>66.55538110914155</v>
      </c>
      <c r="AS140" s="1">
        <f t="shared" si="69"/>
        <v>63.379986345459862</v>
      </c>
      <c r="AT140" s="1">
        <f t="shared" si="69"/>
        <v>61.566381053239624</v>
      </c>
      <c r="AU140" s="1">
        <f t="shared" si="69"/>
        <v>58.501930501930502</v>
      </c>
      <c r="AV140" s="1">
        <f t="shared" si="69"/>
        <v>57.795425611308659</v>
      </c>
      <c r="AW140" s="1">
        <f t="shared" si="69"/>
        <v>57.359261756278443</v>
      </c>
      <c r="AX140" s="1">
        <f t="shared" si="69"/>
        <v>57.395891148573085</v>
      </c>
      <c r="AY140" s="1">
        <f t="shared" si="69"/>
        <v>58.033245844269466</v>
      </c>
      <c r="AZ140" s="1">
        <f t="shared" si="69"/>
        <v>56.703389478061965</v>
      </c>
      <c r="BA140" s="1">
        <f t="shared" si="69"/>
        <v>54.787134307119238</v>
      </c>
      <c r="BB140" s="1">
        <f t="shared" si="69"/>
        <v>52.916494845360823</v>
      </c>
    </row>
    <row r="141" spans="1:54" s="44" customFormat="1">
      <c r="A141" s="44" t="s">
        <v>44</v>
      </c>
    </row>
    <row r="142" spans="1:54" s="44" customFormat="1">
      <c r="A142" s="44" t="s">
        <v>45</v>
      </c>
      <c r="C142" s="44">
        <v>404</v>
      </c>
      <c r="H142" s="44">
        <v>421</v>
      </c>
      <c r="M142" s="44">
        <v>427</v>
      </c>
      <c r="R142" s="44">
        <v>403</v>
      </c>
      <c r="W142" s="44">
        <v>428</v>
      </c>
      <c r="AB142" s="44">
        <v>347</v>
      </c>
      <c r="AG142" s="44">
        <v>380</v>
      </c>
      <c r="AH142" s="44">
        <v>375</v>
      </c>
      <c r="AI142" s="44">
        <v>390</v>
      </c>
      <c r="AJ142" s="44">
        <v>405</v>
      </c>
      <c r="AK142" s="44">
        <v>441</v>
      </c>
      <c r="AL142" s="44">
        <v>458</v>
      </c>
      <c r="AM142" s="44">
        <v>469</v>
      </c>
      <c r="AN142" s="44">
        <v>475</v>
      </c>
      <c r="AO142" s="44">
        <v>475</v>
      </c>
      <c r="AP142" s="44">
        <v>490</v>
      </c>
      <c r="AQ142" s="44">
        <v>504</v>
      </c>
      <c r="AR142" s="44">
        <v>500</v>
      </c>
      <c r="AS142" s="44">
        <v>500</v>
      </c>
      <c r="AT142" s="44">
        <v>516</v>
      </c>
      <c r="AU142" s="44">
        <v>535</v>
      </c>
      <c r="AV142" s="44">
        <v>548</v>
      </c>
      <c r="AW142" s="44">
        <v>563</v>
      </c>
      <c r="AX142" s="44">
        <v>543</v>
      </c>
      <c r="AY142" s="44">
        <v>524</v>
      </c>
      <c r="AZ142" s="44">
        <v>436</v>
      </c>
      <c r="BA142" s="44">
        <v>476</v>
      </c>
      <c r="BB142" s="44">
        <v>493</v>
      </c>
    </row>
    <row r="143" spans="1:54" s="44" customFormat="1">
      <c r="A143" s="44" t="s">
        <v>46</v>
      </c>
      <c r="C143" s="44" t="s">
        <v>21</v>
      </c>
      <c r="H143" s="44" t="s">
        <v>21</v>
      </c>
      <c r="M143" s="44" t="s">
        <v>21</v>
      </c>
      <c r="R143" s="1">
        <v>1479</v>
      </c>
      <c r="W143" s="1">
        <v>1531</v>
      </c>
      <c r="AB143" s="1">
        <v>1228</v>
      </c>
      <c r="AG143" s="1">
        <v>1280</v>
      </c>
      <c r="AH143" s="1">
        <v>1238</v>
      </c>
      <c r="AI143" s="1">
        <v>1278</v>
      </c>
      <c r="AJ143" s="1">
        <v>1320</v>
      </c>
      <c r="AK143" s="1">
        <v>1405</v>
      </c>
      <c r="AL143" s="1">
        <v>1445</v>
      </c>
      <c r="AM143" s="1">
        <v>1465</v>
      </c>
      <c r="AN143" s="1">
        <v>1423</v>
      </c>
      <c r="AO143" s="1">
        <v>1440</v>
      </c>
      <c r="AP143" s="1">
        <v>1504</v>
      </c>
      <c r="AQ143" s="1">
        <v>1503</v>
      </c>
      <c r="AR143" s="1">
        <v>1478</v>
      </c>
      <c r="AS143" s="1">
        <v>1444</v>
      </c>
      <c r="AT143" s="1">
        <v>1484</v>
      </c>
      <c r="AU143" s="1">
        <v>1538</v>
      </c>
      <c r="AV143" s="1">
        <v>1588</v>
      </c>
      <c r="AW143" s="1">
        <v>1660</v>
      </c>
      <c r="AX143" s="1">
        <v>1609</v>
      </c>
      <c r="AY143" s="1">
        <v>1559</v>
      </c>
      <c r="AZ143" s="1">
        <v>1309</v>
      </c>
      <c r="BA143" s="1">
        <v>1415</v>
      </c>
      <c r="BB143" s="1">
        <v>1468</v>
      </c>
    </row>
    <row r="144" spans="1:54" s="44" customFormat="1">
      <c r="A144" s="44" t="s">
        <v>47</v>
      </c>
      <c r="C144" s="1">
        <v>28170</v>
      </c>
      <c r="H144" s="1">
        <v>29336</v>
      </c>
      <c r="M144" s="1">
        <v>29890</v>
      </c>
      <c r="R144" s="1">
        <v>27656</v>
      </c>
      <c r="W144" s="1">
        <v>29277</v>
      </c>
      <c r="AB144" s="1">
        <v>24920</v>
      </c>
      <c r="AG144" s="1">
        <v>26159</v>
      </c>
      <c r="AH144" s="1">
        <v>25628</v>
      </c>
      <c r="AI144" s="1">
        <v>26128</v>
      </c>
      <c r="AJ144" s="1">
        <v>26883</v>
      </c>
      <c r="AK144" s="1">
        <v>28485</v>
      </c>
      <c r="AL144" s="1">
        <v>30383</v>
      </c>
      <c r="AM144" s="1">
        <v>31715</v>
      </c>
      <c r="AN144" s="1">
        <v>31660</v>
      </c>
      <c r="AO144" s="1">
        <v>32657</v>
      </c>
      <c r="AP144" s="1">
        <v>33851</v>
      </c>
      <c r="AQ144" s="1">
        <v>34590</v>
      </c>
      <c r="AR144" s="1">
        <v>34243</v>
      </c>
      <c r="AS144" s="1">
        <v>34680</v>
      </c>
      <c r="AT144" s="1">
        <v>35555</v>
      </c>
      <c r="AU144" s="1">
        <v>37071</v>
      </c>
      <c r="AV144" s="1">
        <v>37712</v>
      </c>
      <c r="AW144" s="1">
        <v>38955</v>
      </c>
      <c r="AX144" s="1">
        <v>38186</v>
      </c>
      <c r="AY144" s="1">
        <v>37226</v>
      </c>
      <c r="AZ144" s="1">
        <v>32115</v>
      </c>
      <c r="BA144" s="1">
        <v>35541</v>
      </c>
      <c r="BB144" s="1">
        <v>36649</v>
      </c>
    </row>
    <row r="145" spans="1:54" s="7" customFormat="1">
      <c r="A145" s="7" t="s">
        <v>113</v>
      </c>
      <c r="C145" s="42">
        <f>C144/C142</f>
        <v>69.727722772277232</v>
      </c>
      <c r="H145" s="42">
        <f>H144/H142</f>
        <v>69.681710213776725</v>
      </c>
      <c r="M145" s="42">
        <f>M144/M142</f>
        <v>70</v>
      </c>
      <c r="R145" s="42">
        <f>R144/R142</f>
        <v>68.625310173697272</v>
      </c>
      <c r="W145" s="42">
        <f>W144/W142</f>
        <v>68.404205607476641</v>
      </c>
      <c r="AB145" s="42">
        <f>AB144/AB142</f>
        <v>71.815561959654175</v>
      </c>
      <c r="AG145" s="42">
        <f t="shared" ref="AG145:BB145" si="70">AG144/AG142</f>
        <v>68.839473684210532</v>
      </c>
      <c r="AH145" s="42">
        <f t="shared" si="70"/>
        <v>68.341333333333338</v>
      </c>
      <c r="AI145" s="42">
        <f t="shared" si="70"/>
        <v>66.994871794871798</v>
      </c>
      <c r="AJ145" s="42">
        <f t="shared" si="70"/>
        <v>66.37777777777778</v>
      </c>
      <c r="AK145" s="42">
        <f t="shared" si="70"/>
        <v>64.591836734693871</v>
      </c>
      <c r="AL145" s="42">
        <f t="shared" si="70"/>
        <v>66.338427947598248</v>
      </c>
      <c r="AM145" s="42">
        <f t="shared" si="70"/>
        <v>67.622601279317692</v>
      </c>
      <c r="AN145" s="42">
        <f t="shared" si="70"/>
        <v>66.652631578947364</v>
      </c>
      <c r="AO145" s="42">
        <f t="shared" si="70"/>
        <v>68.751578947368415</v>
      </c>
      <c r="AP145" s="42">
        <f t="shared" si="70"/>
        <v>69.083673469387762</v>
      </c>
      <c r="AQ145" s="42">
        <f t="shared" si="70"/>
        <v>68.63095238095238</v>
      </c>
      <c r="AR145" s="42">
        <f t="shared" si="70"/>
        <v>68.486000000000004</v>
      </c>
      <c r="AS145" s="42">
        <f t="shared" si="70"/>
        <v>69.36</v>
      </c>
      <c r="AT145" s="42">
        <f t="shared" si="70"/>
        <v>68.905038759689916</v>
      </c>
      <c r="AU145" s="42">
        <f t="shared" si="70"/>
        <v>69.291588785046727</v>
      </c>
      <c r="AV145" s="42">
        <f t="shared" si="70"/>
        <v>68.817518248175176</v>
      </c>
      <c r="AW145" s="42">
        <f t="shared" si="70"/>
        <v>69.191829484902314</v>
      </c>
      <c r="AX145" s="42">
        <f t="shared" si="70"/>
        <v>70.324125230202583</v>
      </c>
      <c r="AY145" s="42">
        <f t="shared" si="70"/>
        <v>71.041984732824432</v>
      </c>
      <c r="AZ145" s="42">
        <f t="shared" si="70"/>
        <v>73.658256880733944</v>
      </c>
      <c r="BA145" s="42">
        <f t="shared" si="70"/>
        <v>74.665966386554615</v>
      </c>
      <c r="BB145" s="42">
        <f t="shared" si="70"/>
        <v>74.338742393509122</v>
      </c>
    </row>
    <row r="146" spans="1:54" s="44" customFormat="1">
      <c r="A146" s="44" t="s">
        <v>19</v>
      </c>
    </row>
    <row r="147" spans="1:54" s="43" customFormat="1" ht="14.4">
      <c r="A147" s="43" t="s">
        <v>48</v>
      </c>
      <c r="C147" s="43">
        <v>0.12</v>
      </c>
      <c r="H147" s="43">
        <v>0.12</v>
      </c>
      <c r="M147" s="43">
        <v>0.12</v>
      </c>
      <c r="R147" s="43">
        <v>0.11</v>
      </c>
      <c r="W147" s="43">
        <v>0.11</v>
      </c>
      <c r="AB147" s="43">
        <v>0.11</v>
      </c>
      <c r="AG147" s="43">
        <v>0.12</v>
      </c>
      <c r="AH147" s="43">
        <v>0.13</v>
      </c>
      <c r="AI147" s="43">
        <v>0.13</v>
      </c>
      <c r="AJ147" s="43">
        <v>0.13</v>
      </c>
      <c r="AK147" s="43">
        <v>0.13</v>
      </c>
      <c r="AL147" s="43">
        <v>0.13</v>
      </c>
      <c r="AM147" s="43">
        <v>0.13</v>
      </c>
      <c r="AN147" s="43">
        <v>0.13</v>
      </c>
      <c r="AO147" s="43">
        <v>0.13</v>
      </c>
      <c r="AP147" s="43">
        <v>0.13</v>
      </c>
      <c r="AQ147" s="43">
        <v>0.14000000000000001</v>
      </c>
      <c r="AR147" s="43">
        <v>0.13</v>
      </c>
      <c r="AS147" s="43">
        <v>0.13</v>
      </c>
      <c r="AT147" s="43">
        <v>0.13</v>
      </c>
      <c r="AU147" s="43">
        <v>0.13</v>
      </c>
      <c r="AV147" s="43">
        <v>0.13</v>
      </c>
      <c r="AW147" s="43">
        <v>0.13</v>
      </c>
      <c r="AX147" s="43">
        <v>0.13</v>
      </c>
      <c r="AY147" s="43">
        <v>0.13</v>
      </c>
      <c r="AZ147" s="43">
        <v>0.14000000000000001</v>
      </c>
      <c r="BA147" s="43">
        <v>0.14000000000000001</v>
      </c>
      <c r="BB147" s="43">
        <v>0.13</v>
      </c>
    </row>
    <row r="148" spans="1:54" s="44" customFormat="1">
      <c r="A148" s="44" t="s">
        <v>49</v>
      </c>
      <c r="C148" s="44">
        <v>8.1300000000000008</v>
      </c>
      <c r="H148" s="44">
        <v>8.17</v>
      </c>
      <c r="M148" s="44">
        <v>8.43</v>
      </c>
      <c r="R148" s="44">
        <v>7.56</v>
      </c>
      <c r="W148" s="44">
        <v>7.5</v>
      </c>
      <c r="AB148" s="44">
        <v>8.01</v>
      </c>
      <c r="AG148" s="44">
        <v>8.4</v>
      </c>
      <c r="AH148" s="44">
        <v>8.82</v>
      </c>
      <c r="AI148" s="44">
        <v>8.69</v>
      </c>
      <c r="AJ148" s="44">
        <v>8.7100000000000009</v>
      </c>
      <c r="AK148" s="44">
        <v>8.5399999999999991</v>
      </c>
      <c r="AL148" s="44">
        <v>8.73</v>
      </c>
      <c r="AM148" s="44">
        <v>8.86</v>
      </c>
      <c r="AN148" s="44">
        <v>8.86</v>
      </c>
      <c r="AO148" s="44">
        <v>9.11</v>
      </c>
      <c r="AP148" s="44">
        <v>9.11</v>
      </c>
      <c r="AQ148" s="44">
        <v>9.35</v>
      </c>
      <c r="AR148" s="44">
        <v>9.23</v>
      </c>
      <c r="AS148" s="44">
        <v>9.3000000000000007</v>
      </c>
      <c r="AT148" s="44">
        <v>9.2899999999999991</v>
      </c>
      <c r="AU148" s="44">
        <v>9.1300000000000008</v>
      </c>
      <c r="AV148" s="44">
        <v>9.1999999999999993</v>
      </c>
      <c r="AW148" s="44">
        <v>9.2899999999999991</v>
      </c>
      <c r="AX148" s="44">
        <v>9.4</v>
      </c>
      <c r="AY148" s="44">
        <v>9.58</v>
      </c>
      <c r="AZ148" s="44">
        <v>10.06</v>
      </c>
      <c r="BA148" s="44">
        <v>10.17</v>
      </c>
      <c r="BB148" s="44">
        <v>9.9499999999999993</v>
      </c>
    </row>
    <row r="149" spans="1:54" s="44" customFormat="1">
      <c r="A149" s="44" t="s">
        <v>50</v>
      </c>
      <c r="C149" s="1">
        <v>3463</v>
      </c>
      <c r="H149" s="1">
        <v>3592</v>
      </c>
      <c r="M149" s="1">
        <v>3545</v>
      </c>
      <c r="R149" s="1">
        <v>3657</v>
      </c>
      <c r="W149" s="1">
        <v>3904</v>
      </c>
      <c r="AB149" s="1">
        <v>3110</v>
      </c>
      <c r="AG149" s="1">
        <v>3115</v>
      </c>
      <c r="AH149" s="1">
        <v>2906</v>
      </c>
      <c r="AI149" s="1">
        <v>3005</v>
      </c>
      <c r="AJ149" s="1">
        <v>3088</v>
      </c>
      <c r="AK149" s="1">
        <v>3334</v>
      </c>
      <c r="AL149" s="1">
        <v>3480</v>
      </c>
      <c r="AM149" s="1">
        <v>3579</v>
      </c>
      <c r="AN149" s="1">
        <v>3575</v>
      </c>
      <c r="AO149" s="1">
        <v>3583</v>
      </c>
      <c r="AP149" s="1">
        <v>3715</v>
      </c>
      <c r="AQ149" s="1">
        <v>3700</v>
      </c>
      <c r="AR149" s="1">
        <v>3710</v>
      </c>
      <c r="AS149" s="1">
        <v>3730</v>
      </c>
      <c r="AT149" s="1">
        <v>3826</v>
      </c>
      <c r="AU149" s="1">
        <v>4059</v>
      </c>
      <c r="AV149" s="1">
        <v>4098</v>
      </c>
      <c r="AW149" s="1">
        <v>4192</v>
      </c>
      <c r="AX149" s="1">
        <v>4062</v>
      </c>
      <c r="AY149" s="1">
        <v>3886</v>
      </c>
      <c r="AZ149" s="1">
        <v>3192</v>
      </c>
      <c r="BA149" s="1">
        <v>3494</v>
      </c>
      <c r="BB149" s="1">
        <v>3685</v>
      </c>
    </row>
    <row r="150" spans="1:54" s="44" customFormat="1">
      <c r="A150" s="44" t="s">
        <v>51</v>
      </c>
      <c r="C150" s="44">
        <v>165</v>
      </c>
      <c r="H150" s="44">
        <v>194</v>
      </c>
      <c r="M150" s="44">
        <v>216</v>
      </c>
      <c r="R150" s="44">
        <v>206</v>
      </c>
      <c r="W150" s="44">
        <v>235</v>
      </c>
      <c r="AB150" s="44">
        <v>282</v>
      </c>
      <c r="AG150" s="44">
        <v>332</v>
      </c>
      <c r="AH150" s="44">
        <v>357</v>
      </c>
      <c r="AI150" s="44">
        <v>355</v>
      </c>
      <c r="AJ150" s="44">
        <v>359</v>
      </c>
      <c r="AK150" s="44">
        <v>360</v>
      </c>
      <c r="AL150" s="44">
        <v>375</v>
      </c>
      <c r="AM150" s="44">
        <v>379</v>
      </c>
      <c r="AN150" s="44">
        <v>377</v>
      </c>
      <c r="AO150" s="44">
        <v>384</v>
      </c>
      <c r="AP150" s="44">
        <v>386</v>
      </c>
      <c r="AQ150" s="44">
        <v>396</v>
      </c>
      <c r="AR150" s="44">
        <v>403</v>
      </c>
      <c r="AS150" s="44">
        <v>404</v>
      </c>
      <c r="AT150" s="44">
        <v>405</v>
      </c>
      <c r="AU150" s="44">
        <v>410</v>
      </c>
      <c r="AV150" s="44">
        <v>414</v>
      </c>
      <c r="AW150" s="44">
        <v>423</v>
      </c>
      <c r="AX150" s="44">
        <v>436</v>
      </c>
      <c r="AY150" s="44">
        <v>457</v>
      </c>
      <c r="AZ150" s="44">
        <v>480</v>
      </c>
      <c r="BA150" s="44">
        <v>484</v>
      </c>
      <c r="BB150" s="44">
        <v>469</v>
      </c>
    </row>
    <row r="151" spans="1:54" s="44" customFormat="1">
      <c r="A151" s="44" t="s">
        <v>52</v>
      </c>
      <c r="C151" s="44" t="s">
        <v>21</v>
      </c>
      <c r="H151" s="44" t="s">
        <v>21</v>
      </c>
      <c r="M151" s="44" t="s">
        <v>21</v>
      </c>
      <c r="R151" s="44">
        <v>53.1</v>
      </c>
      <c r="W151" s="44">
        <v>54.5</v>
      </c>
      <c r="AB151" s="44">
        <v>54.5</v>
      </c>
      <c r="AG151" s="44">
        <v>68</v>
      </c>
      <c r="AH151" s="44">
        <v>67.5</v>
      </c>
      <c r="AI151" s="44">
        <v>71</v>
      </c>
      <c r="AJ151" s="44">
        <v>72.7</v>
      </c>
      <c r="AK151" s="44">
        <v>75.900000000000006</v>
      </c>
      <c r="AL151" s="44">
        <v>76.8</v>
      </c>
      <c r="AM151" s="44">
        <v>76</v>
      </c>
      <c r="AN151" s="44">
        <v>72.3</v>
      </c>
      <c r="AO151" s="44">
        <v>71.099999999999994</v>
      </c>
      <c r="AP151" s="44">
        <v>74.2</v>
      </c>
      <c r="AQ151" s="44">
        <v>75</v>
      </c>
      <c r="AR151" s="44">
        <v>74.8</v>
      </c>
      <c r="AS151" s="44">
        <v>70.400000000000006</v>
      </c>
      <c r="AT151" s="44">
        <v>71.400000000000006</v>
      </c>
      <c r="AU151" s="44">
        <v>69.900000000000006</v>
      </c>
      <c r="AV151" s="44">
        <v>69.7</v>
      </c>
      <c r="AW151" s="44">
        <v>69.900000000000006</v>
      </c>
      <c r="AX151" s="44">
        <v>66.599999999999994</v>
      </c>
      <c r="AY151" s="44">
        <v>64.900000000000006</v>
      </c>
      <c r="AZ151" s="44">
        <v>54.4</v>
      </c>
      <c r="BA151" s="44">
        <v>59.2</v>
      </c>
      <c r="BB151" s="44">
        <v>60.5</v>
      </c>
    </row>
    <row r="152" spans="1:54" s="44" customFormat="1">
      <c r="A152" s="44" t="s">
        <v>53</v>
      </c>
      <c r="C152" s="44">
        <v>119.3</v>
      </c>
      <c r="H152" s="44">
        <v>129.30000000000001</v>
      </c>
      <c r="M152" s="44">
        <v>130.9</v>
      </c>
      <c r="R152" s="44">
        <v>131.30000000000001</v>
      </c>
      <c r="W152" s="44">
        <v>139</v>
      </c>
      <c r="AB152" s="44">
        <v>137.9</v>
      </c>
      <c r="AG152" s="44">
        <v>165.4</v>
      </c>
      <c r="AH152" s="44">
        <v>158.4</v>
      </c>
      <c r="AI152" s="44">
        <v>166.9</v>
      </c>
      <c r="AJ152" s="44">
        <v>170</v>
      </c>
      <c r="AK152" s="44">
        <v>180.2</v>
      </c>
      <c r="AL152" s="44">
        <v>185</v>
      </c>
      <c r="AM152" s="44">
        <v>185.7</v>
      </c>
      <c r="AN152" s="44">
        <v>181.6</v>
      </c>
      <c r="AO152" s="44">
        <v>176.8</v>
      </c>
      <c r="AP152" s="44">
        <v>183.4</v>
      </c>
      <c r="AQ152" s="44">
        <v>184.7</v>
      </c>
      <c r="AR152" s="44">
        <v>187.9</v>
      </c>
      <c r="AS152" s="44">
        <v>181.9</v>
      </c>
      <c r="AT152" s="44">
        <v>184.2</v>
      </c>
      <c r="AU152" s="44">
        <v>184.4</v>
      </c>
      <c r="AV152" s="44">
        <v>179.9</v>
      </c>
      <c r="AW152" s="44">
        <v>176.6</v>
      </c>
      <c r="AX152" s="44">
        <v>168.2</v>
      </c>
      <c r="AY152" s="44">
        <v>161.9</v>
      </c>
      <c r="AZ152" s="44">
        <v>132.80000000000001</v>
      </c>
      <c r="BA152" s="44">
        <v>146.19999999999999</v>
      </c>
      <c r="BB152" s="44">
        <v>152</v>
      </c>
    </row>
    <row r="153" spans="1:54" s="44" customFormat="1"/>
    <row r="154" spans="1:54" s="49" customFormat="1" ht="16.5" customHeight="1" thickBot="1">
      <c r="A154" s="70" t="s">
        <v>54</v>
      </c>
      <c r="C154" s="70"/>
      <c r="H154" s="70"/>
      <c r="M154" s="70"/>
      <c r="R154" s="70"/>
      <c r="W154" s="70"/>
      <c r="AB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</row>
    <row r="155" spans="1:54" s="52" customFormat="1" ht="16.5" customHeight="1">
      <c r="A155" s="50"/>
      <c r="R155" s="46">
        <v>1975</v>
      </c>
      <c r="W155" s="46">
        <v>1980</v>
      </c>
      <c r="AB155" s="46">
        <v>1985</v>
      </c>
      <c r="AG155" s="46">
        <v>1990</v>
      </c>
      <c r="AH155" s="46">
        <v>1991</v>
      </c>
      <c r="AI155" s="46">
        <v>1992</v>
      </c>
      <c r="AJ155" s="46">
        <v>1993</v>
      </c>
      <c r="AK155" s="46">
        <v>1994</v>
      </c>
      <c r="AL155" s="46">
        <v>1995</v>
      </c>
      <c r="AM155" s="46">
        <v>1996</v>
      </c>
      <c r="AN155" s="46">
        <v>1997</v>
      </c>
      <c r="AO155" s="46">
        <v>1998</v>
      </c>
      <c r="AP155" s="46">
        <v>1999</v>
      </c>
      <c r="AQ155" s="46">
        <v>2000</v>
      </c>
      <c r="AR155" s="46">
        <v>2001</v>
      </c>
      <c r="AS155" s="51">
        <v>2002</v>
      </c>
      <c r="AT155" s="51">
        <v>2003</v>
      </c>
      <c r="AU155" s="51">
        <v>2004</v>
      </c>
      <c r="AV155" s="51">
        <v>2005</v>
      </c>
      <c r="AW155" s="51">
        <v>2006</v>
      </c>
      <c r="AX155" s="51">
        <v>2007</v>
      </c>
      <c r="AY155" s="51">
        <v>2008</v>
      </c>
      <c r="AZ155" s="51">
        <v>2009</v>
      </c>
      <c r="BA155" s="51">
        <v>2010</v>
      </c>
      <c r="BB155" s="51">
        <v>2011</v>
      </c>
    </row>
    <row r="156" spans="1:54" s="55" customFormat="1" ht="16.5" customHeight="1">
      <c r="A156" s="53" t="s">
        <v>41</v>
      </c>
      <c r="R156" s="45"/>
      <c r="W156" s="45"/>
      <c r="AB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54"/>
      <c r="AR156" s="54"/>
    </row>
    <row r="157" spans="1:54" s="55" customFormat="1" ht="16.5" customHeight="1">
      <c r="A157" s="56" t="s">
        <v>55</v>
      </c>
      <c r="R157" s="55">
        <v>355</v>
      </c>
      <c r="W157" s="55">
        <v>419</v>
      </c>
      <c r="AB157" s="55">
        <v>291</v>
      </c>
      <c r="AG157" s="55">
        <v>318</v>
      </c>
      <c r="AH157" s="55">
        <v>316</v>
      </c>
      <c r="AI157" s="55">
        <v>336</v>
      </c>
      <c r="AJ157" s="55">
        <v>360</v>
      </c>
      <c r="AK157" s="55">
        <v>338</v>
      </c>
      <c r="AL157" s="55">
        <v>313</v>
      </c>
      <c r="AM157" s="55">
        <v>299</v>
      </c>
      <c r="AN157" s="55">
        <v>332</v>
      </c>
      <c r="AO157" s="55">
        <v>345</v>
      </c>
      <c r="AP157" s="55">
        <v>329</v>
      </c>
      <c r="AQ157" s="55">
        <v>378</v>
      </c>
      <c r="AR157" s="55">
        <v>401</v>
      </c>
      <c r="AS157" s="55">
        <v>372</v>
      </c>
      <c r="AT157" s="55">
        <v>442</v>
      </c>
      <c r="AU157" s="55">
        <v>276</v>
      </c>
      <c r="AV157" s="55">
        <v>258</v>
      </c>
      <c r="AW157" s="55">
        <v>319</v>
      </c>
      <c r="AX157" s="55">
        <v>270</v>
      </c>
      <c r="AY157" s="55">
        <v>278</v>
      </c>
      <c r="AZ157" s="55">
        <v>274</v>
      </c>
      <c r="BA157" s="55">
        <v>282</v>
      </c>
      <c r="BB157" s="55">
        <v>287</v>
      </c>
    </row>
    <row r="158" spans="1:54" s="55" customFormat="1" ht="16.5" customHeight="1">
      <c r="A158" s="56" t="s">
        <v>56</v>
      </c>
      <c r="R158" s="57">
        <v>1913</v>
      </c>
      <c r="W158" s="57">
        <v>2128</v>
      </c>
      <c r="AB158" s="57">
        <v>1854</v>
      </c>
      <c r="AG158" s="57">
        <v>1863</v>
      </c>
      <c r="AH158" s="57">
        <v>1786</v>
      </c>
      <c r="AI158" s="57">
        <v>1796</v>
      </c>
      <c r="AJ158" s="57">
        <v>1853</v>
      </c>
      <c r="AK158" s="57">
        <v>1852</v>
      </c>
      <c r="AL158" s="57">
        <v>1722</v>
      </c>
      <c r="AM158" s="57">
        <v>1730</v>
      </c>
      <c r="AN158" s="57">
        <v>1728</v>
      </c>
      <c r="AO158" s="57">
        <v>1962</v>
      </c>
      <c r="AP158" s="57">
        <v>1992</v>
      </c>
      <c r="AQ158" s="57">
        <v>1894</v>
      </c>
      <c r="AR158" s="57">
        <v>2084</v>
      </c>
      <c r="AS158" s="57">
        <v>2896</v>
      </c>
      <c r="AT158" s="57">
        <v>1623</v>
      </c>
      <c r="AU158" s="57">
        <v>1211</v>
      </c>
      <c r="AV158" s="57">
        <v>1186</v>
      </c>
      <c r="AW158" s="57">
        <v>1191</v>
      </c>
      <c r="AX158" s="57">
        <v>1164</v>
      </c>
      <c r="AY158" s="57">
        <v>1177</v>
      </c>
      <c r="AZ158" s="57">
        <v>1214</v>
      </c>
      <c r="BA158" s="57">
        <v>1274</v>
      </c>
      <c r="BB158" s="57">
        <v>1301</v>
      </c>
    </row>
    <row r="159" spans="1:54" s="55" customFormat="1" ht="16.5" customHeight="1">
      <c r="A159" s="53" t="s">
        <v>44</v>
      </c>
    </row>
    <row r="160" spans="1:54" s="55" customFormat="1" ht="16.5" customHeight="1">
      <c r="A160" s="56" t="s">
        <v>57</v>
      </c>
      <c r="R160" s="57">
        <v>30</v>
      </c>
      <c r="W160" s="57">
        <v>30</v>
      </c>
      <c r="AB160" s="57">
        <v>30</v>
      </c>
      <c r="AG160" s="57">
        <v>33</v>
      </c>
      <c r="AH160" s="57">
        <v>34</v>
      </c>
      <c r="AI160" s="57">
        <v>34</v>
      </c>
      <c r="AJ160" s="57">
        <v>35</v>
      </c>
      <c r="AK160" s="57">
        <v>34</v>
      </c>
      <c r="AL160" s="57">
        <v>32</v>
      </c>
      <c r="AM160" s="57">
        <v>30</v>
      </c>
      <c r="AN160" s="57">
        <v>32</v>
      </c>
      <c r="AO160" s="57">
        <v>33</v>
      </c>
      <c r="AP160" s="57">
        <v>34</v>
      </c>
      <c r="AQ160" s="57">
        <v>35</v>
      </c>
      <c r="AR160" s="57">
        <v>36</v>
      </c>
      <c r="AS160" s="57">
        <v>38</v>
      </c>
      <c r="AT160" s="57">
        <v>37.459214000000003</v>
      </c>
      <c r="AU160" s="57">
        <v>37.158630000000002</v>
      </c>
      <c r="AV160" s="57">
        <v>36.198799999999999</v>
      </c>
      <c r="AW160" s="57">
        <v>36.083010999999999</v>
      </c>
      <c r="AX160" s="57">
        <v>37.483665999999999</v>
      </c>
      <c r="AY160" s="57">
        <v>37.735999999999997</v>
      </c>
      <c r="AZ160" s="57">
        <v>38.299999999999997</v>
      </c>
      <c r="BA160" s="57">
        <v>37.453000000000003</v>
      </c>
      <c r="BB160" s="57">
        <v>37.090000000000003</v>
      </c>
    </row>
    <row r="161" spans="1:54" s="55" customFormat="1" ht="16.5" customHeight="1">
      <c r="A161" s="56" t="s">
        <v>58</v>
      </c>
      <c r="R161" s="57">
        <v>252.93799999999999</v>
      </c>
      <c r="W161" s="57">
        <v>235</v>
      </c>
      <c r="AB161" s="57">
        <v>251</v>
      </c>
      <c r="AG161" s="57">
        <v>301</v>
      </c>
      <c r="AH161" s="57">
        <v>313</v>
      </c>
      <c r="AI161" s="57">
        <v>307.25400000000002</v>
      </c>
      <c r="AJ161" s="57">
        <v>303.24299999999999</v>
      </c>
      <c r="AK161" s="57">
        <v>304</v>
      </c>
      <c r="AL161" s="57">
        <v>292</v>
      </c>
      <c r="AM161" s="57">
        <v>276</v>
      </c>
      <c r="AN161" s="57">
        <v>288</v>
      </c>
      <c r="AO161" s="57">
        <v>312</v>
      </c>
      <c r="AP161" s="57">
        <v>342</v>
      </c>
      <c r="AQ161" s="57">
        <v>368</v>
      </c>
      <c r="AR161" s="57">
        <v>377.70542499999999</v>
      </c>
      <c r="AS161" s="57">
        <v>378.54229099999998</v>
      </c>
      <c r="AT161" s="57">
        <v>331.86369999999999</v>
      </c>
      <c r="AU161" s="57">
        <v>308.43726900000001</v>
      </c>
      <c r="AV161" s="57">
        <v>264.79555699999997</v>
      </c>
      <c r="AW161" s="57">
        <v>263.90816699999999</v>
      </c>
      <c r="AX161" s="57">
        <v>266.54528599999998</v>
      </c>
      <c r="AY161" s="57">
        <v>271.762</v>
      </c>
      <c r="AZ161" s="57">
        <v>282.76400000000001</v>
      </c>
      <c r="BA161" s="57">
        <v>294.82</v>
      </c>
      <c r="BB161" s="57">
        <v>296.315</v>
      </c>
    </row>
    <row r="162" spans="1:54" s="55" customFormat="1" ht="16.5" customHeight="1">
      <c r="A162" s="56" t="s">
        <v>114</v>
      </c>
      <c r="R162" s="92">
        <f>R161/R160</f>
        <v>8.4312666666666658</v>
      </c>
      <c r="W162" s="92">
        <f>W161/W160</f>
        <v>7.833333333333333</v>
      </c>
      <c r="AB162" s="92">
        <f>AB161/AB160</f>
        <v>8.3666666666666671</v>
      </c>
      <c r="AG162" s="92">
        <f t="shared" ref="AG162:BB162" si="71">AG161/AG160</f>
        <v>9.1212121212121211</v>
      </c>
      <c r="AH162" s="92">
        <f t="shared" si="71"/>
        <v>9.2058823529411757</v>
      </c>
      <c r="AI162" s="92">
        <f t="shared" si="71"/>
        <v>9.036882352941177</v>
      </c>
      <c r="AJ162" s="92">
        <f t="shared" si="71"/>
        <v>8.6640857142857133</v>
      </c>
      <c r="AK162" s="92">
        <f t="shared" si="71"/>
        <v>8.9411764705882355</v>
      </c>
      <c r="AL162" s="92">
        <f t="shared" si="71"/>
        <v>9.125</v>
      </c>
      <c r="AM162" s="92">
        <f t="shared" si="71"/>
        <v>9.1999999999999993</v>
      </c>
      <c r="AN162" s="92">
        <f t="shared" si="71"/>
        <v>9</v>
      </c>
      <c r="AO162" s="92">
        <f t="shared" si="71"/>
        <v>9.454545454545455</v>
      </c>
      <c r="AP162" s="92">
        <f t="shared" si="71"/>
        <v>10.058823529411764</v>
      </c>
      <c r="AQ162" s="92">
        <f t="shared" si="71"/>
        <v>10.514285714285714</v>
      </c>
      <c r="AR162" s="92">
        <f t="shared" si="71"/>
        <v>10.49181736111111</v>
      </c>
      <c r="AS162" s="92">
        <f t="shared" si="71"/>
        <v>9.9616392368421049</v>
      </c>
      <c r="AT162" s="92">
        <f t="shared" si="71"/>
        <v>8.8593343149164845</v>
      </c>
      <c r="AU162" s="92">
        <f t="shared" si="71"/>
        <v>8.3005554564309829</v>
      </c>
      <c r="AV162" s="92">
        <f t="shared" si="71"/>
        <v>7.3150368796755689</v>
      </c>
      <c r="AW162" s="92">
        <f t="shared" si="71"/>
        <v>7.3139175386444331</v>
      </c>
      <c r="AX162" s="92">
        <f t="shared" si="71"/>
        <v>7.1109716429550938</v>
      </c>
      <c r="AY162" s="92">
        <f t="shared" si="71"/>
        <v>7.2016641933432268</v>
      </c>
      <c r="AZ162" s="92">
        <f t="shared" si="71"/>
        <v>7.3828720626631865</v>
      </c>
      <c r="BA162" s="92">
        <f t="shared" si="71"/>
        <v>7.8717325714895994</v>
      </c>
      <c r="BB162" s="92">
        <f t="shared" si="71"/>
        <v>7.9890806147209483</v>
      </c>
    </row>
    <row r="163" spans="1:54" s="55" customFormat="1" ht="16.5" customHeight="1">
      <c r="A163" s="56"/>
      <c r="R163" s="57"/>
      <c r="W163" s="57"/>
      <c r="AB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</row>
    <row r="164" spans="1:54" s="58" customFormat="1" ht="16.5" customHeight="1">
      <c r="A164" s="53" t="s">
        <v>59</v>
      </c>
    </row>
    <row r="165" spans="1:54" s="55" customFormat="1" ht="16.5" customHeight="1">
      <c r="A165" s="56" t="s">
        <v>60</v>
      </c>
      <c r="R165" s="59">
        <v>180.3</v>
      </c>
      <c r="W165" s="59">
        <v>253.8</v>
      </c>
      <c r="AB165" s="59">
        <v>295.10000000000002</v>
      </c>
      <c r="AG165" s="59">
        <v>329.6</v>
      </c>
      <c r="AH165" s="59">
        <v>302.5</v>
      </c>
      <c r="AI165" s="59">
        <v>300</v>
      </c>
      <c r="AJ165" s="59">
        <v>301</v>
      </c>
      <c r="AK165" s="59">
        <v>308.94799999999998</v>
      </c>
      <c r="AL165" s="59">
        <v>335.81799999999998</v>
      </c>
      <c r="AM165" s="59">
        <v>362.68900000000002</v>
      </c>
      <c r="AN165" s="59">
        <v>389.55900000000003</v>
      </c>
      <c r="AO165" s="59">
        <v>416.42899999999997</v>
      </c>
      <c r="AP165" s="59">
        <v>443.3</v>
      </c>
      <c r="AQ165" s="59">
        <v>470.17</v>
      </c>
      <c r="AR165" s="59">
        <v>455.70320079999999</v>
      </c>
      <c r="AS165" s="59">
        <v>518.30610000000001</v>
      </c>
      <c r="AT165" s="59">
        <v>536.94980699999996</v>
      </c>
      <c r="AU165" s="59">
        <v>550.69514500000002</v>
      </c>
      <c r="AV165" s="59">
        <v>531.37718812000003</v>
      </c>
      <c r="AW165" s="59">
        <v>548.85629716000005</v>
      </c>
      <c r="AX165" s="59">
        <v>577.86365023999997</v>
      </c>
      <c r="AY165" s="59">
        <v>582.02206971999999</v>
      </c>
      <c r="AZ165" s="59">
        <v>564.96775400000001</v>
      </c>
      <c r="BA165" s="59">
        <v>558.661565</v>
      </c>
      <c r="BB165" s="59">
        <v>555.42530999999997</v>
      </c>
    </row>
    <row r="166" spans="1:54" s="55" customFormat="1" ht="16.5" customHeight="1">
      <c r="A166" s="56" t="s">
        <v>120</v>
      </c>
      <c r="R166" s="59">
        <f>R165*$C$205/1000000</f>
        <v>4.4282424372975902</v>
      </c>
      <c r="W166" s="59">
        <f>W165*$C$205/1000000</f>
        <v>6.2334327819530131</v>
      </c>
      <c r="AB166" s="59">
        <f>AB165*$C$205/1000000</f>
        <v>7.247777832759394</v>
      </c>
      <c r="AG166" s="59">
        <f t="shared" ref="AG166:BB166" si="72">AG165*$C$205/1000000</f>
        <v>8.095112076169082</v>
      </c>
      <c r="AH166" s="59">
        <f t="shared" si="72"/>
        <v>7.4295248878675597</v>
      </c>
      <c r="AI166" s="59">
        <f t="shared" si="72"/>
        <v>7.3681238557364219</v>
      </c>
      <c r="AJ166" s="59">
        <f t="shared" si="72"/>
        <v>7.3926842685888774</v>
      </c>
      <c r="AK166" s="59">
        <f t="shared" si="72"/>
        <v>7.5878904299401873</v>
      </c>
      <c r="AL166" s="59">
        <f t="shared" si="72"/>
        <v>8.2478287232856466</v>
      </c>
      <c r="AM166" s="59">
        <f t="shared" si="72"/>
        <v>8.9077915770439589</v>
      </c>
      <c r="AN166" s="59">
        <f t="shared" si="72"/>
        <v>9.5677298703894174</v>
      </c>
      <c r="AO166" s="59">
        <f t="shared" si="72"/>
        <v>10.227668163734876</v>
      </c>
      <c r="AP166" s="59">
        <f t="shared" si="72"/>
        <v>10.887631017493186</v>
      </c>
      <c r="AQ166" s="59">
        <f t="shared" si="72"/>
        <v>11.547569310838645</v>
      </c>
      <c r="AR166" s="59">
        <f t="shared" si="72"/>
        <v>11.192258749833083</v>
      </c>
      <c r="AS166" s="59">
        <f t="shared" si="72"/>
        <v>12.729811799945693</v>
      </c>
      <c r="AT166" s="59">
        <f t="shared" si="72"/>
        <v>13.187708940965893</v>
      </c>
      <c r="AU166" s="59">
        <f t="shared" si="72"/>
        <v>13.525300117042429</v>
      </c>
      <c r="AV166" s="59">
        <f t="shared" si="72"/>
        <v>13.050843120603711</v>
      </c>
      <c r="AW166" s="59">
        <f t="shared" si="72"/>
        <v>13.480137254919184</v>
      </c>
      <c r="AX166" s="59">
        <f t="shared" si="72"/>
        <v>14.192569822320907</v>
      </c>
      <c r="AY166" s="59">
        <f t="shared" si="72"/>
        <v>14.294702321563397</v>
      </c>
      <c r="AZ166" s="59">
        <f t="shared" si="72"/>
        <v>13.875841286564089</v>
      </c>
      <c r="BA166" s="59">
        <f t="shared" si="72"/>
        <v>13.72095868119848</v>
      </c>
      <c r="BB166" s="59">
        <f t="shared" si="72"/>
        <v>13.641474922302658</v>
      </c>
    </row>
    <row r="167" spans="1:54" s="55" customFormat="1" ht="16.5" customHeight="1">
      <c r="A167" s="56" t="s">
        <v>121</v>
      </c>
      <c r="R167" s="59">
        <v>63.1</v>
      </c>
      <c r="W167" s="59">
        <v>63.5</v>
      </c>
      <c r="AB167" s="59">
        <v>64.8</v>
      </c>
      <c r="AG167" s="59">
        <v>82.1</v>
      </c>
      <c r="AH167" s="59">
        <v>82</v>
      </c>
      <c r="AI167" s="59">
        <v>81.5</v>
      </c>
      <c r="AJ167" s="59">
        <v>82.8</v>
      </c>
      <c r="AK167" s="59">
        <v>73.516000000000005</v>
      </c>
      <c r="AL167" s="59">
        <v>72.370999999999995</v>
      </c>
      <c r="AM167" s="59">
        <v>71.225999999999999</v>
      </c>
      <c r="AN167" s="59">
        <v>75.656000000000006</v>
      </c>
      <c r="AO167" s="59">
        <v>75.998999999999995</v>
      </c>
      <c r="AP167" s="59">
        <v>79.173000000000002</v>
      </c>
      <c r="AQ167" s="59">
        <v>94.968000000000004</v>
      </c>
      <c r="AR167" s="59">
        <v>96.846000000000004</v>
      </c>
      <c r="AS167" s="59">
        <v>84.431803000000002</v>
      </c>
      <c r="AT167" s="59">
        <v>74.621082999999999</v>
      </c>
      <c r="AU167" s="59">
        <v>68.604913999999994</v>
      </c>
      <c r="AV167" s="59">
        <v>65.476833999999997</v>
      </c>
      <c r="AW167" s="59">
        <v>62.462856000000002</v>
      </c>
      <c r="AX167" s="59">
        <v>61.823715999999997</v>
      </c>
      <c r="AY167" s="59">
        <v>63.427579999999999</v>
      </c>
      <c r="AZ167" s="59">
        <v>61.703963999999999</v>
      </c>
      <c r="BA167" s="59">
        <v>63.474021</v>
      </c>
      <c r="BB167" s="59">
        <v>63.450471</v>
      </c>
    </row>
    <row r="168" spans="1:54" s="55" customFormat="1" ht="16.5" customHeight="1">
      <c r="A168" s="56" t="s">
        <v>122</v>
      </c>
      <c r="R168" s="59">
        <f>SUM(R166:R167)</f>
        <v>67.528242437297592</v>
      </c>
      <c r="W168" s="59">
        <f>SUM(W166:W167)</f>
        <v>69.733432781953013</v>
      </c>
      <c r="AB168" s="59">
        <f>SUM(AB166:AB167)</f>
        <v>72.047777832759394</v>
      </c>
      <c r="AG168" s="59">
        <f t="shared" ref="AG168:BB168" si="73">SUM(AG166:AG167)</f>
        <v>90.195112076169082</v>
      </c>
      <c r="AH168" s="59">
        <f t="shared" si="73"/>
        <v>89.429524887867558</v>
      </c>
      <c r="AI168" s="59">
        <f t="shared" si="73"/>
        <v>88.868123855736428</v>
      </c>
      <c r="AJ168" s="59">
        <f t="shared" si="73"/>
        <v>90.192684268588877</v>
      </c>
      <c r="AK168" s="59">
        <f t="shared" si="73"/>
        <v>81.103890429940193</v>
      </c>
      <c r="AL168" s="59">
        <f t="shared" si="73"/>
        <v>80.618828723285645</v>
      </c>
      <c r="AM168" s="59">
        <f t="shared" si="73"/>
        <v>80.133791577043951</v>
      </c>
      <c r="AN168" s="59">
        <f t="shared" si="73"/>
        <v>85.22372987038942</v>
      </c>
      <c r="AO168" s="59">
        <f t="shared" si="73"/>
        <v>86.226668163734871</v>
      </c>
      <c r="AP168" s="59">
        <f t="shared" si="73"/>
        <v>90.060631017493193</v>
      </c>
      <c r="AQ168" s="59">
        <f t="shared" si="73"/>
        <v>106.51556931083864</v>
      </c>
      <c r="AR168" s="59">
        <f t="shared" si="73"/>
        <v>108.03825874983309</v>
      </c>
      <c r="AS168" s="59">
        <f t="shared" si="73"/>
        <v>97.161614799945696</v>
      </c>
      <c r="AT168" s="59">
        <f t="shared" si="73"/>
        <v>87.808791940965889</v>
      </c>
      <c r="AU168" s="59">
        <f t="shared" si="73"/>
        <v>82.130214117042428</v>
      </c>
      <c r="AV168" s="59">
        <f t="shared" si="73"/>
        <v>78.527677120603713</v>
      </c>
      <c r="AW168" s="59">
        <f t="shared" si="73"/>
        <v>75.942993254919188</v>
      </c>
      <c r="AX168" s="59">
        <f t="shared" si="73"/>
        <v>76.01628582232091</v>
      </c>
      <c r="AY168" s="59">
        <f t="shared" si="73"/>
        <v>77.722282321563398</v>
      </c>
      <c r="AZ168" s="59">
        <f t="shared" si="73"/>
        <v>75.579805286564095</v>
      </c>
      <c r="BA168" s="59">
        <f t="shared" si="73"/>
        <v>77.194979681198475</v>
      </c>
      <c r="BB168" s="59">
        <f t="shared" si="73"/>
        <v>77.091945922302656</v>
      </c>
    </row>
    <row r="169" spans="1:54" s="55" customFormat="1" ht="16.5" customHeight="1" thickBot="1">
      <c r="A169" s="60" t="s">
        <v>61</v>
      </c>
      <c r="R169" s="61">
        <f>R161*1000/R158</f>
        <v>132.2205959226346</v>
      </c>
      <c r="W169" s="61">
        <f>W161*1000/W158</f>
        <v>110.43233082706767</v>
      </c>
      <c r="AB169" s="61">
        <f>AB161*1000/AB158</f>
        <v>135.38295577130529</v>
      </c>
      <c r="AG169" s="61">
        <f t="shared" ref="AG169:BB169" si="74">AG161*1000/AG158</f>
        <v>161.5673644659152</v>
      </c>
      <c r="AH169" s="61">
        <f t="shared" si="74"/>
        <v>175.25195968645016</v>
      </c>
      <c r="AI169" s="61">
        <f t="shared" si="74"/>
        <v>171.07683741648106</v>
      </c>
      <c r="AJ169" s="61">
        <f t="shared" si="74"/>
        <v>163.64975715056664</v>
      </c>
      <c r="AK169" s="61">
        <f t="shared" si="74"/>
        <v>164.14686825053997</v>
      </c>
      <c r="AL169" s="61">
        <f t="shared" si="74"/>
        <v>169.57026713124273</v>
      </c>
      <c r="AM169" s="61">
        <f t="shared" si="74"/>
        <v>159.53757225433526</v>
      </c>
      <c r="AN169" s="61">
        <f t="shared" si="74"/>
        <v>166.66666666666666</v>
      </c>
      <c r="AO169" s="61">
        <f t="shared" si="74"/>
        <v>159.02140672782875</v>
      </c>
      <c r="AP169" s="61">
        <f t="shared" si="74"/>
        <v>171.68674698795181</v>
      </c>
      <c r="AQ169" s="61">
        <f t="shared" si="74"/>
        <v>194.29778247096093</v>
      </c>
      <c r="AR169" s="61">
        <f t="shared" si="74"/>
        <v>181.24060700575816</v>
      </c>
      <c r="AS169" s="61">
        <f t="shared" si="74"/>
        <v>130.71211705801105</v>
      </c>
      <c r="AT169" s="61">
        <f t="shared" si="74"/>
        <v>204.4754775107825</v>
      </c>
      <c r="AU169" s="61">
        <f t="shared" si="74"/>
        <v>254.69634104046244</v>
      </c>
      <c r="AV169" s="61">
        <f t="shared" si="74"/>
        <v>223.26775463743675</v>
      </c>
      <c r="AW169" s="61">
        <f t="shared" si="74"/>
        <v>221.58536272040303</v>
      </c>
      <c r="AX169" s="61">
        <f t="shared" si="74"/>
        <v>228.99079553264602</v>
      </c>
      <c r="AY169" s="61">
        <f t="shared" si="74"/>
        <v>230.89379779099406</v>
      </c>
      <c r="AZ169" s="61">
        <f t="shared" si="74"/>
        <v>232.91927512355849</v>
      </c>
      <c r="BA169" s="61">
        <f t="shared" si="74"/>
        <v>231.41287284144428</v>
      </c>
      <c r="BB169" s="61">
        <f t="shared" si="74"/>
        <v>227.75941583397386</v>
      </c>
    </row>
    <row r="170" spans="1:54" s="63" customFormat="1" ht="12.75" customHeight="1">
      <c r="A170" s="170" t="s">
        <v>62</v>
      </c>
      <c r="B170" s="171"/>
      <c r="C170" s="171"/>
      <c r="D170" s="171"/>
      <c r="E170" s="171"/>
      <c r="F170" s="171"/>
      <c r="G170" s="171"/>
      <c r="H170" s="171"/>
      <c r="I170" s="171"/>
      <c r="J170" s="171"/>
      <c r="K170" s="171"/>
      <c r="L170" s="171"/>
      <c r="M170" s="62"/>
    </row>
    <row r="171" spans="1:54" s="63" customFormat="1" ht="12.75" customHeight="1">
      <c r="A171" s="172"/>
      <c r="B171" s="161"/>
      <c r="C171" s="161"/>
      <c r="D171" s="161"/>
      <c r="E171" s="161"/>
      <c r="F171" s="161"/>
      <c r="G171" s="161"/>
      <c r="H171" s="161"/>
      <c r="I171" s="161"/>
      <c r="J171" s="168"/>
      <c r="K171" s="168"/>
      <c r="L171" s="168"/>
      <c r="M171" s="64"/>
    </row>
    <row r="172" spans="1:54" s="63" customFormat="1" ht="12.75" customHeight="1">
      <c r="A172" s="173" t="s">
        <v>63</v>
      </c>
      <c r="B172" s="173"/>
      <c r="C172" s="173"/>
      <c r="D172" s="173"/>
      <c r="E172" s="173"/>
      <c r="F172" s="173"/>
      <c r="G172" s="173"/>
      <c r="H172" s="161"/>
      <c r="I172" s="161"/>
      <c r="J172" s="168"/>
      <c r="K172" s="168"/>
      <c r="L172" s="168"/>
      <c r="M172" s="65"/>
    </row>
    <row r="173" spans="1:54" s="63" customFormat="1" ht="12.75" customHeight="1">
      <c r="A173" s="167" t="s">
        <v>64</v>
      </c>
      <c r="B173" s="167"/>
      <c r="C173" s="167"/>
      <c r="D173" s="167"/>
      <c r="E173" s="167"/>
      <c r="F173" s="167"/>
      <c r="G173" s="167"/>
      <c r="H173" s="161"/>
      <c r="I173" s="161"/>
      <c r="J173" s="168"/>
      <c r="K173" s="168"/>
      <c r="L173" s="168"/>
      <c r="M173" s="66"/>
    </row>
    <row r="174" spans="1:54" s="63" customFormat="1" ht="12.75" customHeight="1">
      <c r="A174" s="160" t="s">
        <v>65</v>
      </c>
      <c r="B174" s="160"/>
      <c r="C174" s="160"/>
      <c r="D174" s="160"/>
      <c r="E174" s="160"/>
      <c r="F174" s="160"/>
      <c r="G174" s="160"/>
      <c r="H174" s="161"/>
      <c r="I174" s="161"/>
      <c r="J174" s="161"/>
      <c r="K174" s="161"/>
      <c r="L174" s="161"/>
      <c r="M174" s="67"/>
    </row>
    <row r="175" spans="1:54" s="68" customFormat="1" ht="12.75" customHeight="1">
      <c r="A175" s="160" t="s">
        <v>66</v>
      </c>
      <c r="B175" s="160"/>
      <c r="C175" s="160"/>
      <c r="D175" s="160"/>
      <c r="E175" s="160"/>
      <c r="F175" s="160"/>
      <c r="G175" s="160"/>
      <c r="H175" s="161"/>
      <c r="I175" s="161"/>
      <c r="J175" s="161"/>
      <c r="K175" s="161"/>
      <c r="L175" s="161"/>
      <c r="M175" s="67"/>
    </row>
    <row r="176" spans="1:54" s="68" customFormat="1" ht="12.75" customHeight="1">
      <c r="A176" s="165" t="s">
        <v>67</v>
      </c>
      <c r="B176" s="165"/>
      <c r="C176" s="165"/>
      <c r="D176" s="165"/>
      <c r="E176" s="165"/>
      <c r="F176" s="165"/>
      <c r="G176" s="165"/>
      <c r="H176" s="166"/>
      <c r="I176" s="166"/>
      <c r="J176" s="166"/>
      <c r="K176" s="166"/>
      <c r="L176" s="166"/>
      <c r="M176" s="67"/>
    </row>
    <row r="177" spans="1:13" s="68" customFormat="1" ht="12.75" customHeight="1">
      <c r="A177" s="167" t="s">
        <v>68</v>
      </c>
      <c r="B177" s="167"/>
      <c r="C177" s="167"/>
      <c r="D177" s="167"/>
      <c r="E177" s="167"/>
      <c r="F177" s="167"/>
      <c r="G177" s="167"/>
      <c r="H177" s="161"/>
      <c r="I177" s="161"/>
      <c r="J177" s="168"/>
      <c r="K177" s="168"/>
      <c r="L177" s="168"/>
      <c r="M177" s="66"/>
    </row>
    <row r="178" spans="1:13" s="68" customFormat="1" ht="12.75" customHeight="1">
      <c r="A178" s="169" t="s">
        <v>69</v>
      </c>
      <c r="B178" s="169"/>
      <c r="C178" s="169"/>
      <c r="D178" s="169"/>
      <c r="E178" s="169"/>
      <c r="F178" s="169"/>
      <c r="G178" s="169"/>
      <c r="H178" s="161"/>
      <c r="I178" s="161"/>
      <c r="J178" s="168"/>
      <c r="K178" s="168"/>
      <c r="L178" s="168"/>
      <c r="M178" s="69"/>
    </row>
    <row r="179" spans="1:13" s="68" customFormat="1" ht="12.75" customHeight="1">
      <c r="A179" s="165" t="s">
        <v>70</v>
      </c>
      <c r="B179" s="165"/>
      <c r="C179" s="165"/>
      <c r="D179" s="165"/>
      <c r="E179" s="165"/>
      <c r="F179" s="165"/>
      <c r="G179" s="165"/>
      <c r="H179" s="166"/>
      <c r="I179" s="166"/>
      <c r="J179" s="166"/>
      <c r="K179" s="166"/>
      <c r="L179" s="166"/>
      <c r="M179" s="67"/>
    </row>
    <row r="180" spans="1:13" s="68" customFormat="1" ht="12.75" customHeight="1">
      <c r="A180" s="165" t="s">
        <v>71</v>
      </c>
      <c r="B180" s="165"/>
      <c r="C180" s="165"/>
      <c r="D180" s="165"/>
      <c r="E180" s="165"/>
      <c r="F180" s="165"/>
      <c r="G180" s="165"/>
      <c r="H180" s="166"/>
      <c r="I180" s="166"/>
      <c r="J180" s="166"/>
      <c r="K180" s="166"/>
      <c r="L180" s="166"/>
      <c r="M180" s="67"/>
    </row>
    <row r="181" spans="1:13" s="68" customFormat="1" ht="12.75" customHeight="1">
      <c r="A181" s="169" t="s">
        <v>72</v>
      </c>
      <c r="B181" s="169"/>
      <c r="C181" s="169"/>
      <c r="D181" s="169"/>
      <c r="E181" s="169"/>
      <c r="F181" s="169"/>
      <c r="G181" s="169"/>
      <c r="H181" s="161"/>
      <c r="I181" s="161"/>
      <c r="J181" s="161"/>
      <c r="K181" s="161"/>
      <c r="L181" s="161"/>
      <c r="M181" s="69"/>
    </row>
    <row r="182" spans="1:13" s="68" customFormat="1" ht="12.75" customHeight="1">
      <c r="A182" s="165" t="s">
        <v>73</v>
      </c>
      <c r="B182" s="165"/>
      <c r="C182" s="165"/>
      <c r="D182" s="165"/>
      <c r="E182" s="165"/>
      <c r="F182" s="165"/>
      <c r="G182" s="165"/>
      <c r="H182" s="166"/>
      <c r="I182" s="166"/>
      <c r="J182" s="166"/>
      <c r="K182" s="166"/>
      <c r="L182" s="166"/>
      <c r="M182" s="67"/>
    </row>
    <row r="183" spans="1:13" s="68" customFormat="1" ht="12.75" customHeight="1">
      <c r="A183" s="165" t="s">
        <v>74</v>
      </c>
      <c r="B183" s="165"/>
      <c r="C183" s="165"/>
      <c r="D183" s="165"/>
      <c r="E183" s="165"/>
      <c r="F183" s="165"/>
      <c r="G183" s="165"/>
      <c r="H183" s="166"/>
      <c r="I183" s="166"/>
      <c r="J183" s="166"/>
      <c r="K183" s="166"/>
      <c r="L183" s="166"/>
      <c r="M183" s="67"/>
    </row>
    <row r="184" spans="1:13" s="68" customFormat="1" ht="12.75" customHeight="1">
      <c r="A184" s="165" t="s">
        <v>75</v>
      </c>
      <c r="B184" s="165"/>
      <c r="C184" s="165"/>
      <c r="D184" s="165"/>
      <c r="E184" s="165"/>
      <c r="F184" s="165"/>
      <c r="G184" s="165"/>
      <c r="H184" s="166"/>
      <c r="I184" s="166"/>
      <c r="J184" s="166"/>
      <c r="K184" s="166"/>
      <c r="L184" s="166"/>
      <c r="M184" s="67"/>
    </row>
    <row r="185" spans="1:13" s="68" customFormat="1" ht="12.75" customHeight="1">
      <c r="A185" s="165" t="s">
        <v>67</v>
      </c>
      <c r="B185" s="165"/>
      <c r="C185" s="165"/>
      <c r="D185" s="165"/>
      <c r="E185" s="165"/>
      <c r="F185" s="165"/>
      <c r="G185" s="165"/>
      <c r="H185" s="166"/>
      <c r="I185" s="166"/>
      <c r="J185" s="166"/>
      <c r="K185" s="166"/>
      <c r="L185" s="166"/>
      <c r="M185" s="67"/>
    </row>
    <row r="186" spans="1:13" s="49" customFormat="1" ht="12.75" customHeight="1">
      <c r="A186" s="163" t="s">
        <v>76</v>
      </c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</row>
    <row r="187" spans="1:13" s="49" customFormat="1" ht="12.75" customHeight="1">
      <c r="A187" s="162" t="s">
        <v>77</v>
      </c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</row>
    <row r="188" spans="1:13" s="49" customFormat="1" ht="12.75" customHeight="1">
      <c r="A188" s="162" t="s">
        <v>78</v>
      </c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</row>
    <row r="189" spans="1:13" s="44" customFormat="1"/>
    <row r="190" spans="1:13" s="44" customFormat="1"/>
    <row r="191" spans="1:13" s="44" customFormat="1">
      <c r="C191" s="18" t="s">
        <v>115</v>
      </c>
    </row>
    <row r="192" spans="1:13" s="44" customFormat="1" ht="14.4">
      <c r="C192" s="44">
        <v>238293.83400138872</v>
      </c>
      <c r="D192" s="93" t="s">
        <v>116</v>
      </c>
      <c r="E192" s="18" t="s">
        <v>4</v>
      </c>
    </row>
    <row r="193" spans="3:5" s="44" customFormat="1" ht="14.4">
      <c r="C193" s="93">
        <v>238.29383400138872</v>
      </c>
      <c r="D193" s="93" t="s">
        <v>116</v>
      </c>
      <c r="E193" s="93" t="s">
        <v>15</v>
      </c>
    </row>
    <row r="196" spans="3:5">
      <c r="C196">
        <f>C192/0.833</f>
        <v>286067.02761271154</v>
      </c>
      <c r="D196" t="s">
        <v>117</v>
      </c>
      <c r="E196" t="s">
        <v>4</v>
      </c>
    </row>
    <row r="197" spans="3:5">
      <c r="C197">
        <f>C196/1000</f>
        <v>286.06702761271151</v>
      </c>
      <c r="D197" t="s">
        <v>117</v>
      </c>
      <c r="E197" t="s">
        <v>107</v>
      </c>
    </row>
    <row r="200" spans="3:5">
      <c r="C200" s="44">
        <v>1000</v>
      </c>
      <c r="D200" s="44" t="s">
        <v>85</v>
      </c>
    </row>
    <row r="201" spans="3:5">
      <c r="C201" s="44">
        <v>20.4588239060948</v>
      </c>
      <c r="D201" s="44" t="s">
        <v>118</v>
      </c>
    </row>
    <row r="202" spans="3:5">
      <c r="C202">
        <f>C201/0.833</f>
        <v>24.560412852454743</v>
      </c>
      <c r="D202" t="s">
        <v>119</v>
      </c>
    </row>
    <row r="204" spans="3:5">
      <c r="C204">
        <v>1</v>
      </c>
      <c r="D204" t="s">
        <v>106</v>
      </c>
    </row>
    <row r="205" spans="3:5">
      <c r="C205">
        <f>C202*1000</f>
        <v>24560.412852454741</v>
      </c>
      <c r="D205" t="s">
        <v>119</v>
      </c>
    </row>
  </sheetData>
  <mergeCells count="19">
    <mergeCell ref="A187:L187"/>
    <mergeCell ref="A188:L188"/>
    <mergeCell ref="A181:L181"/>
    <mergeCell ref="A182:L182"/>
    <mergeCell ref="A183:L183"/>
    <mergeCell ref="A184:L184"/>
    <mergeCell ref="A185:L185"/>
    <mergeCell ref="A186:L186"/>
    <mergeCell ref="A180:L180"/>
    <mergeCell ref="A170:L170"/>
    <mergeCell ref="A171:L171"/>
    <mergeCell ref="A172:L172"/>
    <mergeCell ref="A173:L173"/>
    <mergeCell ref="A174:L174"/>
    <mergeCell ref="A175:L175"/>
    <mergeCell ref="A176:L176"/>
    <mergeCell ref="A177:L177"/>
    <mergeCell ref="A178:L178"/>
    <mergeCell ref="A179:L17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REFS</vt:lpstr>
      <vt:lpstr>FIN_ETA</vt:lpstr>
      <vt:lpstr>Calcs</vt:lpstr>
      <vt:lpstr>Blacklock_1921</vt:lpstr>
      <vt:lpstr>Iden_2019</vt:lpstr>
      <vt:lpstr>Bond_1963</vt:lpstr>
      <vt:lpstr>Newman_2008</vt:lpstr>
      <vt:lpstr>Rhodes_2020</vt:lpstr>
      <vt:lpstr>Trainweb_2000</vt:lpstr>
      <vt:lpstr>Wardale_2013</vt:lpstr>
      <vt:lpstr>Escudié_1989</vt:lpstr>
      <vt:lpstr>ss_Brockway_2015</vt:lpstr>
      <vt:lpstr>ss_Brockway_2014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Cabrera Serrenho</dc:creator>
  <cp:lastModifiedBy>User</cp:lastModifiedBy>
  <cp:lastPrinted>2013-10-10T10:00:03Z</cp:lastPrinted>
  <dcterms:created xsi:type="dcterms:W3CDTF">2012-12-09T22:34:09Z</dcterms:created>
  <dcterms:modified xsi:type="dcterms:W3CDTF">2022-07-07T13:31:01Z</dcterms:modified>
</cp:coreProperties>
</file>