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A82BD2CA-E5D9-42CE-8723-DEDC9137EA10}"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6" i="28"/>
  <c r="K9" i="28"/>
  <c r="D14" i="28"/>
  <c r="G35" i="26"/>
  <c r="O35" i="26" s="1"/>
  <c r="P35" i="26" s="1"/>
  <c r="C6" i="28"/>
  <c r="Y8" i="28"/>
  <c r="Y10" i="28"/>
  <c r="Y12" i="28"/>
  <c r="F14" i="28"/>
  <c r="C16" i="28"/>
  <c r="AF20" i="28"/>
  <c r="AB22" i="28"/>
  <c r="K26" i="28"/>
  <c r="H28" i="28"/>
  <c r="C30" i="28"/>
  <c r="H49"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7" i="28"/>
  <c r="T10" i="28"/>
  <c r="AB14" i="28"/>
  <c r="C8"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K7" i="28"/>
  <c r="K11" i="28"/>
  <c r="AB20" i="28"/>
  <c r="B3" i="20"/>
  <c r="Y4" i="28"/>
  <c r="L7" i="28"/>
  <c r="C10" i="28"/>
  <c r="L13" i="28"/>
  <c r="S17" i="28"/>
  <c r="Z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H26" i="28"/>
  <c r="G23" i="26"/>
  <c r="O23" i="26" s="1"/>
  <c r="P23" i="26" s="1"/>
  <c r="C4" i="28"/>
  <c r="L5" i="28"/>
  <c r="Y6" i="28"/>
  <c r="L9" i="28"/>
  <c r="C12" i="28"/>
  <c r="D15" i="28"/>
  <c r="L19" i="28"/>
  <c r="X24" i="28"/>
  <c r="H3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T8" i="28"/>
  <c r="AG9" i="28"/>
  <c r="AG11" i="28"/>
  <c r="T12" i="28"/>
  <c r="K13" i="28"/>
  <c r="L17" i="28"/>
  <c r="AF18" i="28"/>
  <c r="X22" i="28"/>
  <c r="K24" i="28"/>
  <c r="C28" i="28"/>
  <c r="T29" i="28"/>
  <c r="S31" i="28"/>
  <c r="Q33" i="28"/>
  <c r="H36" i="28"/>
  <c r="H48" i="28"/>
  <c r="G7" i="26"/>
  <c r="J7" i="26" s="1"/>
  <c r="K7" i="26" s="1"/>
  <c r="L1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F15" i="28"/>
  <c r="T3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O36" i="26"/>
  <c r="P36" i="26" s="1"/>
  <c r="J36" i="26"/>
  <c r="K36" i="26" s="1"/>
  <c r="AB1" i="28"/>
  <c r="J24" i="26"/>
  <c r="K24" i="26" s="1"/>
  <c r="O24" i="26"/>
  <c r="P24" i="26" s="1"/>
  <c r="O41" i="26"/>
  <c r="P41" i="26" s="1"/>
  <c r="J41" i="26"/>
  <c r="K41" i="26" s="1"/>
  <c r="L7" i="24"/>
  <c r="J42" i="19" s="1"/>
  <c r="O8" i="26"/>
  <c r="P8" i="26" s="1"/>
  <c r="J8" i="26"/>
  <c r="K8" i="26" s="1"/>
  <c r="AD1" i="28"/>
  <c r="J49" i="26"/>
  <c r="K49" i="26" s="1"/>
  <c r="O49" i="26"/>
  <c r="P49" i="26" s="1"/>
  <c r="O29" i="26"/>
  <c r="P29" i="26" s="1"/>
  <c r="J29" i="26"/>
  <c r="K29" i="26" s="1"/>
  <c r="O39" i="26"/>
  <c r="P39" i="26" s="1"/>
  <c r="J39" i="26"/>
  <c r="K39" i="26" s="1"/>
  <c r="D1" i="28"/>
  <c r="J33" i="26"/>
  <c r="K33" i="26" s="1"/>
  <c r="O33" i="26"/>
  <c r="P33" i="26" s="1"/>
  <c r="M2" i="24"/>
  <c r="Q13" i="24"/>
  <c r="J21" i="26"/>
  <c r="K21" i="26" s="1"/>
  <c r="O21" i="26"/>
  <c r="P21" i="26" s="1"/>
  <c r="O10" i="26"/>
  <c r="P10" i="26" s="1"/>
  <c r="J10" i="26"/>
  <c r="K10"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<sst xmlns="http://schemas.openxmlformats.org/spreadsheetml/2006/main" count="35255" uniqueCount="4358">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</sst>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3770</v>
      </c>
      <c r="C1" s="353">
        <v>45496</v>
      </c>
      <c r="G1" s="354" t="s">
        <v>3763</v>
      </c>
      <c r="H1" s="354" t="s">
        <v>3764</v>
      </c>
    </row>
    <row r="2" spans="1:8" x14ac:dyDescent="0.75">
      <c r="B2" t="str">
        <f>_xlfn.XLOOKUP(B1,H:H,G:G,0,0,1)</f>
        <v>AR</v>
      </c>
      <c r="C2" t="str">
        <f>_xlfn.XLOOKUP(B2,G:G, H:H, 0,0,1)</f>
        <v>Arkansas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Arkansas.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6"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Arkansas</v>
      </c>
      <c r="B3" s="404">
        <f>ROUND(SUMIFS(B$4:B$54, $A$4:$A$54, $A$3),0)</f>
        <v>68319</v>
      </c>
      <c r="C3" s="405">
        <f t="shared" ref="C3" si="0">ROUND(SUMIFS(C$4:C$54, $A$4:$A$54, $A$3),0)</f>
        <v>68</v>
      </c>
      <c r="D3" s="404">
        <f>SUMIFS(D$4:D$54, $A$4:$A$54, $A$3)</f>
        <v>0</v>
      </c>
      <c r="E3" s="404">
        <f>SUMIFS(E$4:E$54, $A$4:$A$54, $A$3)</f>
        <v>0</v>
      </c>
      <c r="F3" s="406">
        <f>ROUND(SUMIFS(F$4:F$54,$A$4:$A$54,$A$3)*100,0)</f>
        <v>0</v>
      </c>
      <c r="G3" s="178">
        <f>SUMIFS(G$4:G$54, $A$4:$A$54, $A$3)</f>
        <v>3387482</v>
      </c>
      <c r="H3" s="178">
        <f>SUMIFS(H$4:H$54, $A$4:$A$54, $A$3)</f>
        <v>8613908</v>
      </c>
      <c r="I3" s="406">
        <f>ROUND(SUMIFS(I$4:I$54,$A$4:$A$54,$A$3)*100,0)</f>
        <v>154</v>
      </c>
      <c r="J3" s="406">
        <f>ROUND(SUMIFS(J$4:J$54, $A$4:$A$54, $A$3),0)</f>
        <v>5017</v>
      </c>
      <c r="K3" s="178">
        <f t="shared" ref="K3:AI3" si="1">ROUND(SUMIFS(K$4:K$54, $A$4:$A$54, $A$3),0)</f>
        <v>1826</v>
      </c>
      <c r="L3" s="406">
        <f t="shared" si="1"/>
        <v>2400</v>
      </c>
      <c r="M3" s="178">
        <f t="shared" si="1"/>
        <v>2150</v>
      </c>
      <c r="N3" s="178">
        <f t="shared" si="1"/>
        <v>500</v>
      </c>
      <c r="O3" s="178">
        <f t="shared" si="1"/>
        <v>0</v>
      </c>
      <c r="P3" s="178">
        <f t="shared" si="1"/>
        <v>0</v>
      </c>
      <c r="Q3" s="178">
        <f t="shared" si="1"/>
        <v>0</v>
      </c>
      <c r="R3" s="178">
        <f t="shared" si="1"/>
        <v>0</v>
      </c>
      <c r="S3" s="406">
        <f t="shared" si="1"/>
        <v>0</v>
      </c>
      <c r="T3" s="178">
        <f t="shared" si="1"/>
        <v>5163</v>
      </c>
      <c r="U3" s="178">
        <f t="shared" si="1"/>
        <v>4610</v>
      </c>
      <c r="V3" s="178">
        <f t="shared" si="1"/>
        <v>1818</v>
      </c>
      <c r="W3" s="178">
        <f t="shared" si="1"/>
        <v>1266</v>
      </c>
      <c r="X3" s="178">
        <f t="shared" si="1"/>
        <v>0</v>
      </c>
      <c r="Y3" s="178">
        <f t="shared" si="1"/>
        <v>102</v>
      </c>
      <c r="Z3" s="178">
        <f t="shared" si="1"/>
        <v>0</v>
      </c>
      <c r="AA3" s="178">
        <f t="shared" si="1"/>
        <v>17</v>
      </c>
      <c r="AB3" s="178">
        <f t="shared" si="1"/>
        <v>0</v>
      </c>
      <c r="AC3" s="178">
        <f t="shared" si="1"/>
        <v>9</v>
      </c>
      <c r="AD3" s="178">
        <f t="shared" si="1"/>
        <v>1494</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412</v>
      </c>
      <c r="AQ3" s="406">
        <f t="shared" si="3"/>
        <v>3089060</v>
      </c>
      <c r="AR3" s="406">
        <f>ROUND(SUMIFS(AR$4:AR$54,$A$4:$A$54,$A$3),2)</f>
        <v>13.34</v>
      </c>
      <c r="AS3" s="178">
        <f>SUMIFS(AS$4:AS$54, $A$4:$A$54, $A$3)</f>
        <v>27155635000000</v>
      </c>
      <c r="AT3" s="178">
        <f t="shared" ref="AT3:BH3" si="4">SUMIFS(AT$4:AT$54, $A$4:$A$54, $A$3)</f>
        <v>0</v>
      </c>
      <c r="AU3" s="178">
        <f t="shared" si="4"/>
        <v>0</v>
      </c>
      <c r="AV3" s="178">
        <f t="shared" si="4"/>
        <v>0</v>
      </c>
      <c r="AW3" s="178">
        <f t="shared" si="4"/>
        <v>44661854438171.203</v>
      </c>
      <c r="AX3" s="178">
        <f t="shared" si="4"/>
        <v>162908552000000</v>
      </c>
      <c r="AY3" s="178">
        <f t="shared" si="4"/>
        <v>0</v>
      </c>
      <c r="AZ3" s="178">
        <f t="shared" si="4"/>
        <v>0</v>
      </c>
      <c r="BA3" s="178">
        <f t="shared" si="4"/>
        <v>28777061532959.602</v>
      </c>
      <c r="BB3" s="178">
        <f t="shared" si="4"/>
        <v>0</v>
      </c>
      <c r="BC3" s="178">
        <f t="shared" si="4"/>
        <v>3380361773601.2798</v>
      </c>
      <c r="BD3" s="178">
        <f t="shared" si="4"/>
        <v>18182860707245.301</v>
      </c>
      <c r="BE3" s="178">
        <f t="shared" si="4"/>
        <v>54312666805691.898</v>
      </c>
      <c r="BF3" s="178">
        <f t="shared" si="4"/>
        <v>576325283662511</v>
      </c>
      <c r="BG3" s="178">
        <f t="shared" si="4"/>
        <v>58042577405376</v>
      </c>
      <c r="BH3" s="178">
        <f t="shared" si="4"/>
        <v>40219380721322.398</v>
      </c>
      <c r="BI3" s="178">
        <f>ROUND(SUMIFS(BI$4:BI$54,$A$4:$A$54,$A$3),2)</f>
        <v>94.37</v>
      </c>
      <c r="BJ3" s="178">
        <f t="shared" ref="BJ3:BP3" si="5">ROUND(SUMIFS(BJ$4:BJ$54,$A$4:$A$54,$A$3),2)</f>
        <v>0</v>
      </c>
      <c r="BK3" s="178">
        <f t="shared" si="5"/>
        <v>0</v>
      </c>
      <c r="BL3" s="178">
        <f t="shared" si="5"/>
        <v>0</v>
      </c>
      <c r="BM3" s="178">
        <f t="shared" si="5"/>
        <v>82.23</v>
      </c>
      <c r="BN3" s="178">
        <f t="shared" si="5"/>
        <v>28.27</v>
      </c>
      <c r="BO3" s="178">
        <f t="shared" si="5"/>
        <v>0</v>
      </c>
      <c r="BP3" s="406">
        <f t="shared" si="5"/>
        <v>0</v>
      </c>
      <c r="BQ3" s="406">
        <f t="shared" ref="BQ3:BR3" si="6">ROUND(SUMIFS(BQ$4:BQ$54,$A$4:$A$54,$A$3)*100,0)</f>
        <v>3</v>
      </c>
      <c r="BR3" s="406">
        <f t="shared" si="6"/>
        <v>4</v>
      </c>
      <c r="BS3" s="406">
        <f>ROUND(SUMIFS(BS$4:BS$54,$A$4:$A$54,$A$3)*100,0)</f>
        <v>26</v>
      </c>
      <c r="BT3" s="406">
        <f>ROUND(SUMIFS(BT$4:BT$54,$A$4:$A$54,$A$3)*100,0)</f>
        <v>25</v>
      </c>
      <c r="BU3" s="406">
        <f t="shared" ref="BU3:CH3" si="7">ROUND(SUMIFS(BU$4:BU$54,$A$4:$A$54,$A$3)*100,0)</f>
        <v>49</v>
      </c>
      <c r="BV3" s="406">
        <f t="shared" si="7"/>
        <v>62</v>
      </c>
      <c r="BW3" s="406">
        <f t="shared" si="7"/>
        <v>24</v>
      </c>
      <c r="BX3" s="406">
        <f t="shared" si="7"/>
        <v>36</v>
      </c>
      <c r="BY3" s="406">
        <f t="shared" si="7"/>
        <v>50</v>
      </c>
      <c r="BZ3" s="406">
        <f>ROUND(SUMIFS(BZ$4:BZ$54,$A$4:$A$54,$A$3)*100,0)</f>
        <v>51</v>
      </c>
      <c r="CA3" s="406">
        <f>ROUND(SUMIFS(CA$4:CA$54,$A$4:$A$54,$A$3)*100,0)</f>
        <v>100</v>
      </c>
      <c r="CB3" s="406">
        <f>ROUND(SUMIFS(CB$4:CB$54,$A$4:$A$54,$A$3)*100,0)</f>
        <v>100</v>
      </c>
      <c r="CC3" s="406">
        <f t="shared" si="7"/>
        <v>24</v>
      </c>
      <c r="CD3" s="406">
        <f t="shared" si="7"/>
        <v>36</v>
      </c>
      <c r="CE3" s="406">
        <f t="shared" si="7"/>
        <v>50</v>
      </c>
      <c r="CF3" s="406">
        <f t="shared" si="7"/>
        <v>51</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AR</v>
      </c>
      <c r="C1" s="431">
        <f>SUM(C4:C87)</f>
        <v>54.055278028980517</v>
      </c>
      <c r="D1" s="431">
        <f t="shared" ref="D1:AG1" si="0">SUM(D4:D87)</f>
        <v>52.747384110965591</v>
      </c>
      <c r="E1" s="431">
        <f t="shared" si="0"/>
        <v>54.80219376135188</v>
      </c>
      <c r="F1" s="431">
        <f t="shared" si="0"/>
        <v>53.872960691348389</v>
      </c>
      <c r="G1" s="431">
        <f t="shared" si="0"/>
        <v>57.763208568710006</v>
      </c>
      <c r="H1" s="431">
        <f t="shared" si="0"/>
        <v>61.432642928830184</v>
      </c>
      <c r="I1" s="431">
        <f t="shared" si="0"/>
        <v>64.071568791514892</v>
      </c>
      <c r="J1" s="431">
        <f t="shared" si="0"/>
        <v>63.186133459412993</v>
      </c>
      <c r="K1" s="431">
        <f t="shared" si="0"/>
        <v>64.805364202212502</v>
      </c>
      <c r="L1" s="431">
        <f t="shared" si="0"/>
        <v>66.762313175798582</v>
      </c>
      <c r="M1" s="431">
        <f t="shared" si="0"/>
        <v>67.560743160623502</v>
      </c>
      <c r="N1" s="431">
        <f t="shared" si="0"/>
        <v>66.490561596627103</v>
      </c>
      <c r="O1" s="431">
        <f t="shared" si="0"/>
        <v>64.747571787735097</v>
      </c>
      <c r="P1" s="431">
        <f t="shared" si="0"/>
        <v>66.174236288053095</v>
      </c>
      <c r="Q1" s="431">
        <f t="shared" si="0"/>
        <v>66.054415909005911</v>
      </c>
      <c r="R1" s="431">
        <f t="shared" si="0"/>
        <v>64.681960128617291</v>
      </c>
      <c r="S1" s="431">
        <f t="shared" si="0"/>
        <v>67.658402215748609</v>
      </c>
      <c r="T1" s="431">
        <f t="shared" si="0"/>
        <v>68.897343239258063</v>
      </c>
      <c r="U1" s="431">
        <f t="shared" si="0"/>
        <v>68.813136043310806</v>
      </c>
      <c r="V1" s="431">
        <f t="shared" si="0"/>
        <v>66.102780633200197</v>
      </c>
      <c r="W1" s="431">
        <f t="shared" si="0"/>
        <v>70.941805983296959</v>
      </c>
      <c r="X1" s="431">
        <f t="shared" si="0"/>
        <v>72.268302946341791</v>
      </c>
      <c r="Y1" s="431">
        <f t="shared" si="0"/>
        <v>71.273931090850326</v>
      </c>
      <c r="Z1" s="431">
        <f t="shared" si="0"/>
        <v>72.904854358569239</v>
      </c>
      <c r="AA1" s="431">
        <f t="shared" si="0"/>
        <v>73.575461081004804</v>
      </c>
      <c r="AB1" s="431">
        <f t="shared" si="0"/>
        <v>63.185956825304196</v>
      </c>
      <c r="AC1" s="431">
        <f t="shared" si="0"/>
        <v>66.010163117799976</v>
      </c>
      <c r="AD1" s="431">
        <f t="shared" si="0"/>
        <v>67.931472119733201</v>
      </c>
      <c r="AE1" s="431">
        <f t="shared" si="0"/>
        <v>74.50788413109089</v>
      </c>
      <c r="AF1" s="431">
        <f t="shared" si="0"/>
        <v>68.692589206469293</v>
      </c>
      <c r="AG1" s="431">
        <f t="shared" si="0"/>
        <v>58.475887846263504</v>
      </c>
      <c r="AH1" s="431">
        <f>SUM(AH4:AH87)</f>
        <v>65.971140232034898</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35" t="s">
        <v>2220</v>
      </c>
      <c r="B5" s="408" t="s">
        <v>4125</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35" t="s">
        <v>2220</v>
      </c>
      <c r="B6" s="408" t="s">
        <v>4129</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35" t="s">
        <v>2220</v>
      </c>
      <c r="B7" s="408" t="s">
        <v>4131</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35" t="s">
        <v>2220</v>
      </c>
      <c r="B8" s="408" t="s">
        <v>4133</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35" t="s">
        <v>2220</v>
      </c>
      <c r="B9" s="408" t="s">
        <v>4143</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35" t="s">
        <v>2220</v>
      </c>
      <c r="B10" s="408" t="s">
        <v>4152</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35" t="s">
        <v>2220</v>
      </c>
      <c r="B11" s="408" t="s">
        <v>4147</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35" t="s">
        <v>2220</v>
      </c>
      <c r="B13" s="408" t="s">
        <v>4162</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35" t="s">
        <v>2220</v>
      </c>
      <c r="B17" s="408" t="s">
        <v>4160</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35" t="s">
        <v>2220</v>
      </c>
      <c r="B21" s="408" t="s">
        <v>4172</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35" t="s">
        <v>2220</v>
      </c>
      <c r="B23" s="408" t="s">
        <v>4168</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35" t="s">
        <v>2220</v>
      </c>
      <c r="B30" s="408" t="s">
        <v>4193</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36">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36">
        <f>SUMIFS('EPA Export Aggregation'!R:R,'EPA Export Aggregation'!$A:$A,$B33,'EPA Export Aggregation'!$D:$D,$A$1)*IF($A33="CH4",About!$D$58,IF($A33="N2O",About!$D$59,1))</f>
        <v>0.1036688070698</v>
      </c>
      <c r="P33" s="436">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36">
        <f>SUMIFS('EPA Export Aggregation'!U:U,'EPA Export Aggregation'!$A:$A,$B33,'EPA Export Aggregation'!$D:$D,$A$1)*IF($A33="CH4",About!$D$58,IF($A33="N2O",About!$D$59,1))</f>
        <v>0.14249717038189999</v>
      </c>
      <c r="S33" s="436">
        <f>SUMIFS('EPA Export Aggregation'!V:V,'EPA Export Aggregation'!$A:$A,$B33,'EPA Export Aggregation'!$D:$D,$A$1)*IF($A33="CH4",About!$D$58,IF($A33="N2O",About!$D$59,1))</f>
        <v>0.17091137624889999</v>
      </c>
      <c r="T33" s="436">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36">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36">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36">
        <f>SUMIFS('EPA Export Aggregation'!AD:AD,'EPA Export Aggregation'!$A:$A,$B33,'EPA Export Aggregation'!$D:$D,$A$1)*IF($A33="CH4",About!$D$58,IF($A33="N2O",About!$D$59,1))</f>
        <v>3.1297673584599998E-2</v>
      </c>
      <c r="AB33" s="436">
        <f>SUMIFS('EPA Export Aggregation'!AE:AE,'EPA Export Aggregation'!$A:$A,$B33,'EPA Export Aggregation'!$D:$D,$A$1)*IF($A33="CH4",About!$D$58,IF($A33="N2O",About!$D$59,1))</f>
        <v>4.2306317146100003E-2</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2024-07-23T23:14:04Z</dcterms:modified>
</cp:coreProperties>
</file>