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trans\BESP\"/>
    </mc:Choice>
  </mc:AlternateContent>
  <xr:revisionPtr revIDLastSave="0" documentId="13_ncr:1_{C0E5EF8C-D973-430F-9B3E-712348BC6D0E}" xr6:coauthVersionLast="47" xr6:coauthVersionMax="47" xr10:uidLastSave="{00000000-0000-0000-0000-000000000000}"/>
  <bookViews>
    <workbookView xWindow="-120" yWindow="-120" windowWidth="29040" windowHeight="17640" activeTab="7" xr2:uid="{00000000-000D-0000-FFFF-FFFF00000000}"/>
    <workbookView xWindow="12810" yWindow="435" windowWidth="15915" windowHeight="16875" firstSheet="6" activeTab="9" xr2:uid="{AB3D70C0-D4FC-4373-A31C-71C0D7D0A37D}"/>
  </bookViews>
  <sheets>
    <sheet name="About" sheetId="1" r:id="rId1"/>
    <sheet name="HDV+LDV frt" sheetId="14" r:id="rId2"/>
    <sheet name="CARB HVIP" sheetId="13" r:id="rId3"/>
    <sheet name="BAU LDV psg" sheetId="3" r:id="rId4"/>
    <sheet name="LDV psg sales" sheetId="4" r:id="rId5"/>
    <sheet name="LDV psg manufacturers" sheetId="5" r:id="rId6"/>
    <sheet name="LDV psg calculations" sheetId="2" r:id="rId7"/>
    <sheet name="IRA_EV" sheetId="16" r:id="rId8"/>
    <sheet name="BESP-passengers" sheetId="6" r:id="rId9"/>
    <sheet name="BESP-freight" sheetId="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2014_eGRID_Subregion_File">#REF!</definedName>
    <definedName name="AEO">[1]Safety!$L$2</definedName>
    <definedName name="asdf">[2]About!$A$113</definedName>
    <definedName name="compa">[3]PROVP!#REF!</definedName>
    <definedName name="Comparaison">[3]PROVP!$A:$A</definedName>
    <definedName name="cpi_2010to2012">[4]About!#REF!</definedName>
    <definedName name="cpi_2013to2012">[4]About!$A$163</definedName>
    <definedName name="cpi_2014to2012">[5]About!#REF!</definedName>
    <definedName name="cpi_2017to2012">[5]About!$A$121</definedName>
    <definedName name="cpi_2018to2012">[4]About!$A$167</definedName>
    <definedName name="cpi_2019to2012">[5]About!$A$123</definedName>
    <definedName name="cpi_2020to2012">[5]About!$A$124</definedName>
    <definedName name="cut_allowed_LT">[1]Safety!$L$6</definedName>
    <definedName name="cut_allowed_PC">[1]Safety!$L$5</definedName>
    <definedName name="cut_safety_LT">[1]Safety!$AK$8</definedName>
    <definedName name="cut_safety_PC">[1]Safety!$AK$7</definedName>
    <definedName name="gC_kWh">[6]INPUTS!$B$32</definedName>
    <definedName name="gCO2_gC">[6]INPUTS!$B$34</definedName>
    <definedName name="H2_kg_to_MMBtu">[7]Constants!$D$7</definedName>
    <definedName name="Impres_titres_MI">[3]PROVP!$A:$A</definedName>
    <definedName name="kWh_to_Btu">[7]Constants!$D$4</definedName>
    <definedName name="mode">[8]Config!$AD$7:$AD$19</definedName>
    <definedName name="P91_">[3]PROVP!#REF!</definedName>
    <definedName name="P92_">[3]PROVP!#REF!</definedName>
    <definedName name="Renewable_and_Non_Renewable_Generation">[9]Contents!#REF!</definedName>
    <definedName name="Scenario">[10]Targets_byFleet!$A$1</definedName>
    <definedName name="TableName">"Dummy"</definedName>
    <definedName name="tblVspecsData">#REF!</definedName>
    <definedName name="tblVspecsHeader">#REF!</definedName>
    <definedName name="Transmission_loss">[6]kWhpMi!$G$1</definedName>
    <definedName name="UF_REEV20">[6]kWhpMi!$M$5</definedName>
    <definedName name="UF_REEV40">[6]kWhpMi!$M$4</definedName>
    <definedName name="WRcap_2021">[1]Safety!$L$3</definedName>
    <definedName name="WRcap_2025">[1]Safety!$L$4</definedName>
    <definedName name="Zone_impres_MI">[3]PROVP!$B$5:$B$90</definedName>
  </definedNames>
  <calcPr calcId="191029"/>
  <pivotCaches>
    <pivotCache cacheId="3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L3" i="7"/>
  <c r="M3" i="7"/>
  <c r="N3" i="7"/>
  <c r="O3" i="7"/>
  <c r="P3" i="7"/>
  <c r="Q3" i="7"/>
  <c r="I3" i="7"/>
  <c r="J2" i="7"/>
  <c r="K2" i="7"/>
  <c r="L2" i="7"/>
  <c r="M2" i="7"/>
  <c r="N2" i="7"/>
  <c r="O2" i="7"/>
  <c r="P2" i="7"/>
  <c r="Q2" i="7"/>
  <c r="I2" i="7"/>
  <c r="J3" i="6"/>
  <c r="K3" i="6"/>
  <c r="L3" i="6"/>
  <c r="M3" i="6"/>
  <c r="N3" i="6"/>
  <c r="O3" i="6"/>
  <c r="P3" i="6"/>
  <c r="Q3" i="6"/>
  <c r="I3" i="6"/>
  <c r="B5" i="14"/>
  <c r="D47" i="16"/>
  <c r="E47" i="16"/>
  <c r="F47" i="16"/>
  <c r="G47" i="16"/>
  <c r="H47" i="16"/>
  <c r="I47" i="16"/>
  <c r="J47" i="16"/>
  <c r="K47" i="16"/>
  <c r="L47" i="16"/>
  <c r="M47" i="16"/>
  <c r="N47" i="16"/>
  <c r="D48" i="16"/>
  <c r="E48" i="16"/>
  <c r="F48" i="16"/>
  <c r="G48" i="16"/>
  <c r="H48" i="16"/>
  <c r="I48" i="16"/>
  <c r="J48" i="16"/>
  <c r="K48" i="16"/>
  <c r="L48" i="16"/>
  <c r="M48" i="16"/>
  <c r="N48" i="16"/>
  <c r="D49" i="16"/>
  <c r="E49" i="16"/>
  <c r="F49" i="16"/>
  <c r="G49" i="16"/>
  <c r="H49" i="16"/>
  <c r="I49" i="16"/>
  <c r="J49" i="16"/>
  <c r="K49" i="16"/>
  <c r="L49" i="16"/>
  <c r="M49" i="16"/>
  <c r="N49" i="16"/>
  <c r="C49" i="16"/>
  <c r="C48" i="16"/>
  <c r="C47" i="16"/>
  <c r="B2" i="14" l="1"/>
  <c r="G3" i="2"/>
  <c r="H3" i="2"/>
  <c r="I3" i="2"/>
  <c r="J3" i="2"/>
  <c r="K3" i="2"/>
  <c r="L3" i="2"/>
  <c r="M3" i="2"/>
  <c r="M32" i="2" s="1"/>
  <c r="N3" i="2"/>
  <c r="L32" i="2"/>
  <c r="F3" i="2"/>
  <c r="AG44" i="16"/>
  <c r="AG49" i="16" s="1"/>
  <c r="AJ3" i="7" s="1"/>
  <c r="AF44" i="16"/>
  <c r="AF49" i="16" s="1"/>
  <c r="AI3" i="7" s="1"/>
  <c r="AE44" i="16"/>
  <c r="AE49" i="16" s="1"/>
  <c r="AH3" i="7" s="1"/>
  <c r="AD44" i="16"/>
  <c r="AD49" i="16" s="1"/>
  <c r="AG3" i="7" s="1"/>
  <c r="AC44" i="16"/>
  <c r="AC49" i="16" s="1"/>
  <c r="AF3" i="7" s="1"/>
  <c r="AB44" i="16"/>
  <c r="AB49" i="16" s="1"/>
  <c r="AE3" i="7" s="1"/>
  <c r="AA44" i="16"/>
  <c r="AA49" i="16" s="1"/>
  <c r="AD3" i="7" s="1"/>
  <c r="Z44" i="16"/>
  <c r="Z49" i="16" s="1"/>
  <c r="AC3" i="7" s="1"/>
  <c r="Y44" i="16"/>
  <c r="Y49" i="16" s="1"/>
  <c r="AB3" i="7" s="1"/>
  <c r="X44" i="16"/>
  <c r="X49" i="16" s="1"/>
  <c r="AA3" i="7" s="1"/>
  <c r="W44" i="16"/>
  <c r="W49" i="16" s="1"/>
  <c r="Z3" i="7" s="1"/>
  <c r="V44" i="16"/>
  <c r="V49" i="16" s="1"/>
  <c r="Y3" i="7" s="1"/>
  <c r="U44" i="16"/>
  <c r="U49" i="16" s="1"/>
  <c r="X3" i="7" s="1"/>
  <c r="T44" i="16"/>
  <c r="T49" i="16" s="1"/>
  <c r="W3" i="7" s="1"/>
  <c r="S44" i="16"/>
  <c r="S49" i="16" s="1"/>
  <c r="V3" i="7" s="1"/>
  <c r="R44" i="16"/>
  <c r="R49" i="16" s="1"/>
  <c r="U3" i="7" s="1"/>
  <c r="Q44" i="16"/>
  <c r="Q49" i="16" s="1"/>
  <c r="T3" i="7" s="1"/>
  <c r="P44" i="16"/>
  <c r="P49" i="16" s="1"/>
  <c r="S3" i="7" s="1"/>
  <c r="O44" i="16"/>
  <c r="O49" i="16" s="1"/>
  <c r="R3" i="7" s="1"/>
  <c r="N44" i="16"/>
  <c r="M44" i="16"/>
  <c r="L44" i="16"/>
  <c r="K44" i="16"/>
  <c r="J44" i="16"/>
  <c r="I44" i="16"/>
  <c r="H44" i="16"/>
  <c r="G44" i="16"/>
  <c r="F44" i="16"/>
  <c r="E44" i="16"/>
  <c r="D44" i="16"/>
  <c r="C44" i="16"/>
  <c r="AG43" i="16"/>
  <c r="AG48" i="16" s="1"/>
  <c r="AJ2" i="7" s="1"/>
  <c r="AF43" i="16"/>
  <c r="AF48" i="16" s="1"/>
  <c r="AI2" i="7" s="1"/>
  <c r="AE43" i="16"/>
  <c r="AE48" i="16" s="1"/>
  <c r="AH2" i="7" s="1"/>
  <c r="AD43" i="16"/>
  <c r="AD48" i="16" s="1"/>
  <c r="AG2" i="7" s="1"/>
  <c r="AC43" i="16"/>
  <c r="AC48" i="16" s="1"/>
  <c r="AF2" i="7" s="1"/>
  <c r="AB43" i="16"/>
  <c r="AB48" i="16" s="1"/>
  <c r="AE2" i="7" s="1"/>
  <c r="AA43" i="16"/>
  <c r="AA48" i="16" s="1"/>
  <c r="AD2" i="7" s="1"/>
  <c r="Z43" i="16"/>
  <c r="Z48" i="16" s="1"/>
  <c r="AC2" i="7" s="1"/>
  <c r="Y43" i="16"/>
  <c r="Y48" i="16" s="1"/>
  <c r="AB2" i="7" s="1"/>
  <c r="X43" i="16"/>
  <c r="X48" i="16" s="1"/>
  <c r="AA2" i="7" s="1"/>
  <c r="W43" i="16"/>
  <c r="W48" i="16" s="1"/>
  <c r="Z2" i="7" s="1"/>
  <c r="V43" i="16"/>
  <c r="V48" i="16" s="1"/>
  <c r="Y2" i="7" s="1"/>
  <c r="U43" i="16"/>
  <c r="U48" i="16" s="1"/>
  <c r="X2" i="7" s="1"/>
  <c r="T43" i="16"/>
  <c r="T48" i="16" s="1"/>
  <c r="W2" i="7" s="1"/>
  <c r="S43" i="16"/>
  <c r="S48" i="16" s="1"/>
  <c r="V2" i="7" s="1"/>
  <c r="R43" i="16"/>
  <c r="R48" i="16" s="1"/>
  <c r="U2" i="7" s="1"/>
  <c r="Q43" i="16"/>
  <c r="Q48" i="16" s="1"/>
  <c r="T2" i="7" s="1"/>
  <c r="P43" i="16"/>
  <c r="P48" i="16" s="1"/>
  <c r="S2" i="7" s="1"/>
  <c r="O43" i="16"/>
  <c r="O48" i="16" s="1"/>
  <c r="R2" i="7" s="1"/>
  <c r="N43" i="16"/>
  <c r="M43" i="16"/>
  <c r="L43" i="16"/>
  <c r="K43" i="16"/>
  <c r="J43" i="16"/>
  <c r="I43" i="16"/>
  <c r="H43" i="16"/>
  <c r="G43" i="16"/>
  <c r="F43" i="16"/>
  <c r="E43" i="16"/>
  <c r="D43" i="16"/>
  <c r="C43" i="16"/>
  <c r="AG42" i="16"/>
  <c r="AG47" i="16" s="1"/>
  <c r="AJ3" i="6" s="1"/>
  <c r="AF42" i="16"/>
  <c r="AF47" i="16" s="1"/>
  <c r="AI3" i="6" s="1"/>
  <c r="AE42" i="16"/>
  <c r="AE47" i="16" s="1"/>
  <c r="AH3" i="6" s="1"/>
  <c r="AD42" i="16"/>
  <c r="AD47" i="16" s="1"/>
  <c r="AG3" i="6" s="1"/>
  <c r="AC42" i="16"/>
  <c r="AC47" i="16" s="1"/>
  <c r="AF3" i="6" s="1"/>
  <c r="AB42" i="16"/>
  <c r="AB47" i="16" s="1"/>
  <c r="AE3" i="6" s="1"/>
  <c r="AA42" i="16"/>
  <c r="AA47" i="16" s="1"/>
  <c r="AD3" i="6" s="1"/>
  <c r="Z42" i="16"/>
  <c r="Z47" i="16" s="1"/>
  <c r="AC3" i="6" s="1"/>
  <c r="Y42" i="16"/>
  <c r="Y47" i="16" s="1"/>
  <c r="AB3" i="6" s="1"/>
  <c r="X42" i="16"/>
  <c r="X47" i="16" s="1"/>
  <c r="AA3" i="6" s="1"/>
  <c r="W42" i="16"/>
  <c r="W47" i="16" s="1"/>
  <c r="Z3" i="6" s="1"/>
  <c r="V42" i="16"/>
  <c r="V47" i="16" s="1"/>
  <c r="Y3" i="6" s="1"/>
  <c r="U42" i="16"/>
  <c r="U47" i="16" s="1"/>
  <c r="X3" i="6" s="1"/>
  <c r="T42" i="16"/>
  <c r="T47" i="16" s="1"/>
  <c r="W3" i="6" s="1"/>
  <c r="S42" i="16"/>
  <c r="S47" i="16" s="1"/>
  <c r="V3" i="6" s="1"/>
  <c r="R42" i="16"/>
  <c r="R47" i="16" s="1"/>
  <c r="U3" i="6" s="1"/>
  <c r="Q42" i="16"/>
  <c r="Q47" i="16" s="1"/>
  <c r="T3" i="6" s="1"/>
  <c r="P42" i="16"/>
  <c r="P47" i="16" s="1"/>
  <c r="S3" i="6" s="1"/>
  <c r="O42" i="16"/>
  <c r="O47" i="16" s="1"/>
  <c r="R3" i="6" s="1"/>
  <c r="N42" i="16"/>
  <c r="M42" i="16"/>
  <c r="L42" i="16"/>
  <c r="K42" i="16"/>
  <c r="J42" i="16"/>
  <c r="I42" i="16"/>
  <c r="H42" i="16"/>
  <c r="G42" i="16"/>
  <c r="F42" i="16"/>
  <c r="E42" i="16"/>
  <c r="D42" i="16"/>
  <c r="C42" i="16"/>
  <c r="G32" i="2"/>
  <c r="J2" i="14" l="1"/>
  <c r="K2" i="14" s="1"/>
  <c r="L2" i="14" s="1"/>
  <c r="I2" i="14"/>
  <c r="B9" i="14"/>
  <c r="C4" i="13"/>
  <c r="B4" i="13"/>
  <c r="B11" i="14" l="1"/>
  <c r="E37" i="13"/>
  <c r="E19" i="13"/>
  <c r="C9" i="13" s="1"/>
  <c r="E12" i="13"/>
  <c r="C10" i="13"/>
  <c r="B10" i="13"/>
  <c r="B9" i="13"/>
  <c r="C8" i="13"/>
  <c r="B8" i="13"/>
  <c r="A8" i="13"/>
  <c r="B5" i="13" l="1"/>
  <c r="J22" i="2"/>
  <c r="K22" i="2" s="1"/>
  <c r="L22" i="2" s="1"/>
  <c r="A59" i="1"/>
  <c r="A58" i="1"/>
  <c r="C3" i="13" l="1"/>
  <c r="C5" i="13"/>
  <c r="B18" i="14" s="1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K34" i="3"/>
  <c r="K33" i="3"/>
  <c r="K32" i="3"/>
  <c r="K31" i="3"/>
  <c r="K30" i="3"/>
  <c r="K29" i="3"/>
  <c r="K28" i="3"/>
  <c r="K27" i="3"/>
  <c r="K26" i="3"/>
  <c r="K25" i="3"/>
  <c r="C5" i="3" s="1"/>
  <c r="K24" i="3"/>
  <c r="K23" i="3"/>
  <c r="B18" i="3" a="1"/>
  <c r="B18" i="3"/>
  <c r="B17" i="3" a="1"/>
  <c r="B17" i="3" s="1"/>
  <c r="B16" i="3" a="1"/>
  <c r="B16" i="3" s="1"/>
  <c r="B15" i="3" a="1"/>
  <c r="B15" i="3"/>
  <c r="C15" i="3" s="1"/>
  <c r="D15" i="3" s="1"/>
  <c r="B14" i="3" a="1"/>
  <c r="B14" i="3" s="1"/>
  <c r="B13" i="3" a="1"/>
  <c r="B13" i="3"/>
  <c r="B12" i="3" a="1"/>
  <c r="B12" i="3"/>
  <c r="B11" i="3" a="1"/>
  <c r="B11" i="3" s="1"/>
  <c r="B10" i="3" a="1"/>
  <c r="B10" i="3"/>
  <c r="B9" i="3" a="1"/>
  <c r="B9" i="3" s="1"/>
  <c r="B8" i="3" a="1"/>
  <c r="B8" i="3" s="1"/>
  <c r="B7" i="3" a="1"/>
  <c r="B7" i="3"/>
  <c r="B6" i="3" a="1"/>
  <c r="B6" i="3"/>
  <c r="B5" i="3" a="1"/>
  <c r="B5" i="3"/>
  <c r="B4" i="3" a="1"/>
  <c r="B4" i="3"/>
  <c r="B3" i="3" a="1"/>
  <c r="B3" i="3" s="1"/>
  <c r="D40" i="2"/>
  <c r="E40" i="2" s="1"/>
  <c r="F40" i="2" s="1"/>
  <c r="G40" i="2" s="1"/>
  <c r="H40" i="2" s="1"/>
  <c r="I40" i="2" s="1"/>
  <c r="D22" i="2"/>
  <c r="E22" i="2" s="1"/>
  <c r="F22" i="2" s="1"/>
  <c r="G22" i="2" s="1"/>
  <c r="H22" i="2" s="1"/>
  <c r="I22" i="2" s="1"/>
  <c r="C19" i="2"/>
  <c r="B2" i="1"/>
  <c r="C21" i="2" s="1"/>
  <c r="G23" i="2" s="1"/>
  <c r="H23" i="2" s="1"/>
  <c r="I23" i="2" s="1"/>
  <c r="J23" i="2" s="1"/>
  <c r="K23" i="2" s="1"/>
  <c r="D5" i="3" l="1"/>
  <c r="C75" i="3" s="1"/>
  <c r="D13" i="3"/>
  <c r="C83" i="3" s="1"/>
  <c r="C10" i="3"/>
  <c r="C9" i="3"/>
  <c r="D9" i="3" s="1"/>
  <c r="C79" i="3" s="1"/>
  <c r="C18" i="3"/>
  <c r="D18" i="3" s="1"/>
  <c r="C11" i="3"/>
  <c r="D11" i="3" s="1"/>
  <c r="C81" i="3" s="1"/>
  <c r="C4" i="3"/>
  <c r="D4" i="3" s="1"/>
  <c r="E4" i="3" s="1"/>
  <c r="C8" i="3"/>
  <c r="D8" i="3" s="1"/>
  <c r="C78" i="3" s="1"/>
  <c r="F2" i="7"/>
  <c r="E2" i="7" s="1"/>
  <c r="D2" i="7" s="1"/>
  <c r="C2" i="7" s="1"/>
  <c r="B2" i="7" s="1"/>
  <c r="B2" i="13"/>
  <c r="B3" i="13"/>
  <c r="B10" i="14" s="1"/>
  <c r="C2" i="13"/>
  <c r="C7" i="3"/>
  <c r="D7" i="3" s="1"/>
  <c r="E7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C3" i="3"/>
  <c r="D3" i="3" s="1"/>
  <c r="F23" i="2"/>
  <c r="E23" i="2"/>
  <c r="D23" i="2"/>
  <c r="C23" i="2"/>
  <c r="C85" i="3"/>
  <c r="E15" i="3"/>
  <c r="E5" i="3"/>
  <c r="E13" i="3"/>
  <c r="E11" i="3" l="1"/>
  <c r="D19" i="3"/>
  <c r="E8" i="3"/>
  <c r="C77" i="3"/>
  <c r="C74" i="3"/>
  <c r="C88" i="3"/>
  <c r="E18" i="3"/>
  <c r="F18" i="3" s="1"/>
  <c r="E9" i="3"/>
  <c r="D79" i="3" s="1"/>
  <c r="B4" i="14"/>
  <c r="F7" i="7" s="1"/>
  <c r="E7" i="7" s="1"/>
  <c r="D7" i="7" s="1"/>
  <c r="C7" i="7" s="1"/>
  <c r="B7" i="7" s="1"/>
  <c r="B12" i="14"/>
  <c r="B3" i="14"/>
  <c r="F3" i="7" s="1"/>
  <c r="E3" i="7" s="1"/>
  <c r="D3" i="7" s="1"/>
  <c r="C3" i="7" s="1"/>
  <c r="B3" i="7" s="1"/>
  <c r="E12" i="3"/>
  <c r="D82" i="3" s="1"/>
  <c r="E16" i="3"/>
  <c r="D86" i="3" s="1"/>
  <c r="E10" i="3"/>
  <c r="D80" i="3" s="1"/>
  <c r="C76" i="3"/>
  <c r="C84" i="3"/>
  <c r="E17" i="3"/>
  <c r="F17" i="3" s="1"/>
  <c r="D81" i="3"/>
  <c r="F11" i="3"/>
  <c r="D78" i="3"/>
  <c r="F8" i="3"/>
  <c r="D83" i="3"/>
  <c r="F13" i="3"/>
  <c r="D74" i="3"/>
  <c r="F4" i="3"/>
  <c r="D75" i="3"/>
  <c r="F5" i="3"/>
  <c r="D85" i="3"/>
  <c r="F15" i="3"/>
  <c r="C73" i="3"/>
  <c r="E3" i="3"/>
  <c r="D76" i="3"/>
  <c r="F6" i="3"/>
  <c r="D77" i="3"/>
  <c r="F7" i="3"/>
  <c r="D84" i="3"/>
  <c r="F14" i="3"/>
  <c r="C89" i="3"/>
  <c r="E19" i="3"/>
  <c r="D88" i="3" l="1"/>
  <c r="F9" i="3"/>
  <c r="F10" i="3"/>
  <c r="E80" i="3" s="1"/>
  <c r="F3" i="6"/>
  <c r="E3" i="6" s="1"/>
  <c r="D3" i="6" s="1"/>
  <c r="C3" i="6" s="1"/>
  <c r="B3" i="6" s="1"/>
  <c r="F16" i="3"/>
  <c r="E86" i="3" s="1"/>
  <c r="F12" i="3"/>
  <c r="E82" i="3" s="1"/>
  <c r="D87" i="3"/>
  <c r="C92" i="3"/>
  <c r="A3" i="2" s="1"/>
  <c r="A32" i="2" s="1"/>
  <c r="E87" i="3"/>
  <c r="G17" i="3"/>
  <c r="E76" i="3"/>
  <c r="G6" i="3"/>
  <c r="E83" i="3"/>
  <c r="G13" i="3"/>
  <c r="E78" i="3"/>
  <c r="G8" i="3"/>
  <c r="D73" i="3"/>
  <c r="F3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G10" i="3" l="1"/>
  <c r="G12" i="3"/>
  <c r="F82" i="3" s="1"/>
  <c r="E2" i="6"/>
  <c r="D2" i="6" s="1"/>
  <c r="C2" i="6" s="1"/>
  <c r="B2" i="6" s="1"/>
  <c r="G16" i="3"/>
  <c r="F86" i="3" s="1"/>
  <c r="D92" i="3"/>
  <c r="B3" i="2" s="1"/>
  <c r="B32" i="2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E89" i="3"/>
  <c r="G19" i="3"/>
  <c r="F78" i="3"/>
  <c r="H8" i="3"/>
  <c r="F2" i="6" l="1"/>
  <c r="L34" i="2"/>
  <c r="H16" i="3"/>
  <c r="H12" i="3"/>
  <c r="E92" i="3"/>
  <c r="C3" i="2" s="1"/>
  <c r="C32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2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2" i="6" l="1"/>
  <c r="D34" i="2"/>
  <c r="D18" i="14" s="1"/>
  <c r="G2" i="6"/>
  <c r="C34" i="2"/>
  <c r="C18" i="14" s="1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C9" i="14" l="1"/>
  <c r="C16" i="14"/>
  <c r="D9" i="14" s="1"/>
  <c r="C2" i="14"/>
  <c r="G2" i="7" s="1"/>
  <c r="C11" i="14"/>
  <c r="C4" i="14" s="1"/>
  <c r="G7" i="7" s="1"/>
  <c r="C10" i="14"/>
  <c r="C3" i="14" s="1"/>
  <c r="G3" i="7" s="1"/>
  <c r="C12" i="14"/>
  <c r="C5" i="14" s="1"/>
  <c r="G3" i="6" s="1"/>
  <c r="D11" i="14"/>
  <c r="D4" i="14" s="1"/>
  <c r="H7" i="7" s="1"/>
  <c r="D10" i="14"/>
  <c r="D3" i="14" s="1"/>
  <c r="H3" i="7" s="1"/>
  <c r="D12" i="14"/>
  <c r="D5" i="14" s="1"/>
  <c r="H3" i="6" s="1"/>
  <c r="G92" i="3"/>
  <c r="E3" i="2" s="1"/>
  <c r="E32" i="2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E9" i="14" l="1"/>
  <c r="D2" i="14"/>
  <c r="H2" i="7" s="1"/>
  <c r="I2" i="6"/>
  <c r="E34" i="2"/>
  <c r="E18" i="14" s="1"/>
  <c r="J80" i="3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2" i="2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F9" i="14" l="1"/>
  <c r="E2" i="14"/>
  <c r="E11" i="14"/>
  <c r="E4" i="14" s="1"/>
  <c r="I7" i="7" s="1"/>
  <c r="E10" i="14"/>
  <c r="E3" i="14" s="1"/>
  <c r="E12" i="14"/>
  <c r="E5" i="14" s="1"/>
  <c r="J2" i="6"/>
  <c r="F34" i="2"/>
  <c r="F18" i="14" s="1"/>
  <c r="K78" i="3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G9" i="14" l="1"/>
  <c r="F2" i="14"/>
  <c r="F11" i="14"/>
  <c r="F4" i="14" s="1"/>
  <c r="J7" i="7" s="1"/>
  <c r="F10" i="14"/>
  <c r="F3" i="14" s="1"/>
  <c r="F12" i="14"/>
  <c r="F5" i="14" s="1"/>
  <c r="K2" i="6"/>
  <c r="G34" i="2"/>
  <c r="G18" i="14" s="1"/>
  <c r="L80" i="3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2" i="2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2" i="2" s="1"/>
  <c r="L88" i="3"/>
  <c r="N18" i="3"/>
  <c r="L85" i="3"/>
  <c r="N15" i="3"/>
  <c r="L78" i="3"/>
  <c r="N8" i="3"/>
  <c r="H9" i="14" l="1"/>
  <c r="G2" i="14"/>
  <c r="G10" i="14"/>
  <c r="G3" i="14" s="1"/>
  <c r="G11" i="14"/>
  <c r="G4" i="14" s="1"/>
  <c r="K7" i="7" s="1"/>
  <c r="G12" i="14"/>
  <c r="G5" i="14" s="1"/>
  <c r="M2" i="6"/>
  <c r="I34" i="2"/>
  <c r="I18" i="14" s="1"/>
  <c r="L2" i="6"/>
  <c r="H34" i="2"/>
  <c r="H18" i="14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I10" i="14" l="1"/>
  <c r="I3" i="14" s="1"/>
  <c r="I11" i="14"/>
  <c r="I4" i="14" s="1"/>
  <c r="M7" i="7" s="1"/>
  <c r="I12" i="14"/>
  <c r="I5" i="14" s="1"/>
  <c r="H10" i="14"/>
  <c r="H3" i="14" s="1"/>
  <c r="H11" i="14"/>
  <c r="H4" i="14" s="1"/>
  <c r="L7" i="7" s="1"/>
  <c r="H12" i="14"/>
  <c r="H5" i="14" s="1"/>
  <c r="L92" i="3"/>
  <c r="J32" i="2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N2" i="6" l="1"/>
  <c r="J34" i="2"/>
  <c r="J18" i="14" s="1"/>
  <c r="O81" i="3"/>
  <c r="Q11" i="3"/>
  <c r="O75" i="3"/>
  <c r="Q5" i="3"/>
  <c r="O85" i="3"/>
  <c r="Q15" i="3"/>
  <c r="O86" i="3"/>
  <c r="Q16" i="3"/>
  <c r="O87" i="3"/>
  <c r="Q17" i="3"/>
  <c r="O77" i="3"/>
  <c r="Q7" i="3"/>
  <c r="M92" i="3"/>
  <c r="K32" i="2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J11" i="14" l="1"/>
  <c r="J4" i="14" s="1"/>
  <c r="N7" i="7" s="1"/>
  <c r="J10" i="14"/>
  <c r="J3" i="14" s="1"/>
  <c r="J12" i="14"/>
  <c r="J5" i="14" s="1"/>
  <c r="O2" i="6"/>
  <c r="K34" i="2"/>
  <c r="K18" i="14" s="1"/>
  <c r="P85" i="3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Q3" i="3"/>
  <c r="N92" i="3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K11" i="14" l="1"/>
  <c r="K4" i="14" s="1"/>
  <c r="O7" i="7" s="1"/>
  <c r="K10" i="14"/>
  <c r="K3" i="14" s="1"/>
  <c r="K12" i="14"/>
  <c r="K5" i="14" s="1"/>
  <c r="O92" i="3"/>
  <c r="P2" i="6"/>
  <c r="L18" i="14"/>
  <c r="Q77" i="3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P92" i="3" l="1"/>
  <c r="N32" i="2" s="1"/>
  <c r="L11" i="14"/>
  <c r="L4" i="14" s="1"/>
  <c r="P7" i="7" s="1"/>
  <c r="L10" i="14"/>
  <c r="L3" i="14" s="1"/>
  <c r="L12" i="14"/>
  <c r="L5" i="14" s="1"/>
  <c r="R84" i="3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2" i="2" s="1"/>
  <c r="T3" i="3"/>
  <c r="S87" i="3"/>
  <c r="U17" i="3"/>
  <c r="Q92" i="3"/>
  <c r="O32" i="2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S92" i="3" l="1"/>
  <c r="Q32" i="2" s="1"/>
  <c r="T73" i="3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2" i="2" s="1"/>
  <c r="U92" i="3" l="1"/>
  <c r="S32" i="2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2" i="2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2" i="2" s="1"/>
  <c r="Z3" i="3"/>
  <c r="Y77" i="3"/>
  <c r="AA7" i="3"/>
  <c r="Y82" i="3"/>
  <c r="AA12" i="3"/>
  <c r="Y84" i="3"/>
  <c r="AA14" i="3"/>
  <c r="W92" i="3"/>
  <c r="U32" i="2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2" i="2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2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2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2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2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2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2" i="2" s="1"/>
  <c r="AG2" i="6" s="1"/>
  <c r="AF92" i="3" l="1"/>
  <c r="AD32" i="2" s="1"/>
  <c r="AH2" i="6" s="1"/>
  <c r="AG89" i="3"/>
  <c r="AI19" i="3"/>
  <c r="AH89" i="3" s="1"/>
  <c r="AG73" i="3"/>
  <c r="AG92" i="3" s="1"/>
  <c r="AE32" i="2" s="1"/>
  <c r="AI2" i="6" s="1"/>
  <c r="AI3" i="3"/>
  <c r="AH73" i="3" s="1"/>
  <c r="AH92" i="3" l="1"/>
  <c r="AF32" i="2" s="1"/>
  <c r="AJ2" i="6" s="1"/>
</calcChain>
</file>

<file path=xl/sharedStrings.xml><?xml version="1.0" encoding="utf-8"?>
<sst xmlns="http://schemas.openxmlformats.org/spreadsheetml/2006/main" count="1142" uniqueCount="551">
  <si>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</si>
  <si>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</si>
  <si>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</si>
  <si>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</si>
  <si>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</si>
  <si>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</si>
  <si>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</si>
  <si>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</si>
  <si>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</si>
  <si>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</si>
  <si>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</si>
  <si>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</si>
  <si>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</si>
  <si>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</si>
  <si>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</si>
  <si>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</si>
  <si>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</si>
  <si>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</si>
  <si>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</si>
  <si>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</si>
  <si>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</si>
  <si>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</si>
  <si>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</si>
  <si>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</si>
  <si>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</si>
  <si>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</si>
  <si>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</si>
  <si>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</si>
  <si>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</si>
  <si>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</si>
  <si>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</si>
  <si>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</si>
  <si>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</si>
  <si>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</si>
  <si>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</si>
  <si>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</si>
  <si>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</si>
  <si>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</si>
  <si>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</si>
  <si>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</si>
  <si>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</si>
  <si>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</si>
  <si>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</si>
  <si>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</si>
  <si>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</si>
  <si>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</si>
  <si>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</si>
  <si>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</si>
  <si>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</si>
  <si>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</si>
  <si>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</si>
  <si>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</si>
  <si>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</si>
  <si>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</si>
  <si>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</si>
  <si>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</si>
  <si>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</si>
  <si>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</si>
  <si>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</si>
  <si>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</si>
  <si>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</si>
  <si>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</si>
  <si>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</si>
  <si>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</si>
  <si>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</si>
  <si>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</si>
  <si>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</si>
  <si>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</si>
  <si>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</si>
  <si>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</si>
  <si>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</si>
  <si>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</si>
  <si>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</si>
  <si>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</si>
  <si>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</si>
  <si>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</si>
  <si>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</si>
  <si>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</si>
  <si>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</si>
  <si>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</si>
  <si>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</si>
  <si>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</si>
  <si>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</si>
  <si>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</si>
  <si>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</si>
  <si>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</si>
  <si>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</si>
  <si>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</si>
  <si>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</si>
  <si>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</si>
  <si>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</si>
  <si>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</si>
  <si>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</si>
  <si>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</si>
  <si>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</si>
  <si>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</si>
  <si>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</si>
  <si>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</si>
  <si>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</si>
  <si>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</si>
  <si>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</si>
  <si>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</si>
  <si>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</si>
  <si>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</si>
  <si>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</si>
  <si>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</si>
  <si>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</si>
  <si>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</si>
  <si>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</si>
  <si>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</si>
  <si>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</si>
  <si>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</si>
  <si>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</si>
  <si>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</si>
  <si>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</si>
  <si>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</si>
  <si>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</si>
  <si>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</si>
  <si>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</si>
  <si>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</si>
  <si>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</si>
  <si>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</si>
  <si>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</si>
  <si>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</si>
  <si>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</si>
  <si>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</si>
  <si>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</si>
  <si>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</si>
  <si>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</si>
  <si>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</si>
  <si>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</si>
  <si>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</si>
  <si>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</si>
  <si>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</si>
  <si>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</si>
  <si>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</si>
  <si>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</si>
  <si>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</si>
  <si>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</si>
  <si>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</si>
  <si>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</si>
  <si>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</si>
  <si>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</si>
  <si>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</si>
  <si>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</si>
  <si>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</si>
  <si>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</si>
  <si>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</si>
  <si>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</si>
  <si>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</si>
  <si>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</si>
  <si>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</si>
  <si>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</si>
  <si>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</si>
  <si>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</si>
  <si>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</si>
  <si>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</si>
  <si>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</si>
  <si>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</si>
  <si>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</si>
  <si>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</si>
  <si>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</si>
  <si>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</si>
  <si>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</si>
  <si>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</si>
  <si>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</si>
  <si>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</si>
  <si>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</si>
  <si>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</si>
  <si>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</si>
  <si>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</si>
  <si>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</si>
  <si>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</si>
  <si>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</si>
  <si>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</si>
  <si>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</si>
  <si>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</si>
  <si>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</si>
  <si>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</si>
  <si>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</si>
  <si>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</si>
  <si>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</si>
  <si>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</si>
  <si>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</si>
  <si>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</si>
  <si>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</si>
  <si>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</si>
  <si>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</si>
  <si>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</si>
  <si>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</si>
  <si>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</si>
  <si>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</si>
  <si>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</si>
  <si>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</si>
  <si>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</si>
  <si>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</si>
  <si>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</si>
  <si>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</si>
  <si>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</si>
  <si>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</si>
  <si>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</si>
  <si>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</si>
  <si>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</si>
  <si>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</si>
  <si>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</si>
  <si>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</si>
  <si>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</si>
  <si>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</si>
  <si>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</si>
  <si>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</si>
  <si>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</si>
  <si>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</si>
  <si>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</si>
  <si>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</si>
  <si>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</si>
  <si>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</si>
  <si>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</si>
  <si>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</si>
  <si>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</si>
  <si>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</si>
  <si>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</si>
  <si>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</si>
  <si>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</si>
  <si>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</si>
  <si>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</si>
  <si>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</si>
  <si>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</si>
  <si>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</si>
  <si>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</si>
  <si>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</si>
  <si>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</si>
  <si>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</si>
  <si>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</si>
  <si>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</si>
  <si>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</si>
  <si>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</si>
  <si>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</si>
  <si>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</si>
  <si>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</si>
  <si>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</si>
  <si>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</si>
  <si>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</si>
  <si>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</si>
  <si>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</si>
  <si>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</si>
  <si>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</si>
  <si>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</si>
  <si>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</si>
  <si>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</si>
  <si>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</si>
  <si>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</si>
  <si>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</si>
  <si>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</si>
  <si>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</si>
  <si>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</si>
  <si>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</si>
  <si>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</si>
  <si>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</si>
  <si>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</si>
  <si>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</si>
  <si>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</si>
  <si>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</si>
  <si>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</si>
  <si>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</si>
  <si>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</si>
  <si>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</si>
  <si>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</si>
  <si>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</si>
  <si>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</si>
  <si>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</si>
  <si>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</si>
  <si>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</si>
  <si>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</si>
  <si>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</si>
  <si>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</si>
  <si>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</si>
  <si>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</si>
  <si>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</si>
  <si>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Motorbikes freight</t>
  </si>
  <si>
    <t>HDV freight</t>
  </si>
  <si>
    <t>LDV freight</t>
  </si>
  <si>
    <t>LDV freight calcs</t>
  </si>
  <si>
    <t>Class 4-7</t>
  </si>
  <si>
    <t>Class 8 vocational</t>
  </si>
  <si>
    <t>Class 2-b</t>
  </si>
  <si>
    <t>Model</t>
  </si>
  <si>
    <t>OEM</t>
  </si>
  <si>
    <t>Technology Type</t>
  </si>
  <si>
    <t>Vehicle Incentives</t>
  </si>
  <si>
    <t>Dealers</t>
  </si>
  <si>
    <t>New or Conversion</t>
  </si>
  <si>
    <t>Battery</t>
  </si>
  <si>
    <t>Model Years</t>
  </si>
  <si>
    <t>GVWR</t>
  </si>
  <si>
    <t>Vehicle Types</t>
  </si>
  <si>
    <t>Banner</t>
  </si>
  <si>
    <t>Additional Info</t>
  </si>
  <si>
    <t>Ford T350 Chassis Cab 2WD Battery Electric Vehicle</t>
  </si>
  <si>
    <t>2b</t>
  </si>
  <si>
    <t>Battery Electric</t>
  </si>
  <si>
    <t>Bergey's Ford, Inc;Creative Bus Sales;Downtown Ford Sales;Ford Store San Leandro;Future Ford of Sacramento;Galpin Ford;Jim Burke Ford;Ken Grody Ford;Kings Ford;Larry H. Miller Ford - Draper;Livermore Ford;Midway Ford Truck Center;Mission Valley Ford Truck Sales, Inc.;Ron DuPratt Ford;Sands Ford of Red Hill;Santa Margarita Ford;Sonora Ford;South Bay Ford;Sunrise Ford of North Hollywood;The Ford Store Morgan Hill;Tom's Truck Center;Towne Ford Sales;Valley Ford Truck</t>
  </si>
  <si>
    <t>New</t>
  </si>
  <si>
    <t>68 kWh</t>
  </si>
  <si>
    <t>Class 2b</t>
  </si>
  <si>
    <t>Retrofit;Straight Truck</t>
  </si>
  <si>
    <t>Ford T350 Cutaway 2WD Battery Electric Vehicle</t>
  </si>
  <si>
    <t>Paratransit;Retrofit;Shuttle Bus;Straight Truck</t>
  </si>
  <si>
    <t>Ford T350 Van 2WD Battery Electric Vehicle</t>
  </si>
  <si>
    <t>Panel Van;Paratransit;Retrofit;Shuttle Bus</t>
  </si>
  <si>
    <t>Class 4-6</t>
  </si>
  <si>
    <t>BrightDrop EV600 Battery Electric Vehicle</t>
  </si>
  <si>
    <t>Step &amp; Panel Van</t>
  </si>
  <si>
    <t>General Motors</t>
  </si>
  <si>
    <t>BrightDrop Greater Los Angeles</t>
  </si>
  <si>
    <t>200 kWh</t>
  </si>
  <si>
    <t>Class 3</t>
  </si>
  <si>
    <t>Step Van</t>
  </si>
  <si>
    <t>FCCC MT50e Battery Electric Truck</t>
  </si>
  <si>
    <t>Freightliner Custom Chassis Corporation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</si>
  <si>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</t>
  </si>
  <si>
    <t>220 kWh</t>
  </si>
  <si>
    <t>2020, 2022</t>
  </si>
  <si>
    <t>Class 5</t>
  </si>
  <si>
    <t>Step Van;Straight Truck</t>
  </si>
  <si>
    <t>Delta Truck Center;Freightliner Custom Chassis Corporation;Freightliner of Arizona LLC;Freightliner of Buffalo;Golden Gate Truck Center;Lonestar Truck Group;McCoy Freightliner;Metro Freightliner Hamilton;Premier Truck Group of Salt Lake City;Velocity Truck Centers;Work Truck Direct</t>
  </si>
  <si>
    <t>Class 6</t>
  </si>
  <si>
    <t>GreenPower EV Star Cargo Battery Electric Van</t>
  </si>
  <si>
    <t>GreenPower Motor Company</t>
  </si>
  <si>
    <t>GreenPower Motor Company;Tom's Truck Center</t>
  </si>
  <si>
    <t>118 kWh</t>
  </si>
  <si>
    <t>2020, 2021, 2022</t>
  </si>
  <si>
    <t>Class 4;Class 5</t>
  </si>
  <si>
    <t>Panel Van</t>
  </si>
  <si>
    <t>Lightning eMotors FT3-43/86 Battery Electric Vehicle</t>
  </si>
  <si>
    <t>Lightning eMotors</t>
  </si>
  <si>
    <t>A-Z Bus Sales, Inc.;ABC Bus, Inc.;Creative Bus Sales;Don Brown Bus Sales Inc;Electric Vehicle Conversions;Ken Grody Ford;Lightning eMotors;Midway Ford Truck Center;NorCal Vans, Inc.;RO Bus Sales;Schetky Northwest Sales Inc;Transwest Truck Center, LLC</t>
  </si>
  <si>
    <t>43 kWh &lt;br&gt;86 kWh</t>
  </si>
  <si>
    <t>Motiv on Ford E-450 Platform &amp;#8211; Step Van</t>
  </si>
  <si>
    <t>Motiv Power Systems</t>
  </si>
  <si>
    <t>Bergey's Ford, Inc;Don Brown Bus Sales Inc;Electric Vehicle Conversions;Kings Ford;Larry H. Miller Ford - Draper;Motiv Power Systems, Inc.;Rush Truck Centers;South Bay Ford;The Ford Store Morgan Hill;Tom's Truck Center;Work Truck Direct</t>
  </si>
  <si>
    <t>127 kWh</t>
  </si>
  <si>
    <t>Class 4</t>
  </si>
  <si>
    <t>Motiv on Ford F-59 Platform &amp;#8211; Step Van</t>
  </si>
  <si>
    <t>2020, 2021</t>
  </si>
  <si>
    <t>SEA F59 EV (on FORD F-59 with SEA-DRIVEÂ® Power System)</t>
  </si>
  <si>
    <t>SEA Electric</t>
  </si>
  <si>
    <t>Electric Vehicle Conversions;SEA Electric;South Bay Ford;Tom's Truck Center</t>
  </si>
  <si>
    <t>138 kWh</t>
  </si>
  <si>
    <t>Panel Van;Step Van</t>
  </si>
  <si>
    <t>Workhorse C-1000 Extended Range Battery Electric Step Van</t>
  </si>
  <si>
    <t>Workhorse Group Inc.</t>
  </si>
  <si>
    <t>Chrysler of Forest City;Tom's Truck Center;Workhorse Technologies Inc.</t>
  </si>
  <si>
    <t>105 kWh</t>
  </si>
  <si>
    <t>Workhorse C-1000 Standard Range Battery Electric Step Van</t>
  </si>
  <si>
    <t>70.4 kWh</t>
  </si>
  <si>
    <t>Workhorse C-650 Extended Range Battery Electric Step Van</t>
  </si>
  <si>
    <t>70 kWh</t>
  </si>
  <si>
    <t>Workhorse C-650 Standard Range Battery Electric Step Van</t>
  </si>
  <si>
    <t>35 kWh</t>
  </si>
  <si>
    <t>Xos SV Battery Electric Truck</t>
  </si>
  <si>
    <t>Xos</t>
  </si>
  <si>
    <t>Rivordak;Thompson Truck Center, LLC;XOS Services</t>
  </si>
  <si>
    <t>90 kWh, 120 kWh, 150 kWh, 180 kWh</t>
  </si>
  <si>
    <t>BYD 6R Battery Electric Truck</t>
  </si>
  <si>
    <t>Refuse;Straight Truck</t>
  </si>
  <si>
    <t>BYD Motors</t>
  </si>
  <si>
    <t>221 kWh</t>
  </si>
  <si>
    <t>Straight Truck</t>
  </si>
  <si>
    <t>BYD 8R Battery Electric Truck</t>
  </si>
  <si>
    <t>Refuse</t>
  </si>
  <si>
    <t>295 kWh</t>
  </si>
  <si>
    <t>Class 8</t>
  </si>
  <si>
    <t>Crane Carrier BEV LET2 Battery Electric Truck</t>
  </si>
  <si>
    <t>Crane Carrier Company</t>
  </si>
  <si>
    <t>Dobbs Peterbilt;Kenworth of South Florida;Pape Kenworth;RWC Group;Velocity Truck Centers</t>
  </si>
  <si>
    <t>240 kWh &lt;br&gt; 450 kWh</t>
  </si>
  <si>
    <t xml:space="preserve">240 kWh </t>
  </si>
  <si>
    <t>Class 6;Class 7</t>
  </si>
  <si>
    <t>Crane Carrier BEV LNT Battery Electric Truck</t>
  </si>
  <si>
    <t>2021, 2022</t>
  </si>
  <si>
    <t>Lion Electric Lion8P ASL Refuse Battery Electric Truck</t>
  </si>
  <si>
    <t>Lion Electric</t>
  </si>
  <si>
    <t>The Lion Electric Co.</t>
  </si>
  <si>
    <t>336 kWh</t>
  </si>
  <si>
    <t>Lion Electric Lion8P REL Refuse Battery Electric Truck</t>
  </si>
  <si>
    <t>Mack LRe Battery Electric Truck</t>
  </si>
  <si>
    <t>Mack Trucks</t>
  </si>
  <si>
    <t>Affinity Truck Center;Mack Trucks Corporate;Mountain West Truck Center;Nextran Truck Centers Orlando;TEC of California, Inc.;Western Truck Center</t>
  </si>
  <si>
    <t>264 kWh</t>
  </si>
  <si>
    <t>Peterbilt Model 520 Battery Electric Truck</t>
  </si>
  <si>
    <t>Peterbilt</t>
  </si>
  <si>
    <t>Arata Equipment Co.;Coast Counties Peterbilt;Dobbs Peterbilt;Golden State Peterbilt;Heil Environmental;Peterbilt of Michigan Inc.;Peterbilt of Utah, Inc.;Rush Truck Centers;TLG Peterbilt - Charlotte;TLG Peterbilt - Cincinnati;TLG Peterbilt - Louisville;TLG Peterbilt - NW Arkansas;Valley Peterbilt</t>
  </si>
  <si>
    <t>396 kWh</t>
  </si>
  <si>
    <t>SEA Econic EV (on Freightliner Econic with SEA-DriveÂ® Power-System)</t>
  </si>
  <si>
    <t>Heavy-Duty Bus;Refuse</t>
  </si>
  <si>
    <t>Electric Vehicle Conversions</t>
  </si>
  <si>
    <t>Refuse;Transit Bus</t>
  </si>
  <si>
    <t>XL Electric Class 6 Battery Electric Vehicle</t>
  </si>
  <si>
    <t>XL Fleet</t>
  </si>
  <si>
    <t>180 kWh</t>
  </si>
  <si>
    <t>Class 8 TRACTOR</t>
  </si>
  <si>
    <t>BYD 8TT Battery Electric Truck</t>
  </si>
  <si>
    <t>Tractor</t>
  </si>
  <si>
    <t>435 kWh</t>
  </si>
  <si>
    <t>Drayage Capable*;Tractor</t>
  </si>
  <si>
    <t>Freightliner eCascadia Battery Electric Truck</t>
  </si>
  <si>
    <t>Freightliner</t>
  </si>
  <si>
    <t>Daimler Trucks North America LLC;Delta Truck Center;Doggett Freightliner;Excel Truck Group;Freightliner of Buffalo;Fresno Truck Center;Golden Gate Truck Center;Houston Freightliner, Inc.;Lonestar Truck Group;McCoy Freightliner;Metro Freightliner Hamilton;Peach State Freightliner;Premier Truck Group of Salt Lake City;River State Truck and Trailer;Sacramento Truck Center;Truck Country of Iowa, Inc.;Truck Country of Wisconsin Inc;Valley Ford Truck;Velocity Truck Centers</t>
  </si>
  <si>
    <t>475 kWh</t>
  </si>
  <si>
    <t>Kenworth T680E Battery Electric Truck</t>
  </si>
  <si>
    <t>Kenworth</t>
  </si>
  <si>
    <t>Inland Kenworth US;Kenworth of South Florida;MHC Kenworth;NorCal Kenworth;Pape Kenworth</t>
  </si>
  <si>
    <t>Lion Electric Lion8T Battery Electric Truck</t>
  </si>
  <si>
    <t>653 kWh</t>
  </si>
  <si>
    <t>Nikola TRE Battery Electric Truck</t>
  </si>
  <si>
    <t>Nikola</t>
  </si>
  <si>
    <t>Thompson Truck Center, LLC;Yancey Brothers Co</t>
  </si>
  <si>
    <t>753 kWh</t>
  </si>
  <si>
    <t>Peterbilt 579 Battery Electric Truck</t>
  </si>
  <si>
    <t>SEA Cascadia EV (on Freightliner Cascadia with SEA-DriveÂ® Power-System)</t>
  </si>
  <si>
    <t>Volvo VNRe Battery Electric Truck</t>
  </si>
  <si>
    <t>Affinity Truck Center;Gateway Truck &amp;amp; Refrigeration;Mountain West Truck Center;Nextran Truck Centers Orlando;TEC of California, Inc.;Vanguard Truck Center;Western Truck Center</t>
  </si>
  <si>
    <t>375 kWh &lt;br&gt; 565 kWh</t>
  </si>
  <si>
    <t>Day cab - HDV frt</t>
  </si>
  <si>
    <t>Sleeper cab - motorbikes frt</t>
  </si>
  <si>
    <t>annual change vs 2020</t>
  </si>
  <si>
    <t>Note: Average truck price is an approximation from Statista</t>
  </si>
  <si>
    <t>LDV frt</t>
  </si>
  <si>
    <t>HDV psgr</t>
  </si>
  <si>
    <t>HDV bus</t>
  </si>
  <si>
    <t>HDV psg</t>
  </si>
  <si>
    <t>See BNVP.xlxs for the derivation of the below figures (purchase prices)</t>
  </si>
  <si>
    <t>2020 $s</t>
  </si>
  <si>
    <t>2012 $s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</si>
  <si>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</si>
  <si>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</si>
  <si>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</si>
  <si>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</si>
  <si>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</si>
  <si>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2013 to 2012, for American Public Transit Association</t>
  </si>
  <si>
    <t>2014 to 2012, for TruckerToTrucker</t>
  </si>
  <si>
    <t>2016 to 2012, for AEO 2017</t>
  </si>
  <si>
    <t>2017 to 2012, for AEO 2018</t>
  </si>
  <si>
    <t>2018 to 2012, for AEO 2019</t>
  </si>
  <si>
    <t>2019 to 2012, for AEO 2020</t>
  </si>
  <si>
    <t>2021 to 2012</t>
  </si>
  <si>
    <t>2018 to 2021</t>
  </si>
  <si>
    <t>See "cpi.xlsx" in the InputData folder for source information.</t>
  </si>
  <si>
    <t>Currency Year Adjustment</t>
  </si>
  <si>
    <t>Historical Consumer Price Index for All Urban Consumers (CPI-U): U.S. city average, all items, index</t>
  </si>
  <si>
    <t>averages — Continued</t>
  </si>
  <si>
    <t>[1982-84=100, unless otherwise noted]</t>
  </si>
  <si>
    <t>Year</t>
  </si>
  <si>
    <t>Semiannual averages</t>
  </si>
  <si>
    <t>1st half</t>
  </si>
  <si>
    <t>2nd half</t>
  </si>
  <si>
    <t>1982.............................................................................     .</t>
  </si>
  <si>
    <t>–</t>
  </si>
  <si>
    <t>1983.............................................................................     .</t>
  </si>
  <si>
    <t>1984.............................................................................     .</t>
  </si>
  <si>
    <t>1985.............................................................................     .</t>
  </si>
  <si>
    <t>1986.............................................................................     .</t>
  </si>
  <si>
    <t>1987.............................................................................     .</t>
  </si>
  <si>
    <t>1988.............................................................................     .</t>
  </si>
  <si>
    <t>1989.............................................................................     .</t>
  </si>
  <si>
    <t>1990.............................................................................     .</t>
  </si>
  <si>
    <t>1991.............................................................................     .</t>
  </si>
  <si>
    <t>1992.............................................................................     .</t>
  </si>
  <si>
    <t>1993.............................................................................     .</t>
  </si>
  <si>
    <t>1994.............................................................................     .</t>
  </si>
  <si>
    <t>1995.............................................................................     .</t>
  </si>
  <si>
    <t>1996.............................................................................     .</t>
  </si>
  <si>
    <t>1997.............................................................................      .</t>
  </si>
  <si>
    <t>1998.............................................................................     .</t>
  </si>
  <si>
    <t>1999.............................................................................     .</t>
  </si>
  <si>
    <t>2000.............................................................................     .</t>
  </si>
  <si>
    <t>2001.............................................................................     .</t>
  </si>
  <si>
    <t>2002.............................................................................     .</t>
  </si>
  <si>
    <t>2003.............................................................................     .</t>
  </si>
  <si>
    <t>2004.............................................................................     .</t>
  </si>
  <si>
    <t>2005.............................................................................     .</t>
  </si>
  <si>
    <t>2006.............................................................................     .</t>
  </si>
  <si>
    <t>2007.............................................................................     .</t>
  </si>
  <si>
    <t>2008.............................................................................     .</t>
  </si>
  <si>
    <t>2009.............................................................................     .</t>
  </si>
  <si>
    <t>2010.............................................................................     .</t>
  </si>
  <si>
    <t>2011.............................................................................     .</t>
  </si>
  <si>
    <t>2012.............................................................................     .</t>
  </si>
  <si>
    <t>2013.............................................................................     .</t>
  </si>
  <si>
    <t>2014.............................................................................     .</t>
  </si>
  <si>
    <t>2015.............................................................................     .</t>
  </si>
  <si>
    <t>2016.............................................................................     .</t>
  </si>
  <si>
    <t>2017.............................................................................     .</t>
  </si>
  <si>
    <t>2018.............................................................................     .</t>
  </si>
  <si>
    <t>2019.............................................................................     .</t>
  </si>
  <si>
    <t>step down</t>
  </si>
  <si>
    <t>HDVs and LDV freight</t>
  </si>
  <si>
    <t>https://californiahvip.org/vehiclecatalog/</t>
  </si>
  <si>
    <t>California Heavy Vehicle Incentive Program</t>
  </si>
  <si>
    <t>Accessed 22 April 2022</t>
  </si>
  <si>
    <t>HVIP level - Adjusted to 2012$s</t>
  </si>
  <si>
    <t>HDV frt</t>
  </si>
  <si>
    <t>motorbikes (HDV long haul)</t>
  </si>
  <si>
    <t>*LDVs</t>
  </si>
  <si>
    <t>**HDVs frt</t>
  </si>
  <si>
    <t>*In light of cost effectiveness of LDV freight, reduce over five years instead of 10</t>
  </si>
  <si>
    <t>**adjustment to HDV freight based on the relative price of sleeper vs day cab.</t>
  </si>
  <si>
    <t xml:space="preserve">Noting </t>
  </si>
  <si>
    <t>annual reduction</t>
  </si>
  <si>
    <t>below is initial LDV path</t>
  </si>
  <si>
    <t>Methodology:</t>
  </si>
  <si>
    <t>We use a custom Excel file, 2022-06-30 EV Incentive Market Share Impact Calculator v35.xlsx, to calculate the impact of BEV and PHEV credits.</t>
  </si>
  <si>
    <t>All methodology is documented in that file. We then use the resulting sales shares and weighted average subsidy amounts in the EPS.</t>
  </si>
  <si>
    <t>Additionally, the battery PTC is estimated to bring down the cost of passenger LDVs 6% for battery electric vehicles and 2% for plug-in hybrid vehicles.</t>
  </si>
  <si>
    <t>We represent these cost declines using the RnD Transportation Capital Cost Perc Reduction lever in the EPS.</t>
  </si>
  <si>
    <t>Policy Settings:</t>
  </si>
  <si>
    <t>Vensim Policy Name:</t>
  </si>
  <si>
    <t>Low</t>
  </si>
  <si>
    <t>Moderate</t>
  </si>
  <si>
    <t>High</t>
  </si>
  <si>
    <t>Policy Setting:</t>
  </si>
  <si>
    <t>Additional EV Subsidy Percentage</t>
  </si>
  <si>
    <t>Additional PHEV Subsidy</t>
  </si>
  <si>
    <t>Output from supporting spreadsheet, Moderate:</t>
  </si>
  <si>
    <t>BEV subsidy, high</t>
  </si>
  <si>
    <t>PHEV subsidy, high</t>
  </si>
  <si>
    <t>BAU BEV subsidy</t>
  </si>
  <si>
    <t>BAU PHEV subsidy</t>
  </si>
  <si>
    <t>Additional BEV subsidy, high</t>
  </si>
  <si>
    <t>Additional PHEV subsidy, high</t>
  </si>
  <si>
    <t>PSGR-Evs</t>
  </si>
  <si>
    <t>Psgr HDV</t>
  </si>
  <si>
    <t>Freight LDV</t>
  </si>
  <si>
    <t>Freight HDV</t>
  </si>
  <si>
    <t>Policy Setting, found through calibration:</t>
  </si>
  <si>
    <t>Policy setting for buses</t>
  </si>
  <si>
    <t>Policy setting for freight LDVs</t>
  </si>
  <si>
    <t>Policy setting for freight HDVs</t>
  </si>
  <si>
    <t>Policy Implementation Schedule (same across all Scenarios):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</si>
  <si>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</si>
  <si>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</si>
  <si>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</si>
  <si>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</si>
  <si>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</si>
  <si>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</si>
  <si>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</si>
  <si>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</si>
  <si>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PSGR-HDV</t>
  </si>
  <si>
    <t>BNVP</t>
  </si>
  <si>
    <t>FRGT-LDV</t>
  </si>
  <si>
    <t>FRGT-HDV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</si>
</sst>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  <numFmt numFmtId="168" formatCode="0.00000"/>
    <numFmt numFmtId="169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5">
    <xf numFmtId="0" fontId="0" fillId="0" borderId="1"/>
    <xf numFmtId="0" fontId="4" fillId="0" borderId="1"/>
    <xf numFmtId="44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16" fillId="0" borderId="1" applyNumberFormat="0" applyFill="0" applyBorder="0" applyAlignment="0" applyProtection="0"/>
    <xf numFmtId="9" fontId="17" fillId="0" borderId="0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4" fontId="6" fillId="0" borderId="1" applyFont="0" applyFill="0" applyBorder="0" applyAlignment="0" applyProtection="0"/>
    <xf numFmtId="9" fontId="3" fillId="0" borderId="1" applyFont="0" applyFill="0" applyBorder="0" applyAlignment="0" applyProtection="0"/>
    <xf numFmtId="0" fontId="17" fillId="0" borderId="1"/>
    <xf numFmtId="0" fontId="2" fillId="0" borderId="1"/>
    <xf numFmtId="9" fontId="2" fillId="0" borderId="1" applyFont="0" applyFill="0" applyBorder="0" applyAlignment="0" applyProtection="0"/>
    <xf numFmtId="0" fontId="1" fillId="0" borderId="1"/>
    <xf numFmtId="43" fontId="1" fillId="0" borderId="1" applyFont="0" applyFill="0" applyBorder="0" applyAlignment="0" applyProtection="0"/>
  </cellStyleXfs>
  <cellXfs count="95">
    <xf numFmtId="0" fontId="0" fillId="0" borderId="0" xfId="0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10" fillId="0" borderId="0" xfId="0" applyFont="1" applyBorder="1"/>
    <xf numFmtId="0" fontId="5" fillId="2" borderId="1" xfId="0" applyFont="1" applyFill="1" applyAlignment="1">
      <alignment horizontal="left"/>
    </xf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9" fillId="0" borderId="0" xfId="0" applyFont="1" applyBorder="1"/>
    <xf numFmtId="38" fontId="9" fillId="0" borderId="0" xfId="0" applyNumberFormat="1" applyFont="1" applyBorder="1"/>
    <xf numFmtId="2" fontId="9" fillId="0" borderId="0" xfId="0" applyNumberFormat="1" applyFont="1" applyBorder="1"/>
    <xf numFmtId="9" fontId="9" fillId="0" borderId="0" xfId="0" applyNumberFormat="1" applyFont="1" applyBorder="1"/>
    <xf numFmtId="38" fontId="9" fillId="0" borderId="0" xfId="0" applyNumberFormat="1" applyFont="1" applyBorder="1" applyAlignment="1">
      <alignment horizontal="right"/>
    </xf>
    <xf numFmtId="1" fontId="9" fillId="0" borderId="0" xfId="0" applyNumberFormat="1" applyFont="1" applyBorder="1"/>
    <xf numFmtId="11" fontId="9" fillId="0" borderId="0" xfId="0" applyNumberFormat="1" applyFont="1" applyBorder="1"/>
    <xf numFmtId="0" fontId="5" fillId="0" borderId="0" xfId="0" applyFont="1" applyBorder="1" applyAlignment="1">
      <alignment wrapText="1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9" fillId="0" borderId="0" xfId="0" applyNumberFormat="1" applyFont="1" applyBorder="1"/>
    <xf numFmtId="6" fontId="5" fillId="0" borderId="0" xfId="0" applyNumberFormat="1" applyFont="1" applyBorder="1"/>
    <xf numFmtId="6" fontId="9" fillId="0" borderId="0" xfId="0" applyNumberFormat="1" applyFont="1" applyBorder="1" applyAlignment="1">
      <alignment horizontal="right"/>
    </xf>
    <xf numFmtId="6" fontId="14" fillId="0" borderId="0" xfId="0" applyNumberFormat="1" applyFont="1" applyBorder="1"/>
    <xf numFmtId="164" fontId="9" fillId="0" borderId="0" xfId="0" applyNumberFormat="1" applyFont="1" applyBorder="1"/>
    <xf numFmtId="165" fontId="9" fillId="0" borderId="0" xfId="0" applyNumberFormat="1" applyFont="1" applyBorder="1"/>
    <xf numFmtId="166" fontId="9" fillId="0" borderId="0" xfId="0" applyNumberFormat="1" applyFont="1" applyBorder="1"/>
    <xf numFmtId="167" fontId="9" fillId="2" borderId="1" xfId="0" applyNumberFormat="1" applyFont="1" applyFill="1"/>
    <xf numFmtId="167" fontId="9" fillId="0" borderId="0" xfId="0" applyNumberFormat="1" applyFont="1" applyBorder="1"/>
    <xf numFmtId="0" fontId="0" fillId="0" borderId="1" xfId="0"/>
    <xf numFmtId="14" fontId="7" fillId="0" borderId="0" xfId="0" applyNumberFormat="1" applyFont="1" applyBorder="1"/>
    <xf numFmtId="0" fontId="5" fillId="0" borderId="1" xfId="0" applyFont="1"/>
    <xf numFmtId="0" fontId="12" fillId="0" borderId="1" xfId="0" applyFont="1"/>
    <xf numFmtId="0" fontId="9" fillId="0" borderId="1" xfId="0" applyFont="1"/>
    <xf numFmtId="0" fontId="15" fillId="0" borderId="1" xfId="0" applyFont="1"/>
    <xf numFmtId="167" fontId="0" fillId="0" borderId="1" xfId="0" applyNumberFormat="1"/>
    <xf numFmtId="6" fontId="9" fillId="0" borderId="1" xfId="0" applyNumberFormat="1" applyFont="1"/>
    <xf numFmtId="0" fontId="3" fillId="0" borderId="1" xfId="6"/>
    <xf numFmtId="166" fontId="3" fillId="0" borderId="1" xfId="6" applyNumberFormat="1"/>
    <xf numFmtId="166" fontId="0" fillId="0" borderId="1" xfId="7" applyNumberFormat="1" applyFont="1"/>
    <xf numFmtId="44" fontId="3" fillId="0" borderId="1" xfId="6" applyNumberFormat="1"/>
    <xf numFmtId="44" fontId="3" fillId="0" borderId="1" xfId="8" applyFont="1" applyBorder="1"/>
    <xf numFmtId="9" fontId="3" fillId="0" borderId="1" xfId="6" applyNumberFormat="1"/>
    <xf numFmtId="9" fontId="0" fillId="0" borderId="1" xfId="9" applyFont="1"/>
    <xf numFmtId="3" fontId="3" fillId="0" borderId="1" xfId="6" applyNumberFormat="1"/>
    <xf numFmtId="0" fontId="15" fillId="3" borderId="1" xfId="6" applyFont="1" applyFill="1"/>
    <xf numFmtId="0" fontId="3" fillId="3" borderId="1" xfId="6" applyFill="1"/>
    <xf numFmtId="3" fontId="3" fillId="3" borderId="1" xfId="6" applyNumberFormat="1" applyFill="1"/>
    <xf numFmtId="6" fontId="3" fillId="0" borderId="1" xfId="6" applyNumberFormat="1"/>
    <xf numFmtId="0" fontId="17" fillId="0" borderId="1" xfId="10"/>
    <xf numFmtId="0" fontId="6" fillId="0" borderId="1" xfId="10" applyFont="1"/>
    <xf numFmtId="44" fontId="17" fillId="0" borderId="1" xfId="10" applyNumberFormat="1"/>
    <xf numFmtId="9" fontId="17" fillId="0" borderId="1" xfId="5" applyBorder="1"/>
    <xf numFmtId="0" fontId="9" fillId="0" borderId="1" xfId="0" applyFont="1" applyAlignment="1">
      <alignment horizontal="left"/>
    </xf>
    <xf numFmtId="2" fontId="12" fillId="0" borderId="0" xfId="0" applyNumberFormat="1" applyFont="1" applyBorder="1"/>
    <xf numFmtId="168" fontId="9" fillId="0" borderId="0" xfId="0" applyNumberFormat="1" applyFont="1" applyBorder="1"/>
    <xf numFmtId="0" fontId="18" fillId="0" borderId="1" xfId="10" applyFont="1"/>
    <xf numFmtId="38" fontId="9" fillId="4" borderId="0" xfId="0" applyNumberFormat="1" applyFont="1" applyFill="1" applyBorder="1"/>
    <xf numFmtId="0" fontId="9" fillId="0" borderId="1" xfId="0" applyFont="1"/>
    <xf numFmtId="0" fontId="0" fillId="0" borderId="1" xfId="0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15" fillId="0" borderId="1" xfId="13" applyFont="1"/>
    <xf numFmtId="0" fontId="1" fillId="0" borderId="1" xfId="13"/>
    <xf numFmtId="6" fontId="1" fillId="0" borderId="1" xfId="13" applyNumberFormat="1"/>
    <xf numFmtId="0" fontId="1" fillId="4" borderId="1" xfId="13" applyFill="1"/>
    <xf numFmtId="6" fontId="1" fillId="4" borderId="1" xfId="13" applyNumberFormat="1" applyFill="1"/>
    <xf numFmtId="10" fontId="1" fillId="0" borderId="1" xfId="13" applyNumberFormat="1"/>
    <xf numFmtId="169" fontId="0" fillId="0" borderId="1" xfId="14" applyNumberFormat="1" applyFont="1"/>
    <xf numFmtId="0" fontId="1" fillId="0" borderId="1" xfId="13" applyFill="1"/>
    <xf numFmtId="6" fontId="1" fillId="0" borderId="1" xfId="13" applyNumberFormat="1" applyFill="1"/>
    <xf numFmtId="0" fontId="15" fillId="5" borderId="1" xfId="13" applyFont="1" applyFill="1"/>
    <xf numFmtId="0" fontId="15" fillId="6" borderId="1" xfId="13" applyFont="1" applyFill="1"/>
    <xf numFmtId="169" fontId="0" fillId="4" borderId="1" xfId="14" applyNumberFormat="1" applyFont="1" applyFill="1"/>
    <xf numFmtId="169" fontId="0" fillId="0" borderId="1" xfId="14" applyNumberFormat="1" applyFont="1" applyFill="1"/>
    <xf numFmtId="9" fontId="0" fillId="7" borderId="1" xfId="5" applyFont="1" applyFill="1" applyBorder="1"/>
    <xf numFmtId="0" fontId="12" fillId="0" borderId="0" xfId="0" applyNumberFormat="1" applyFont="1" applyBorder="1"/>
  </cellXfs>
  <cellStyles count="15">
    <cellStyle name="Comma 2" xfId="14" xr:uid="{FD3D1D6A-43BF-4219-8E2E-398498D2602D}"/>
    <cellStyle name="Currency 2" xfId="2" xr:uid="{BC9F6E81-0B7B-4233-A100-6BCECE740A23}"/>
    <cellStyle name="Currency 2 2" xfId="7" xr:uid="{66BBAE26-3BD3-4666-AEF3-F05FC415D444}"/>
    <cellStyle name="Currency 3" xfId="8" xr:uid="{30EBF80F-873F-44B2-BC8D-EC84177FB76A}"/>
    <cellStyle name="Hyperlink 2" xfId="4" xr:uid="{D417D19A-F306-4C77-BCDC-6CA199416630}"/>
    <cellStyle name="Normal" xfId="0" builtinId="0"/>
    <cellStyle name="Normal 2" xfId="1" xr:uid="{2D49FDCE-53BC-42C5-967A-591F119C6C8B}"/>
    <cellStyle name="Normal 2 2" xfId="6" xr:uid="{654C7A43-3831-45FD-B7E9-DC3A6DC46DAA}"/>
    <cellStyle name="Normal 3" xfId="10" xr:uid="{9A682193-5524-43B6-BF37-0D94508B2D5A}"/>
    <cellStyle name="Normal 4" xfId="11" xr:uid="{17CD044A-79B5-47BF-874C-283A5678ECFE}"/>
    <cellStyle name="Normal 5" xfId="13" xr:uid="{38DEB90F-546D-4CB1-A594-58D3531A16A0}"/>
    <cellStyle name="Percent" xfId="5" builtinId="5"/>
    <cellStyle name="Percent 2" xfId="3" xr:uid="{604C5CCF-F82C-45BC-B357-C4396401AD1F}"/>
    <cellStyle name="Percent 2 2" xfId="9" xr:uid="{1379D262-3E3C-487A-B3A1-4B5742E6537D}"/>
    <cellStyle name="Percent 3" xfId="12" xr:uid="{4DAB1C2B-2699-4B91-BBCB-4A7316A60281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2</xdr:col>
      <xdr:colOff>172170</xdr:colOff>
      <xdr:row>69</xdr:row>
      <xdr:rowOff>60511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7F9C4-CE65-455B-A8CE-CFB430BFE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91350"/>
          <a:ext cx="5480770" cy="14384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niclutsey/Library/Application%20Support/Microsoft/Office/Office%202011%20AutoRecovery/PD%20US%20PV%202025/OMEGA%20PD%20TSD/omega-pd2016-omegasuite/02_FleetGen_Targets/2015-2025%20Production%20Summary%20and%20Data%20with%20Definitions.xlsx?C842E235" TargetMode="External"/><Relationship Id="rId1" Type="http://schemas.openxmlformats.org/officeDocument/2006/relationships/externalLinkPath" Target="file:///\\C842E235\2015-2025%20Production%20Summary%20and%20Data%20with%20Defini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EcoInfo/STAT/OICA/EXP-PRO-SURVEY/PROQUARTERS2005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urrent%20CA%20EPS%20update/Transportation/earlier%20Revised%20BAU%20EV%20Subsidy%20Per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trans/BNVP/BAU%20New%20Vehicle%20Pri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Library/Application%20Support/Microsoft/Office/Office%202011%20AutoRecovery/PD%20US%20PV%202025/OMEGA%20PD%20TSD/omega-pd2016-omegasuite/02_FleetGen_Targets/MY2015_FleetsABC_aeoR_20161117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lehall/Library/Containers/com.apple.mail/Data/Library/Mail%20Downloads/E08A986B-19D3-4794-A4F4-0DCF2A09C02C/IZEVA%20GHG%20paper/Roadmap_Model_112414_NL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EPA%20eGRID%202014/egrid_dat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lutsey/Desktop/EU%20EV%20incentive%20paper/BlueMarble%20Heising%202017/ICCT%20Heising%202016%202017/EV%20CO2%20integration/US%20EV%20GHG%20v0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fet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LDV psg EVs"/>
      <sheetName val="LDV psg gasoline"/>
      <sheetName val="LDV sales"/>
      <sheetName val="LDV psg battery"/>
      <sheetName val="LDV psg EV specs"/>
      <sheetName val="Car"/>
      <sheetName val="Pickup"/>
      <sheetName val="Crossover"/>
      <sheetName val="SUV"/>
      <sheetName val="CARB HVIP"/>
      <sheetName val="HDV frt"/>
      <sheetName val="LDV frt"/>
      <sheetName val="HDV psg"/>
      <sheetName val="Hydrogen"/>
      <sheetName val="CARB"/>
      <sheetName val="AEO 39"/>
      <sheetName val="AEO 42"/>
      <sheetName val="AEO 53"/>
      <sheetName val="Passenger Aircraft"/>
      <sheetName val="Ships"/>
      <sheetName val="Motorbikes"/>
      <sheetName val="BNVP-LDVs-psgr"/>
      <sheetName val="BNVP-LDVs-frgt"/>
      <sheetName val="BNVP-HDVs-frgt"/>
      <sheetName val="BNVP-HDVs-psgr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63">
          <cell r="A163">
            <v>0.98699999999999999</v>
          </cell>
        </row>
        <row r="167">
          <cell r="A167">
            <v>0.91400000000000003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>
            <v>1.2857142857142858</v>
          </cell>
        </row>
      </sheetData>
      <sheetData sheetId="15">
        <row r="21">
          <cell r="C21">
            <v>10101</v>
          </cell>
        </row>
        <row r="52">
          <cell r="B52" t="str">
            <v>Class 2b-3</v>
          </cell>
        </row>
        <row r="53">
          <cell r="B53">
            <v>0.7762312805638798</v>
          </cell>
          <cell r="C53">
            <v>9.5230931548944325E-2</v>
          </cell>
          <cell r="D53">
            <v>0.11179710598420206</v>
          </cell>
          <cell r="E53">
            <v>1.6740681902973849E-2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ble 44"/>
      <sheetName val="Table 49"/>
      <sheetName val="AEO 39"/>
      <sheetName val="Table_38"/>
      <sheetName val="AEO 42"/>
      <sheetName val="AEO 52"/>
      <sheetName val="NREL_ATB_2020"/>
      <sheetName val="NREL Calcs"/>
      <sheetName val="LDV Cost Calcs"/>
      <sheetName val="PHEV Price Calcs"/>
      <sheetName val="Start Year psgr LDV EV Price"/>
      <sheetName val="CARB ACT ISOR"/>
      <sheetName val="LDV Shares"/>
      <sheetName val="Freight HDVs"/>
      <sheetName val="Hydrogen Vehicle Calc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kWhpMi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_byFleet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livia Ashmoore" refreshedDate="44831.568240972221" refreshedVersion="8" recordCount="45" xr:uid="{00000000-000A-0000-FFFF-FFFF03000000}">
  <cacheSource type="worksheet">
    <worksheetSource ref="A2:P47" sheet="LDV psg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workbookViewId="0">
      <selection activeCell="A41" sqref="A41"/>
    </sheetView>
    <sheetView topLeftCell="A33" workbookViewId="1"/>
  </sheetViews>
  <sheetFormatPr defaultColWidth="12.625" defaultRowHeight="15" customHeight="1" x14ac:dyDescent="0.2"/>
  <cols>
    <col min="1" max="1" width="7.625" customWidth="1"/>
    <col min="2" max="2" width="62" customWidth="1"/>
    <col min="3" max="26" width="7.625" customWidth="1"/>
  </cols>
  <sheetData>
    <row r="1" spans="1:7" x14ac:dyDescent="0.25">
      <c r="A1" s="1" t="s">
        <v>0</v>
      </c>
      <c r="B1" s="2" t="s">
        <v>15</v>
      </c>
      <c r="C1" s="41">
        <v>44420</v>
      </c>
      <c r="F1" s="3" t="s">
        <v>2</v>
      </c>
      <c r="G1" s="3" t="s">
        <v>2</v>
      </c>
    </row>
    <row r="2" spans="1:7" x14ac:dyDescent="0.25">
      <c r="B2" s="4" t="str">
        <f>LOOKUP(B1,F2:G51,G2:G51)</f>
        <v>CA</v>
      </c>
      <c r="F2" s="5" t="s">
        <v>3</v>
      </c>
      <c r="G2" s="5" t="s">
        <v>4</v>
      </c>
    </row>
    <row r="3" spans="1:7" x14ac:dyDescent="0.25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5">
      <c r="B4" s="4" t="s">
        <v>9</v>
      </c>
      <c r="F4" s="5" t="s">
        <v>10</v>
      </c>
      <c r="G4" s="5" t="s">
        <v>11</v>
      </c>
    </row>
    <row r="5" spans="1:7" x14ac:dyDescent="0.25">
      <c r="B5" s="4">
        <v>2019</v>
      </c>
      <c r="F5" s="5" t="s">
        <v>12</v>
      </c>
      <c r="G5" s="5" t="s">
        <v>13</v>
      </c>
    </row>
    <row r="6" spans="1:7" x14ac:dyDescent="0.25">
      <c r="B6" s="4" t="s">
        <v>14</v>
      </c>
      <c r="F6" s="5" t="s">
        <v>15</v>
      </c>
      <c r="G6" s="5" t="s">
        <v>16</v>
      </c>
    </row>
    <row r="7" spans="1:7" x14ac:dyDescent="0.25">
      <c r="B7" s="7" t="s">
        <v>17</v>
      </c>
      <c r="F7" s="5" t="s">
        <v>18</v>
      </c>
      <c r="G7" s="5" t="s">
        <v>19</v>
      </c>
    </row>
    <row r="8" spans="1:7" x14ac:dyDescent="0.25">
      <c r="B8" s="4"/>
      <c r="F8" s="5" t="s">
        <v>20</v>
      </c>
      <c r="G8" s="5" t="s">
        <v>21</v>
      </c>
    </row>
    <row r="9" spans="1:7" x14ac:dyDescent="0.25">
      <c r="B9" s="6" t="s">
        <v>22</v>
      </c>
      <c r="F9" s="5" t="s">
        <v>23</v>
      </c>
      <c r="G9" s="5" t="s">
        <v>24</v>
      </c>
    </row>
    <row r="10" spans="1:7" x14ac:dyDescent="0.25">
      <c r="B10" s="4" t="s">
        <v>25</v>
      </c>
      <c r="F10" s="5" t="s">
        <v>26</v>
      </c>
      <c r="G10" s="5" t="s">
        <v>27</v>
      </c>
    </row>
    <row r="11" spans="1:7" x14ac:dyDescent="0.25">
      <c r="B11" s="4">
        <v>2019</v>
      </c>
      <c r="F11" s="5" t="s">
        <v>28</v>
      </c>
      <c r="G11" s="5" t="s">
        <v>29</v>
      </c>
    </row>
    <row r="12" spans="1:7" x14ac:dyDescent="0.25">
      <c r="B12" s="4" t="s">
        <v>30</v>
      </c>
      <c r="F12" s="5" t="s">
        <v>31</v>
      </c>
      <c r="G12" s="5" t="s">
        <v>32</v>
      </c>
    </row>
    <row r="13" spans="1:7" x14ac:dyDescent="0.25">
      <c r="B13" s="7" t="s">
        <v>33</v>
      </c>
      <c r="F13" s="5" t="s">
        <v>34</v>
      </c>
      <c r="G13" s="5" t="s">
        <v>35</v>
      </c>
    </row>
    <row r="14" spans="1:7" x14ac:dyDescent="0.25">
      <c r="B14" s="4"/>
      <c r="F14" s="5" t="s">
        <v>36</v>
      </c>
      <c r="G14" s="5" t="s">
        <v>37</v>
      </c>
    </row>
    <row r="15" spans="1:7" x14ac:dyDescent="0.25">
      <c r="B15" s="6" t="s">
        <v>38</v>
      </c>
      <c r="F15" s="5" t="s">
        <v>39</v>
      </c>
      <c r="G15" s="5" t="s">
        <v>40</v>
      </c>
    </row>
    <row r="16" spans="1:7" x14ac:dyDescent="0.25">
      <c r="B16" s="4" t="s">
        <v>41</v>
      </c>
      <c r="F16" s="5" t="s">
        <v>42</v>
      </c>
      <c r="G16" s="5" t="s">
        <v>43</v>
      </c>
    </row>
    <row r="17" spans="2:7" x14ac:dyDescent="0.25">
      <c r="B17" s="4">
        <v>2019</v>
      </c>
      <c r="F17" s="5" t="s">
        <v>44</v>
      </c>
      <c r="G17" s="5" t="s">
        <v>45</v>
      </c>
    </row>
    <row r="18" spans="2:7" x14ac:dyDescent="0.25">
      <c r="B18" s="8" t="s">
        <v>46</v>
      </c>
      <c r="F18" s="5" t="s">
        <v>47</v>
      </c>
      <c r="G18" s="5" t="s">
        <v>48</v>
      </c>
    </row>
    <row r="19" spans="2:7" x14ac:dyDescent="0.25">
      <c r="B19" s="7" t="s">
        <v>49</v>
      </c>
      <c r="F19" s="5" t="s">
        <v>50</v>
      </c>
      <c r="G19" s="5" t="s">
        <v>51</v>
      </c>
    </row>
    <row r="20" spans="2:7" x14ac:dyDescent="0.25">
      <c r="B20" s="9"/>
      <c r="F20" s="5" t="s">
        <v>52</v>
      </c>
      <c r="G20" s="5" t="s">
        <v>53</v>
      </c>
    </row>
    <row r="21" spans="2:7" ht="15.75" customHeight="1" x14ac:dyDescent="0.25">
      <c r="B21" s="6" t="s">
        <v>54</v>
      </c>
      <c r="F21" s="5" t="s">
        <v>55</v>
      </c>
      <c r="G21" s="5" t="s">
        <v>56</v>
      </c>
    </row>
    <row r="22" spans="2:7" ht="15.75" customHeight="1" x14ac:dyDescent="0.25">
      <c r="B22" s="4" t="s">
        <v>57</v>
      </c>
      <c r="F22" s="5" t="s">
        <v>58</v>
      </c>
      <c r="G22" s="5" t="s">
        <v>59</v>
      </c>
    </row>
    <row r="23" spans="2:7" ht="15.75" customHeight="1" x14ac:dyDescent="0.25">
      <c r="B23" s="4">
        <v>2017</v>
      </c>
      <c r="F23" s="5" t="s">
        <v>60</v>
      </c>
      <c r="G23" s="5" t="s">
        <v>61</v>
      </c>
    </row>
    <row r="24" spans="2:7" ht="15.75" customHeight="1" x14ac:dyDescent="0.25">
      <c r="B24" s="4" t="s">
        <v>62</v>
      </c>
      <c r="F24" s="5" t="s">
        <v>1</v>
      </c>
      <c r="G24" s="5" t="s">
        <v>63</v>
      </c>
    </row>
    <row r="25" spans="2:7" ht="15.75" customHeight="1" x14ac:dyDescent="0.25">
      <c r="B25" s="4" t="s">
        <v>64</v>
      </c>
      <c r="F25" s="5" t="s">
        <v>65</v>
      </c>
      <c r="G25" s="5" t="s">
        <v>66</v>
      </c>
    </row>
    <row r="26" spans="2:7" ht="15.75" customHeight="1" x14ac:dyDescent="0.25">
      <c r="B26" s="4"/>
      <c r="F26" s="5" t="s">
        <v>67</v>
      </c>
      <c r="G26" s="5" t="s">
        <v>68</v>
      </c>
    </row>
    <row r="27" spans="2:7" ht="15.75" customHeight="1" x14ac:dyDescent="0.25">
      <c r="B27" s="6" t="s">
        <v>69</v>
      </c>
      <c r="F27" s="5" t="s">
        <v>70</v>
      </c>
      <c r="G27" s="5" t="s">
        <v>71</v>
      </c>
    </row>
    <row r="28" spans="2:7" ht="15.75" customHeight="1" x14ac:dyDescent="0.25">
      <c r="B28" s="4" t="s">
        <v>72</v>
      </c>
      <c r="F28" s="5" t="s">
        <v>73</v>
      </c>
      <c r="G28" s="5" t="s">
        <v>74</v>
      </c>
    </row>
    <row r="29" spans="2:7" ht="15.75" customHeight="1" x14ac:dyDescent="0.25">
      <c r="B29" s="4">
        <v>2017</v>
      </c>
      <c r="F29" s="5" t="s">
        <v>75</v>
      </c>
      <c r="G29" s="5" t="s">
        <v>76</v>
      </c>
    </row>
    <row r="30" spans="2:7" ht="15.75" customHeight="1" x14ac:dyDescent="0.25">
      <c r="B30" s="4" t="s">
        <v>77</v>
      </c>
      <c r="F30" s="5" t="s">
        <v>78</v>
      </c>
      <c r="G30" s="5" t="s">
        <v>79</v>
      </c>
    </row>
    <row r="31" spans="2:7" ht="15.75" customHeight="1" x14ac:dyDescent="0.25">
      <c r="B31" s="4" t="s">
        <v>80</v>
      </c>
      <c r="F31" s="5" t="s">
        <v>81</v>
      </c>
      <c r="G31" s="5" t="s">
        <v>82</v>
      </c>
    </row>
    <row r="32" spans="2:7" ht="15.75" customHeight="1" x14ac:dyDescent="0.25">
      <c r="B32" s="4"/>
      <c r="F32" s="5" t="s">
        <v>83</v>
      </c>
      <c r="G32" s="5" t="s">
        <v>84</v>
      </c>
    </row>
    <row r="33" spans="1:7" ht="15.75" customHeight="1" x14ac:dyDescent="0.25">
      <c r="A33" s="40"/>
      <c r="B33" s="6" t="s">
        <v>496</v>
      </c>
      <c r="F33" s="5" t="s">
        <v>86</v>
      </c>
      <c r="G33" s="5" t="s">
        <v>87</v>
      </c>
    </row>
    <row r="34" spans="1:7" ht="15.75" customHeight="1" x14ac:dyDescent="0.25">
      <c r="A34" s="40"/>
      <c r="B34" s="64" t="s">
        <v>498</v>
      </c>
      <c r="F34" s="5" t="s">
        <v>88</v>
      </c>
      <c r="G34" s="5" t="s">
        <v>89</v>
      </c>
    </row>
    <row r="35" spans="1:7" ht="15.75" customHeight="1" x14ac:dyDescent="0.25">
      <c r="A35" s="40"/>
      <c r="B35" s="64" t="s">
        <v>497</v>
      </c>
      <c r="F35" s="5" t="s">
        <v>91</v>
      </c>
      <c r="G35" s="5" t="s">
        <v>92</v>
      </c>
    </row>
    <row r="36" spans="1:7" ht="15.75" customHeight="1" x14ac:dyDescent="0.25">
      <c r="A36" s="40"/>
      <c r="B36" s="64" t="s">
        <v>499</v>
      </c>
      <c r="F36" s="5" t="s">
        <v>94</v>
      </c>
      <c r="G36" s="5" t="s">
        <v>95</v>
      </c>
    </row>
    <row r="37" spans="1:7" ht="15.75" customHeight="1" x14ac:dyDescent="0.25">
      <c r="A37" s="40"/>
      <c r="B37" s="64"/>
      <c r="F37" s="5" t="s">
        <v>96</v>
      </c>
      <c r="G37" s="5" t="s">
        <v>97</v>
      </c>
    </row>
    <row r="38" spans="1:7" ht="15.75" customHeight="1" x14ac:dyDescent="0.25">
      <c r="A38" s="40"/>
      <c r="B38" s="64"/>
      <c r="F38" s="5" t="s">
        <v>99</v>
      </c>
      <c r="G38" s="5" t="s">
        <v>100</v>
      </c>
    </row>
    <row r="39" spans="1:7" ht="15.75" customHeight="1" x14ac:dyDescent="0.25">
      <c r="A39" s="40"/>
      <c r="B39" s="64"/>
      <c r="F39" s="5" t="s">
        <v>101</v>
      </c>
      <c r="G39" s="5" t="s">
        <v>102</v>
      </c>
    </row>
    <row r="40" spans="1:7" ht="15.75" customHeight="1" x14ac:dyDescent="0.25">
      <c r="A40" s="1" t="s">
        <v>85</v>
      </c>
      <c r="B40" s="4"/>
      <c r="C40" s="40"/>
      <c r="F40" s="5" t="s">
        <v>103</v>
      </c>
      <c r="G40" s="5" t="s">
        <v>104</v>
      </c>
    </row>
    <row r="41" spans="1:7" ht="15.75" customHeight="1" x14ac:dyDescent="0.25">
      <c r="A41" s="10"/>
      <c r="B41" s="4"/>
      <c r="C41" s="40"/>
      <c r="F41" s="5" t="s">
        <v>105</v>
      </c>
      <c r="G41" s="5" t="s">
        <v>106</v>
      </c>
    </row>
    <row r="42" spans="1:7" ht="15.75" customHeight="1" x14ac:dyDescent="0.25">
      <c r="A42" s="8" t="s">
        <v>90</v>
      </c>
      <c r="B42" s="4"/>
      <c r="C42" s="40"/>
      <c r="F42" s="5" t="s">
        <v>107</v>
      </c>
      <c r="G42" s="5" t="s">
        <v>108</v>
      </c>
    </row>
    <row r="43" spans="1:7" ht="15.75" customHeight="1" x14ac:dyDescent="0.25">
      <c r="A43" s="8" t="s">
        <v>93</v>
      </c>
      <c r="B43" s="4"/>
      <c r="C43" s="40"/>
      <c r="F43" s="5" t="s">
        <v>109</v>
      </c>
      <c r="G43" s="5" t="s">
        <v>110</v>
      </c>
    </row>
    <row r="44" spans="1:7" ht="15.75" customHeight="1" x14ac:dyDescent="0.25">
      <c r="B44" s="4"/>
      <c r="C44" s="40"/>
      <c r="F44" s="5" t="s">
        <v>111</v>
      </c>
      <c r="G44" s="5" t="s">
        <v>112</v>
      </c>
    </row>
    <row r="45" spans="1:7" ht="15.75" customHeight="1" x14ac:dyDescent="0.25">
      <c r="A45" s="8" t="s">
        <v>98</v>
      </c>
      <c r="B45" s="4"/>
      <c r="C45" s="40"/>
      <c r="F45" s="5" t="s">
        <v>113</v>
      </c>
      <c r="G45" s="5" t="s">
        <v>114</v>
      </c>
    </row>
    <row r="46" spans="1:7" ht="15.75" customHeight="1" x14ac:dyDescent="0.25">
      <c r="B46" s="4"/>
      <c r="C46" s="40"/>
      <c r="F46" s="5" t="s">
        <v>115</v>
      </c>
      <c r="G46" s="5" t="s">
        <v>116</v>
      </c>
    </row>
    <row r="47" spans="1:7" ht="15.75" customHeight="1" x14ac:dyDescent="0.25">
      <c r="A47" s="45" t="s">
        <v>434</v>
      </c>
      <c r="B47" s="40"/>
      <c r="C47" s="40"/>
      <c r="F47" s="5" t="s">
        <v>117</v>
      </c>
      <c r="G47" s="5" t="s">
        <v>118</v>
      </c>
    </row>
    <row r="48" spans="1:7" ht="15.75" customHeight="1" x14ac:dyDescent="0.25">
      <c r="A48" s="40" t="s">
        <v>435</v>
      </c>
      <c r="B48" s="40"/>
      <c r="C48" s="40"/>
      <c r="F48" s="5" t="s">
        <v>119</v>
      </c>
      <c r="G48" s="5" t="s">
        <v>120</v>
      </c>
    </row>
    <row r="49" spans="1:7" ht="15.75" customHeight="1" x14ac:dyDescent="0.25">
      <c r="A49" s="40" t="s">
        <v>436</v>
      </c>
      <c r="B49" s="40"/>
      <c r="C49" s="40"/>
      <c r="F49" s="5" t="s">
        <v>121</v>
      </c>
      <c r="G49" s="5" t="s">
        <v>122</v>
      </c>
    </row>
    <row r="50" spans="1:7" ht="15.75" customHeight="1" x14ac:dyDescent="0.25">
      <c r="A50" s="40" t="s">
        <v>437</v>
      </c>
      <c r="B50" s="40"/>
      <c r="C50" s="40"/>
      <c r="F50" s="5" t="s">
        <v>123</v>
      </c>
      <c r="G50" s="5" t="s">
        <v>124</v>
      </c>
    </row>
    <row r="51" spans="1:7" ht="15.75" customHeight="1" x14ac:dyDescent="0.25">
      <c r="A51" s="40" t="s">
        <v>438</v>
      </c>
      <c r="B51" s="40"/>
      <c r="C51" s="40"/>
      <c r="F51" s="5" t="s">
        <v>125</v>
      </c>
      <c r="G51" s="5" t="s">
        <v>126</v>
      </c>
    </row>
    <row r="52" spans="1:7" ht="15.75" customHeight="1" x14ac:dyDescent="0.2">
      <c r="A52" s="40">
        <v>0.98699999999999999</v>
      </c>
      <c r="B52" s="40" t="s">
        <v>439</v>
      </c>
      <c r="C52" s="40"/>
    </row>
    <row r="53" spans="1:7" ht="15.75" customHeight="1" x14ac:dyDescent="0.2">
      <c r="A53" s="40">
        <v>0.97099999999999997</v>
      </c>
      <c r="B53" s="40" t="s">
        <v>440</v>
      </c>
      <c r="C53" s="40"/>
    </row>
    <row r="54" spans="1:7" ht="15.75" customHeight="1" x14ac:dyDescent="0.2">
      <c r="A54" s="40">
        <v>0.95299999999999996</v>
      </c>
      <c r="B54" s="40" t="s">
        <v>441</v>
      </c>
      <c r="C54" s="40"/>
    </row>
    <row r="55" spans="1:7" ht="15.75" customHeight="1" x14ac:dyDescent="0.2">
      <c r="A55" s="46">
        <v>0.93665959530026111</v>
      </c>
      <c r="B55" s="40" t="s">
        <v>442</v>
      </c>
      <c r="C55" s="40"/>
    </row>
    <row r="56" spans="1:7" ht="15.75" customHeight="1" x14ac:dyDescent="0.2">
      <c r="A56" s="46">
        <v>0.91400000000000003</v>
      </c>
      <c r="B56" s="40" t="s">
        <v>443</v>
      </c>
      <c r="C56" s="40"/>
    </row>
    <row r="57" spans="1:7" ht="15.75" customHeight="1" x14ac:dyDescent="0.2">
      <c r="A57" s="46">
        <v>0.89805481563188172</v>
      </c>
      <c r="B57" s="40" t="s">
        <v>444</v>
      </c>
      <c r="C57" s="40"/>
    </row>
    <row r="58" spans="1:7" ht="15.75" customHeight="1" x14ac:dyDescent="0.2">
      <c r="A58" s="40">
        <f>C100/270.97</f>
        <v>0.85004982101339621</v>
      </c>
      <c r="B58" s="40" t="s">
        <v>445</v>
      </c>
      <c r="C58" s="40"/>
    </row>
    <row r="59" spans="1:7" ht="15.75" customHeight="1" x14ac:dyDescent="0.2">
      <c r="A59" s="40">
        <f>270.29/C107</f>
        <v>1.0521091618237233</v>
      </c>
      <c r="B59" s="40" t="s">
        <v>446</v>
      </c>
      <c r="C59" s="40"/>
    </row>
    <row r="60" spans="1:7" ht="15.75" customHeight="1" x14ac:dyDescent="0.2">
      <c r="A60" s="40" t="s">
        <v>447</v>
      </c>
      <c r="B60" s="40"/>
      <c r="C60" s="40"/>
    </row>
    <row r="61" spans="1:7" ht="15.75" customHeight="1" x14ac:dyDescent="0.2">
      <c r="A61" s="40"/>
      <c r="B61" s="40"/>
      <c r="C61" s="40"/>
    </row>
    <row r="62" spans="1:7" ht="15.75" customHeight="1" x14ac:dyDescent="0.2">
      <c r="A62" s="40"/>
      <c r="B62" s="40"/>
      <c r="C62" s="40"/>
    </row>
    <row r="63" spans="1:7" ht="15.75" customHeight="1" x14ac:dyDescent="0.2">
      <c r="A63" s="40"/>
      <c r="B63" s="40"/>
      <c r="C63" s="40"/>
    </row>
    <row r="64" spans="1:7" ht="15.75" customHeight="1" x14ac:dyDescent="0.2">
      <c r="A64" s="40"/>
      <c r="B64" s="40"/>
      <c r="C64" s="40"/>
    </row>
    <row r="65" spans="1:3" ht="15.75" customHeight="1" x14ac:dyDescent="0.2">
      <c r="A65" s="40"/>
      <c r="B65" s="40"/>
      <c r="C65" s="40"/>
    </row>
    <row r="66" spans="1:3" ht="15.75" customHeight="1" x14ac:dyDescent="0.2">
      <c r="A66" s="40"/>
      <c r="B66" s="40"/>
      <c r="C66" s="40"/>
    </row>
    <row r="67" spans="1:3" ht="15.75" customHeight="1" x14ac:dyDescent="0.2">
      <c r="A67" s="40"/>
      <c r="B67" s="40"/>
      <c r="C67" s="40"/>
    </row>
    <row r="68" spans="1:3" ht="15.75" customHeight="1" x14ac:dyDescent="0.2">
      <c r="A68" s="40"/>
      <c r="B68" s="40"/>
      <c r="C68" s="40"/>
    </row>
    <row r="69" spans="1:3" ht="15.75" customHeight="1" x14ac:dyDescent="0.2">
      <c r="A69" s="40"/>
      <c r="B69" s="40"/>
      <c r="C69" s="40" t="s">
        <v>455</v>
      </c>
    </row>
    <row r="70" spans="1:3" ht="15.75" customHeight="1" x14ac:dyDescent="0.2">
      <c r="A70" s="40"/>
      <c r="B70" s="40"/>
      <c r="C70" s="40" t="s">
        <v>457</v>
      </c>
    </row>
    <row r="71" spans="1:3" ht="15.75" customHeight="1" x14ac:dyDescent="0.25">
      <c r="A71" s="45" t="s">
        <v>448</v>
      </c>
      <c r="B71" s="40"/>
      <c r="C71" s="40" t="s">
        <v>457</v>
      </c>
    </row>
    <row r="72" spans="1:3" ht="15.75" customHeight="1" x14ac:dyDescent="0.2">
      <c r="A72" s="40" t="s">
        <v>449</v>
      </c>
      <c r="B72" s="40"/>
      <c r="C72" s="40">
        <v>104.9</v>
      </c>
    </row>
    <row r="73" spans="1:3" ht="15.75" customHeight="1" x14ac:dyDescent="0.2">
      <c r="A73" s="40" t="s">
        <v>450</v>
      </c>
      <c r="B73" s="40"/>
      <c r="C73" s="40">
        <v>108.5</v>
      </c>
    </row>
    <row r="74" spans="1:3" ht="15.75" customHeight="1" x14ac:dyDescent="0.2">
      <c r="A74" s="40" t="s">
        <v>451</v>
      </c>
      <c r="B74" s="40"/>
      <c r="C74" s="40">
        <v>110.1</v>
      </c>
    </row>
    <row r="75" spans="1:3" ht="15.75" customHeight="1" x14ac:dyDescent="0.2">
      <c r="A75" s="40" t="s">
        <v>452</v>
      </c>
      <c r="B75" s="40" t="s">
        <v>453</v>
      </c>
      <c r="C75" s="40">
        <v>114.9</v>
      </c>
    </row>
    <row r="76" spans="1:3" ht="15.75" customHeight="1" x14ac:dyDescent="0.2">
      <c r="A76" s="40"/>
      <c r="B76" s="40" t="s">
        <v>454</v>
      </c>
      <c r="C76" s="40">
        <v>119.7</v>
      </c>
    </row>
    <row r="77" spans="1:3" ht="15.75" customHeight="1" x14ac:dyDescent="0.2">
      <c r="A77" s="40" t="s">
        <v>456</v>
      </c>
      <c r="B77" s="40" t="s">
        <v>457</v>
      </c>
      <c r="C77" s="40">
        <v>125.3</v>
      </c>
    </row>
    <row r="78" spans="1:3" ht="15.75" customHeight="1" x14ac:dyDescent="0.2">
      <c r="A78" s="40" t="s">
        <v>458</v>
      </c>
      <c r="B78" s="40" t="s">
        <v>457</v>
      </c>
      <c r="C78" s="40">
        <v>132.6</v>
      </c>
    </row>
    <row r="79" spans="1:3" ht="15.75" customHeight="1" x14ac:dyDescent="0.2">
      <c r="A79" s="40" t="s">
        <v>459</v>
      </c>
      <c r="B79" s="40">
        <v>102.9</v>
      </c>
      <c r="C79" s="40">
        <v>137.19999999999999</v>
      </c>
    </row>
    <row r="80" spans="1:3" ht="15.75" customHeight="1" x14ac:dyDescent="0.2">
      <c r="A80" s="40" t="s">
        <v>460</v>
      </c>
      <c r="B80" s="40">
        <v>106.6</v>
      </c>
      <c r="C80" s="40">
        <v>141.4</v>
      </c>
    </row>
    <row r="81" spans="1:3" ht="15.75" customHeight="1" x14ac:dyDescent="0.2">
      <c r="A81" s="40" t="s">
        <v>461</v>
      </c>
      <c r="B81" s="40">
        <v>109.1</v>
      </c>
      <c r="C81" s="40">
        <v>145.30000000000001</v>
      </c>
    </row>
    <row r="82" spans="1:3" ht="15.75" customHeight="1" x14ac:dyDescent="0.2">
      <c r="A82" s="40" t="s">
        <v>462</v>
      </c>
      <c r="B82" s="40">
        <v>112.4</v>
      </c>
      <c r="C82" s="40">
        <v>149.30000000000001</v>
      </c>
    </row>
    <row r="83" spans="1:3" ht="15.75" customHeight="1" x14ac:dyDescent="0.2">
      <c r="A83" s="40" t="s">
        <v>463</v>
      </c>
      <c r="B83" s="40">
        <v>116.8</v>
      </c>
      <c r="C83" s="40">
        <v>153.19999999999999</v>
      </c>
    </row>
    <row r="84" spans="1:3" ht="15.75" customHeight="1" x14ac:dyDescent="0.2">
      <c r="A84" s="40" t="s">
        <v>464</v>
      </c>
      <c r="B84" s="40">
        <v>122.7</v>
      </c>
      <c r="C84" s="40">
        <v>157.9</v>
      </c>
    </row>
    <row r="85" spans="1:3" ht="15.75" customHeight="1" x14ac:dyDescent="0.2">
      <c r="A85" s="40" t="s">
        <v>465</v>
      </c>
      <c r="B85" s="40">
        <v>128.69999999999999</v>
      </c>
      <c r="C85" s="40">
        <v>161.19999999999999</v>
      </c>
    </row>
    <row r="86" spans="1:3" ht="15.75" customHeight="1" x14ac:dyDescent="0.2">
      <c r="A86" s="40" t="s">
        <v>466</v>
      </c>
      <c r="B86" s="40">
        <v>135.19999999999999</v>
      </c>
      <c r="C86" s="40">
        <v>163.69999999999999</v>
      </c>
    </row>
    <row r="87" spans="1:3" ht="15.75" customHeight="1" x14ac:dyDescent="0.2">
      <c r="A87" s="40" t="s">
        <v>467</v>
      </c>
      <c r="B87" s="40">
        <v>139.19999999999999</v>
      </c>
      <c r="C87" s="40">
        <v>167.8</v>
      </c>
    </row>
    <row r="88" spans="1:3" ht="15.75" customHeight="1" x14ac:dyDescent="0.2">
      <c r="A88" s="40" t="s">
        <v>468</v>
      </c>
      <c r="B88" s="40">
        <v>143.69999999999999</v>
      </c>
      <c r="C88" s="40">
        <v>173.6</v>
      </c>
    </row>
    <row r="89" spans="1:3" ht="15.75" customHeight="1" x14ac:dyDescent="0.2">
      <c r="A89" s="40" t="s">
        <v>469</v>
      </c>
      <c r="B89" s="40">
        <v>147.19999999999999</v>
      </c>
      <c r="C89" s="40">
        <v>177.5</v>
      </c>
    </row>
    <row r="90" spans="1:3" ht="15.75" customHeight="1" x14ac:dyDescent="0.2">
      <c r="A90" s="40" t="s">
        <v>470</v>
      </c>
      <c r="B90" s="40">
        <v>151.5</v>
      </c>
      <c r="C90" s="40">
        <v>180.9</v>
      </c>
    </row>
    <row r="91" spans="1:3" ht="15.75" customHeight="1" x14ac:dyDescent="0.2">
      <c r="A91" s="40" t="s">
        <v>471</v>
      </c>
      <c r="B91" s="40">
        <v>155.80000000000001</v>
      </c>
      <c r="C91" s="40">
        <v>184.6</v>
      </c>
    </row>
    <row r="92" spans="1:3" ht="15.75" customHeight="1" x14ac:dyDescent="0.2">
      <c r="A92" s="40" t="s">
        <v>472</v>
      </c>
      <c r="B92" s="40">
        <v>159.9</v>
      </c>
      <c r="C92" s="40">
        <v>190.2</v>
      </c>
    </row>
    <row r="93" spans="1:3" ht="15.75" customHeight="1" x14ac:dyDescent="0.2">
      <c r="A93" s="40" t="s">
        <v>473</v>
      </c>
      <c r="B93" s="40">
        <v>162.30000000000001</v>
      </c>
      <c r="C93" s="40">
        <v>197.4</v>
      </c>
    </row>
    <row r="94" spans="1:3" ht="15.75" customHeight="1" x14ac:dyDescent="0.2">
      <c r="A94" s="40" t="s">
        <v>474</v>
      </c>
      <c r="B94" s="40">
        <v>165.4</v>
      </c>
      <c r="C94" s="40">
        <v>202.6</v>
      </c>
    </row>
    <row r="95" spans="1:3" ht="15.75" customHeight="1" x14ac:dyDescent="0.2">
      <c r="A95" s="40" t="s">
        <v>475</v>
      </c>
      <c r="B95" s="40">
        <v>170.8</v>
      </c>
      <c r="C95" s="40">
        <v>208.976</v>
      </c>
    </row>
    <row r="96" spans="1:3" ht="15.75" customHeight="1" x14ac:dyDescent="0.2">
      <c r="A96" s="40" t="s">
        <v>476</v>
      </c>
      <c r="B96" s="40">
        <v>176.6</v>
      </c>
      <c r="C96" s="40">
        <v>216.17699999999999</v>
      </c>
    </row>
    <row r="97" spans="1:3" ht="15.75" customHeight="1" x14ac:dyDescent="0.2">
      <c r="A97" s="40" t="s">
        <v>477</v>
      </c>
      <c r="B97" s="40">
        <v>178.9</v>
      </c>
      <c r="C97" s="40">
        <v>215.935</v>
      </c>
    </row>
    <row r="98" spans="1:3" ht="15.75" customHeight="1" x14ac:dyDescent="0.2">
      <c r="A98" s="40" t="s">
        <v>478</v>
      </c>
      <c r="B98" s="40">
        <v>183.3</v>
      </c>
      <c r="C98" s="40">
        <v>218.57599999999999</v>
      </c>
    </row>
    <row r="99" spans="1:3" ht="15.75" customHeight="1" x14ac:dyDescent="0.2">
      <c r="A99" s="40" t="s">
        <v>479</v>
      </c>
      <c r="B99" s="40">
        <v>187.6</v>
      </c>
      <c r="C99" s="40">
        <v>226.28</v>
      </c>
    </row>
    <row r="100" spans="1:3" ht="15.75" customHeight="1" x14ac:dyDescent="0.2">
      <c r="A100" s="40" t="s">
        <v>480</v>
      </c>
      <c r="B100" s="40">
        <v>193.2</v>
      </c>
      <c r="C100" s="40">
        <v>230.33799999999999</v>
      </c>
    </row>
    <row r="101" spans="1:3" ht="15.75" customHeight="1" x14ac:dyDescent="0.2">
      <c r="A101" s="40" t="s">
        <v>481</v>
      </c>
      <c r="B101" s="40">
        <v>200.6</v>
      </c>
      <c r="C101" s="40">
        <v>233.548</v>
      </c>
    </row>
    <row r="102" spans="1:3" ht="15.75" customHeight="1" x14ac:dyDescent="0.2">
      <c r="A102" s="40" t="s">
        <v>482</v>
      </c>
      <c r="B102" s="40">
        <v>205.709</v>
      </c>
      <c r="C102" s="40">
        <v>237.08799999999999</v>
      </c>
    </row>
    <row r="103" spans="1:3" ht="15.75" customHeight="1" x14ac:dyDescent="0.2">
      <c r="A103" s="40" t="s">
        <v>483</v>
      </c>
      <c r="B103" s="40">
        <v>214.429</v>
      </c>
      <c r="C103" s="40">
        <v>237.76900000000001</v>
      </c>
    </row>
    <row r="104" spans="1:3" ht="15.75" customHeight="1" x14ac:dyDescent="0.2">
      <c r="A104" s="40" t="s">
        <v>484</v>
      </c>
      <c r="B104" s="40">
        <v>213.13900000000001</v>
      </c>
      <c r="C104" s="40">
        <v>241.23699999999999</v>
      </c>
    </row>
    <row r="105" spans="1:3" ht="15.75" customHeight="1" x14ac:dyDescent="0.2">
      <c r="A105" s="40" t="s">
        <v>485</v>
      </c>
      <c r="B105" s="40">
        <v>217.535</v>
      </c>
      <c r="C105" s="40">
        <v>246.16300000000001</v>
      </c>
    </row>
    <row r="106" spans="1:3" ht="15.75" customHeight="1" x14ac:dyDescent="0.2">
      <c r="A106" s="40" t="s">
        <v>486</v>
      </c>
      <c r="B106" s="40">
        <v>223.59800000000001</v>
      </c>
      <c r="C106" s="40">
        <v>252.125</v>
      </c>
    </row>
    <row r="107" spans="1:3" ht="15.75" customHeight="1" x14ac:dyDescent="0.2">
      <c r="A107" s="40" t="s">
        <v>487</v>
      </c>
      <c r="B107" s="40">
        <v>228.85</v>
      </c>
      <c r="C107" s="40">
        <v>256.90300000000002</v>
      </c>
    </row>
    <row r="108" spans="1:3" ht="15.75" customHeight="1" x14ac:dyDescent="0.2">
      <c r="A108" s="40" t="s">
        <v>488</v>
      </c>
      <c r="B108" s="40">
        <v>232.36600000000001</v>
      </c>
    </row>
    <row r="109" spans="1:3" ht="15.75" customHeight="1" x14ac:dyDescent="0.2">
      <c r="A109" s="40" t="s">
        <v>489</v>
      </c>
      <c r="B109" s="40">
        <v>236.38399999999999</v>
      </c>
    </row>
    <row r="110" spans="1:3" ht="15.75" customHeight="1" x14ac:dyDescent="0.2">
      <c r="A110" s="40" t="s">
        <v>490</v>
      </c>
      <c r="B110" s="40">
        <v>236.26499999999999</v>
      </c>
    </row>
    <row r="111" spans="1:3" ht="15.75" customHeight="1" x14ac:dyDescent="0.2">
      <c r="A111" s="40" t="s">
        <v>491</v>
      </c>
      <c r="B111" s="40">
        <v>238.77799999999999</v>
      </c>
    </row>
    <row r="112" spans="1:3" ht="15.75" customHeight="1" x14ac:dyDescent="0.2">
      <c r="A112" s="40" t="s">
        <v>492</v>
      </c>
      <c r="B112" s="40">
        <v>244.07599999999999</v>
      </c>
    </row>
    <row r="113" spans="1:2" ht="15.75" customHeight="1" x14ac:dyDescent="0.2">
      <c r="A113" s="40" t="s">
        <v>493</v>
      </c>
      <c r="B113" s="40">
        <v>250.089</v>
      </c>
    </row>
    <row r="114" spans="1:2" ht="15.75" customHeight="1" x14ac:dyDescent="0.2">
      <c r="A114" s="40" t="s">
        <v>494</v>
      </c>
      <c r="B114" s="40">
        <v>254.41200000000001</v>
      </c>
    </row>
    <row r="115" spans="1:2" ht="15.75" customHeight="1" x14ac:dyDescent="0.25">
      <c r="B115" s="4"/>
    </row>
    <row r="116" spans="1:2" ht="15.75" customHeight="1" x14ac:dyDescent="0.25">
      <c r="B116" s="4"/>
    </row>
    <row r="117" spans="1:2" ht="15.75" customHeight="1" x14ac:dyDescent="0.25">
      <c r="B117" s="4"/>
    </row>
    <row r="118" spans="1:2" ht="15.75" customHeight="1" x14ac:dyDescent="0.25">
      <c r="B118" s="4"/>
    </row>
    <row r="119" spans="1:2" ht="15.75" customHeight="1" x14ac:dyDescent="0.25">
      <c r="B119" s="4"/>
    </row>
    <row r="120" spans="1:2" ht="15.75" customHeight="1" x14ac:dyDescent="0.25">
      <c r="B120" s="4"/>
    </row>
    <row r="121" spans="1:2" ht="15.75" customHeight="1" x14ac:dyDescent="0.25">
      <c r="B121" s="4"/>
    </row>
    <row r="122" spans="1:2" ht="15.75" customHeight="1" x14ac:dyDescent="0.25">
      <c r="B122" s="4"/>
    </row>
    <row r="123" spans="1:2" ht="15.75" customHeight="1" x14ac:dyDescent="0.25">
      <c r="B123" s="4"/>
    </row>
    <row r="124" spans="1:2" ht="15.75" customHeight="1" x14ac:dyDescent="0.25">
      <c r="B124" s="4"/>
    </row>
    <row r="125" spans="1:2" ht="15.75" customHeight="1" x14ac:dyDescent="0.25">
      <c r="B125" s="4"/>
    </row>
    <row r="126" spans="1:2" ht="15.75" customHeight="1" x14ac:dyDescent="0.25">
      <c r="B126" s="4"/>
    </row>
    <row r="127" spans="1:2" ht="15.75" customHeight="1" x14ac:dyDescent="0.25">
      <c r="B127" s="4"/>
    </row>
    <row r="128" spans="1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  <row r="1001" spans="2:2" ht="15" customHeight="1" x14ac:dyDescent="0.25">
      <c r="B1001" s="4"/>
    </row>
    <row r="1002" spans="2:2" ht="15" customHeight="1" x14ac:dyDescent="0.25">
      <c r="B1002" s="4"/>
    </row>
    <row r="1003" spans="2:2" ht="15" customHeight="1" x14ac:dyDescent="0.25">
      <c r="B1003" s="4"/>
    </row>
    <row r="1004" spans="2:2" ht="15" customHeight="1" x14ac:dyDescent="0.25">
      <c r="B1004" s="4"/>
    </row>
    <row r="1005" spans="2:2" ht="15" customHeight="1" x14ac:dyDescent="0.25">
      <c r="B1005" s="4"/>
    </row>
    <row r="1006" spans="2:2" ht="15" customHeight="1" x14ac:dyDescent="0.25">
      <c r="B1006" s="4"/>
    </row>
    <row r="1007" spans="2:2" ht="15" customHeight="1" x14ac:dyDescent="0.25">
      <c r="B1007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52D-846E-4DF3-81FD-0BCC540FAB62}">
  <dimension ref="A1:AG27"/>
  <sheetViews>
    <sheetView workbookViewId="0">
      <selection activeCell="B3" sqref="B3"/>
    </sheetView>
    <sheetView workbookViewId="1">
      <selection activeCell="B5" sqref="B5"/>
    </sheetView>
  </sheetViews>
  <sheetFormatPr defaultColWidth="8.625" defaultRowHeight="14.25" x14ac:dyDescent="0.2"/>
  <cols>
    <col min="1" max="1" width="16.25" style="60" customWidth="1"/>
    <col min="2" max="2" width="10.875" style="60" bestFit="1" customWidth="1"/>
    <col min="3" max="16384" width="8.625" style="60"/>
  </cols>
  <sheetData>
    <row r="1" spans="1:12" x14ac:dyDescent="0.2">
      <c r="A1" s="60" t="s">
        <v>269</v>
      </c>
      <c r="B1" s="60">
        <v>2020</v>
      </c>
      <c r="C1" s="60">
        <v>2021</v>
      </c>
      <c r="D1" s="60">
        <v>2022</v>
      </c>
      <c r="E1" s="60">
        <v>2023</v>
      </c>
      <c r="F1" s="60">
        <v>2024</v>
      </c>
      <c r="G1" s="60">
        <v>2025</v>
      </c>
      <c r="H1" s="60">
        <v>2026</v>
      </c>
      <c r="I1" s="60">
        <v>2027</v>
      </c>
      <c r="J1" s="60">
        <v>2028</v>
      </c>
      <c r="K1" s="60">
        <v>2029</v>
      </c>
      <c r="L1" s="60">
        <v>2030</v>
      </c>
    </row>
    <row r="2" spans="1:12" x14ac:dyDescent="0.2">
      <c r="A2" s="61" t="s">
        <v>427</v>
      </c>
      <c r="B2" s="63">
        <f>B18/B26</f>
        <v>0.20799538723185915</v>
      </c>
      <c r="C2" s="63">
        <f>C18/C26</f>
        <v>0.22268509349512455</v>
      </c>
      <c r="D2" s="63">
        <f>D9/D26</f>
        <v>0.18377793244565779</v>
      </c>
      <c r="E2" s="63">
        <f t="shared" ref="E2:G2" si="0">E9/E26</f>
        <v>0.14103676220237807</v>
      </c>
      <c r="F2" s="63">
        <f t="shared" si="0"/>
        <v>9.5768994766949694E-2</v>
      </c>
      <c r="G2" s="63">
        <f t="shared" si="0"/>
        <v>4.8551246732339869E-2</v>
      </c>
      <c r="H2" s="63">
        <v>0</v>
      </c>
      <c r="I2" s="63">
        <f>H2</f>
        <v>0</v>
      </c>
      <c r="J2" s="63">
        <f t="shared" ref="J2:L2" si="1">I2</f>
        <v>0</v>
      </c>
      <c r="K2" s="63">
        <f t="shared" si="1"/>
        <v>0</v>
      </c>
      <c r="L2" s="63">
        <f t="shared" si="1"/>
        <v>0</v>
      </c>
    </row>
    <row r="3" spans="1:12" x14ac:dyDescent="0.2">
      <c r="A3" s="61" t="s">
        <v>501</v>
      </c>
      <c r="B3" s="63">
        <f t="shared" ref="B3:L3" si="2">B10/B25</f>
        <v>0.24850730661261336</v>
      </c>
      <c r="C3" s="63">
        <f t="shared" si="2"/>
        <v>0.25408370385377205</v>
      </c>
      <c r="D3" s="63">
        <f t="shared" si="2"/>
        <v>0.2425387530368506</v>
      </c>
      <c r="E3" s="63">
        <f t="shared" si="2"/>
        <v>0.24354018923963344</v>
      </c>
      <c r="F3" s="63">
        <f t="shared" si="2"/>
        <v>0.17207574964816766</v>
      </c>
      <c r="G3" s="63">
        <f t="shared" si="2"/>
        <v>0.17316429257914079</v>
      </c>
      <c r="H3" s="63">
        <f t="shared" si="2"/>
        <v>0.166407054873358</v>
      </c>
      <c r="I3" s="63">
        <f t="shared" si="2"/>
        <v>0.15621637837154387</v>
      </c>
      <c r="J3" s="63">
        <f t="shared" si="2"/>
        <v>0.14752103601457292</v>
      </c>
      <c r="K3" s="63">
        <f t="shared" si="2"/>
        <v>0.17933148957615966</v>
      </c>
      <c r="L3" s="63">
        <f t="shared" si="2"/>
        <v>0.2134289057123141</v>
      </c>
    </row>
    <row r="4" spans="1:12" x14ac:dyDescent="0.2">
      <c r="A4" s="60" t="s">
        <v>275</v>
      </c>
      <c r="B4" s="63">
        <f t="shared" ref="B4:L4" si="3">B11/B25</f>
        <v>0.32724464646819634</v>
      </c>
      <c r="C4" s="63">
        <f t="shared" si="3"/>
        <v>0.33458787580267163</v>
      </c>
      <c r="D4" s="63">
        <f t="shared" si="3"/>
        <v>0.31938500953658822</v>
      </c>
      <c r="E4" s="63">
        <f t="shared" si="3"/>
        <v>0.32070374193366413</v>
      </c>
      <c r="F4" s="63">
        <f t="shared" si="3"/>
        <v>0.22659642739255517</v>
      </c>
      <c r="G4" s="63">
        <f t="shared" si="3"/>
        <v>0.22802986551341914</v>
      </c>
      <c r="H4" s="63">
        <f t="shared" si="3"/>
        <v>0.21913165686807942</v>
      </c>
      <c r="I4" s="63">
        <f t="shared" si="3"/>
        <v>0.20571215474331306</v>
      </c>
      <c r="J4" s="63">
        <f t="shared" si="3"/>
        <v>0.19426177014773011</v>
      </c>
      <c r="K4" s="63">
        <f t="shared" si="3"/>
        <v>0.23615108427555084</v>
      </c>
      <c r="L4" s="63">
        <f t="shared" si="3"/>
        <v>0.28105196482128403</v>
      </c>
    </row>
    <row r="5" spans="1:12" x14ac:dyDescent="0.2">
      <c r="A5" s="61" t="s">
        <v>430</v>
      </c>
      <c r="B5" s="63">
        <f t="shared" ref="B5:L5" si="4">B12/B27</f>
        <v>0.18445172056012252</v>
      </c>
      <c r="C5" s="63">
        <f t="shared" si="4"/>
        <v>0.18859073795835876</v>
      </c>
      <c r="D5" s="63">
        <f t="shared" si="4"/>
        <v>0.16662847762884456</v>
      </c>
      <c r="E5" s="63">
        <f t="shared" si="4"/>
        <v>0.16083353398087535</v>
      </c>
      <c r="F5" s="63">
        <f t="shared" si="4"/>
        <v>0.11013013462150367</v>
      </c>
      <c r="G5" s="63">
        <f t="shared" si="4"/>
        <v>0.10792096742441755</v>
      </c>
      <c r="H5" s="63">
        <f t="shared" si="4"/>
        <v>0.10156227980773502</v>
      </c>
      <c r="I5" s="63">
        <f t="shared" si="4"/>
        <v>9.3580741493134931E-2</v>
      </c>
      <c r="J5" s="63">
        <f t="shared" si="4"/>
        <v>8.6877107107885945E-2</v>
      </c>
      <c r="K5" s="63">
        <f t="shared" si="4"/>
        <v>0.10401158493262125</v>
      </c>
      <c r="L5" s="63">
        <f t="shared" si="4"/>
        <v>0.12209327790189056</v>
      </c>
    </row>
    <row r="8" spans="1:12" ht="15" x14ac:dyDescent="0.25">
      <c r="A8" s="67" t="s">
        <v>500</v>
      </c>
      <c r="B8" s="61"/>
    </row>
    <row r="9" spans="1:12" x14ac:dyDescent="0.2">
      <c r="A9" s="61" t="s">
        <v>503</v>
      </c>
      <c r="B9" s="60">
        <f>B18</f>
        <v>11966.692132315271</v>
      </c>
      <c r="C9" s="60">
        <f>C18</f>
        <v>12235.219564776087</v>
      </c>
      <c r="D9" s="60">
        <f>C9-$C$16</f>
        <v>9788.1756518208695</v>
      </c>
      <c r="E9" s="60">
        <f t="shared" ref="E9:H9" si="5">D9-$C$16</f>
        <v>7341.1317388656516</v>
      </c>
      <c r="F9" s="60">
        <f t="shared" si="5"/>
        <v>4894.0878259104338</v>
      </c>
      <c r="G9" s="60">
        <f t="shared" si="5"/>
        <v>2447.0439129552165</v>
      </c>
      <c r="H9" s="60">
        <f t="shared" si="5"/>
        <v>0</v>
      </c>
    </row>
    <row r="10" spans="1:12" x14ac:dyDescent="0.2">
      <c r="A10" s="61" t="s">
        <v>504</v>
      </c>
      <c r="B10" s="62">
        <f>'CARB HVIP'!B4*About!$A$58</f>
        <v>65847.094797747646</v>
      </c>
      <c r="C10" s="60">
        <f>$B$10*'LDV psg calculations'!C34</f>
        <v>67324.675327566307</v>
      </c>
      <c r="D10" s="60">
        <f>$B$10*'LDV psg calculations'!D34</f>
        <v>57758.663921087551</v>
      </c>
      <c r="E10" s="60">
        <f>$B$10*'LDV psg calculations'!E34</f>
        <v>53750.063321679321</v>
      </c>
      <c r="F10" s="60">
        <f>$B$10*'LDV psg calculations'!F34</f>
        <v>35820.938569833779</v>
      </c>
      <c r="G10" s="60">
        <f>$B$10*'LDV psg calculations'!G34</f>
        <v>34346.4498793155</v>
      </c>
      <c r="H10" s="60">
        <f>$B$10*'LDV psg calculations'!H34</f>
        <v>31796.203660077583</v>
      </c>
      <c r="I10" s="60">
        <f>$B$10*'LDV psg calculations'!I34</f>
        <v>28886.124447066599</v>
      </c>
      <c r="J10" s="60">
        <f>$B$10*'LDV psg calculations'!J34</f>
        <v>26482.883580830941</v>
      </c>
      <c r="K10" s="60">
        <f>$B$10*'LDV psg calculations'!K34</f>
        <v>31362.257273711661</v>
      </c>
      <c r="L10" s="60">
        <f>$B$10*'LDV psg calculations'!L34</f>
        <v>36462.35251835129</v>
      </c>
    </row>
    <row r="11" spans="1:12" x14ac:dyDescent="0.2">
      <c r="A11" s="61" t="s">
        <v>502</v>
      </c>
      <c r="B11" s="60">
        <f>'CARB HVIP'!C3*About!$A$58</f>
        <v>86710.163784588833</v>
      </c>
      <c r="C11" s="60">
        <f>$B$11*'LDV psg calculations'!C34</f>
        <v>88655.902623014816</v>
      </c>
      <c r="D11" s="60">
        <f>$B$11*'LDV psg calculations'!D34</f>
        <v>76058.985198354349</v>
      </c>
      <c r="E11" s="60">
        <f>$B$11*'LDV psg calculations'!E34</f>
        <v>70780.294990543116</v>
      </c>
      <c r="F11" s="60">
        <f>$B$11*'LDV psg calculations'!F34</f>
        <v>47170.485802727118</v>
      </c>
      <c r="G11" s="60">
        <f>$B$11*'LDV psg calculations'!G34</f>
        <v>45228.818425509176</v>
      </c>
      <c r="H11" s="60">
        <f>$B$11*'LDV psg calculations'!H34</f>
        <v>41870.54927118482</v>
      </c>
      <c r="I11" s="60">
        <f>$B$11*'LDV psg calculations'!I34</f>
        <v>38038.437224915142</v>
      </c>
      <c r="J11" s="60">
        <f>$B$11*'LDV psg calculations'!J34</f>
        <v>34873.750768129525</v>
      </c>
      <c r="K11" s="60">
        <f>$B$11*'LDV psg calculations'!K34</f>
        <v>41299.110814391934</v>
      </c>
      <c r="L11" s="60">
        <f>$B$11*'LDV psg calculations'!L34</f>
        <v>48015.126081854149</v>
      </c>
    </row>
    <row r="12" spans="1:12" x14ac:dyDescent="0.2">
      <c r="A12" s="61" t="s">
        <v>430</v>
      </c>
      <c r="B12" s="60">
        <f>B11</f>
        <v>86710.163784588833</v>
      </c>
      <c r="C12" s="60">
        <f>$B$12*'LDV psg calculations'!C34</f>
        <v>88655.902623014816</v>
      </c>
      <c r="D12" s="60">
        <f>$B$12*'LDV psg calculations'!D34</f>
        <v>76058.985198354349</v>
      </c>
      <c r="E12" s="60">
        <f>$B$12*'LDV psg calculations'!E34</f>
        <v>70780.294990543116</v>
      </c>
      <c r="F12" s="60">
        <f>$B$12*'LDV psg calculations'!F34</f>
        <v>47170.485802727118</v>
      </c>
      <c r="G12" s="60">
        <f>$B$12*'LDV psg calculations'!G34</f>
        <v>45228.818425509176</v>
      </c>
      <c r="H12" s="60">
        <f>$B$12*'LDV psg calculations'!H34</f>
        <v>41870.54927118482</v>
      </c>
      <c r="I12" s="60">
        <f>$B$12*'LDV psg calculations'!I34</f>
        <v>38038.437224915142</v>
      </c>
      <c r="J12" s="60">
        <f>$B$12*'LDV psg calculations'!J34</f>
        <v>34873.750768129525</v>
      </c>
      <c r="K12" s="60">
        <f>$B$12*'LDV psg calculations'!K34</f>
        <v>41299.110814391934</v>
      </c>
      <c r="L12" s="60">
        <f>$B$12*'LDV psg calculations'!L34</f>
        <v>48015.126081854149</v>
      </c>
    </row>
    <row r="14" spans="1:12" ht="15" x14ac:dyDescent="0.25">
      <c r="A14" s="67" t="s">
        <v>507</v>
      </c>
    </row>
    <row r="15" spans="1:12" x14ac:dyDescent="0.2">
      <c r="A15" s="61" t="s">
        <v>505</v>
      </c>
    </row>
    <row r="16" spans="1:12" x14ac:dyDescent="0.2">
      <c r="A16" s="61"/>
      <c r="B16" s="61" t="s">
        <v>508</v>
      </c>
      <c r="C16" s="60">
        <f>(C18)/5</f>
        <v>2447.0439129552174</v>
      </c>
    </row>
    <row r="17" spans="1:33" x14ac:dyDescent="0.2">
      <c r="B17" s="61" t="s">
        <v>509</v>
      </c>
    </row>
    <row r="18" spans="1:33" x14ac:dyDescent="0.2">
      <c r="A18" s="61"/>
      <c r="B18" s="60">
        <f>'CARB HVIP'!C5*About!$A$58</f>
        <v>11966.692132315271</v>
      </c>
      <c r="C18" s="60">
        <f>$B$18*'LDV psg calculations'!C34</f>
        <v>12235.219564776087</v>
      </c>
      <c r="D18" s="60">
        <f>$B$18*'LDV psg calculations'!D34</f>
        <v>10496.744787913751</v>
      </c>
      <c r="E18" s="60">
        <f>$B$18*'LDV psg calculations'!E34</f>
        <v>9768.2435624326008</v>
      </c>
      <c r="F18" s="60">
        <f>$B$18*'LDV psg calculations'!F34</f>
        <v>6509.9021463653262</v>
      </c>
      <c r="G18" s="60">
        <f>$B$18*'LDV psg calculations'!G34</f>
        <v>6241.9366079279871</v>
      </c>
      <c r="H18" s="60">
        <f>$B$18*'LDV psg calculations'!H34</f>
        <v>5778.4687592558694</v>
      </c>
      <c r="I18" s="60">
        <f>$B$18*'LDV psg calculations'!I34</f>
        <v>5249.6068234374961</v>
      </c>
      <c r="J18" s="60">
        <f>$B$18*'LDV psg calculations'!J34</f>
        <v>4812.8549264194899</v>
      </c>
      <c r="K18" s="60">
        <f>$B$18*'LDV psg calculations'!K34</f>
        <v>5699.6057080685396</v>
      </c>
      <c r="L18" s="60">
        <f>$B$18*'LDV psg calculations'!L34</f>
        <v>6626.4692215697487</v>
      </c>
    </row>
    <row r="19" spans="1:33" x14ac:dyDescent="0.2">
      <c r="A19" s="61" t="s">
        <v>506</v>
      </c>
    </row>
    <row r="21" spans="1:33" ht="15" x14ac:dyDescent="0.25">
      <c r="A21" s="67" t="s">
        <v>431</v>
      </c>
    </row>
    <row r="22" spans="1:33" x14ac:dyDescent="0.2">
      <c r="B22" s="60">
        <v>2020</v>
      </c>
      <c r="C22" s="60">
        <v>2021</v>
      </c>
      <c r="D22" s="60">
        <v>2022</v>
      </c>
      <c r="E22" s="60">
        <v>2023</v>
      </c>
      <c r="F22" s="60">
        <v>2024</v>
      </c>
      <c r="G22" s="60">
        <v>2025</v>
      </c>
      <c r="H22" s="60">
        <v>2026</v>
      </c>
      <c r="I22" s="60">
        <v>2027</v>
      </c>
      <c r="J22" s="60">
        <v>2028</v>
      </c>
      <c r="K22" s="60">
        <v>2029</v>
      </c>
      <c r="L22" s="60">
        <v>2030</v>
      </c>
      <c r="M22" s="60">
        <v>2031</v>
      </c>
      <c r="N22" s="60">
        <v>2032</v>
      </c>
      <c r="O22" s="60">
        <v>2033</v>
      </c>
      <c r="P22" s="60">
        <v>2034</v>
      </c>
      <c r="Q22" s="60">
        <v>2035</v>
      </c>
      <c r="R22" s="60">
        <v>2036</v>
      </c>
      <c r="S22" s="60">
        <v>2037</v>
      </c>
      <c r="T22" s="60">
        <v>2038</v>
      </c>
      <c r="U22" s="60">
        <v>2039</v>
      </c>
      <c r="V22" s="60">
        <v>2040</v>
      </c>
      <c r="W22" s="60">
        <v>2041</v>
      </c>
      <c r="X22" s="60">
        <v>2042</v>
      </c>
      <c r="Y22" s="60">
        <v>2043</v>
      </c>
      <c r="Z22" s="60">
        <v>2044</v>
      </c>
      <c r="AA22" s="60">
        <v>2045</v>
      </c>
      <c r="AB22" s="60">
        <v>2046</v>
      </c>
      <c r="AC22" s="60">
        <v>2047</v>
      </c>
      <c r="AD22" s="60">
        <v>2048</v>
      </c>
      <c r="AE22" s="60">
        <v>2049</v>
      </c>
      <c r="AF22" s="60">
        <v>2050</v>
      </c>
    </row>
    <row r="24" spans="1:33" x14ac:dyDescent="0.2">
      <c r="A24" s="60" t="s">
        <v>423</v>
      </c>
      <c r="B24" s="60">
        <v>201216.7212157803</v>
      </c>
      <c r="C24" s="60">
        <v>186343.9386959431</v>
      </c>
      <c r="D24" s="60">
        <v>176676.38023394201</v>
      </c>
      <c r="E24" s="60">
        <v>169728.25631178651</v>
      </c>
      <c r="F24" s="60">
        <v>164282.40801895104</v>
      </c>
      <c r="G24" s="60">
        <v>160251.51588189101</v>
      </c>
      <c r="H24" s="60">
        <v>156834.47726457217</v>
      </c>
      <c r="I24" s="60">
        <v>153845.54992626663</v>
      </c>
      <c r="J24" s="60">
        <v>151276.00985054387</v>
      </c>
      <c r="K24" s="60">
        <v>149034.41348336506</v>
      </c>
      <c r="L24" s="60">
        <v>147056.20310314492</v>
      </c>
      <c r="M24" s="60">
        <v>145303.94474847295</v>
      </c>
      <c r="N24" s="60">
        <v>143768.9937121589</v>
      </c>
      <c r="O24" s="60">
        <v>142441.91219460999</v>
      </c>
      <c r="P24" s="60">
        <v>141287.80413010437</v>
      </c>
      <c r="Q24" s="60">
        <v>140278.99059378557</v>
      </c>
      <c r="R24" s="60">
        <v>139377.24453184023</v>
      </c>
      <c r="S24" s="60">
        <v>138586.69002476271</v>
      </c>
      <c r="T24" s="60">
        <v>137887.0239070422</v>
      </c>
      <c r="U24" s="60">
        <v>137259.13265177212</v>
      </c>
      <c r="V24" s="60">
        <v>136689.05783266365</v>
      </c>
      <c r="W24" s="60">
        <v>136180.92353021124</v>
      </c>
      <c r="X24" s="60">
        <v>135723.7850692567</v>
      </c>
      <c r="Y24" s="60">
        <v>135310.3459996946</v>
      </c>
      <c r="Z24" s="60">
        <v>134934.65812850418</v>
      </c>
      <c r="AA24" s="60">
        <v>134591.64566430775</v>
      </c>
      <c r="AB24" s="60">
        <v>134277.81900053308</v>
      </c>
      <c r="AC24" s="60">
        <v>133988.816128965</v>
      </c>
      <c r="AD24" s="60">
        <v>133721.54398923274</v>
      </c>
      <c r="AE24" s="60">
        <v>133473.54399488773</v>
      </c>
      <c r="AF24" s="60">
        <v>133242.67479644244</v>
      </c>
    </row>
    <row r="25" spans="1:33" x14ac:dyDescent="0.2">
      <c r="A25" s="60" t="s">
        <v>424</v>
      </c>
      <c r="B25" s="60">
        <v>264970.45779178501</v>
      </c>
      <c r="C25" s="60">
        <v>264970.45779178501</v>
      </c>
      <c r="D25" s="60">
        <v>238142.0008055862</v>
      </c>
      <c r="E25" s="60">
        <v>220703.05311617989</v>
      </c>
      <c r="F25" s="60">
        <v>208169.59184007376</v>
      </c>
      <c r="G25" s="60">
        <v>198346.02947151035</v>
      </c>
      <c r="H25" s="60">
        <v>191074.85367297489</v>
      </c>
      <c r="I25" s="60">
        <v>184910.9853152789</v>
      </c>
      <c r="J25" s="60">
        <v>179519.37090663341</v>
      </c>
      <c r="K25" s="60">
        <v>174884.27351958471</v>
      </c>
      <c r="L25" s="60">
        <v>170840.74154182171</v>
      </c>
      <c r="M25" s="60">
        <v>167272.32171018628</v>
      </c>
      <c r="N25" s="60">
        <v>164111.48829960404</v>
      </c>
      <c r="O25" s="60">
        <v>161342.64744559804</v>
      </c>
      <c r="P25" s="60">
        <v>158948.77465392277</v>
      </c>
      <c r="Q25" s="60">
        <v>156866.92221476318</v>
      </c>
      <c r="R25" s="60">
        <v>155047.16114919761</v>
      </c>
      <c r="S25" s="60">
        <v>153420.53510238306</v>
      </c>
      <c r="T25" s="60">
        <v>151994.48334911594</v>
      </c>
      <c r="U25" s="60">
        <v>150732.38176732196</v>
      </c>
      <c r="V25" s="60">
        <v>149599.75217957961</v>
      </c>
      <c r="W25" s="60">
        <v>148571.41550196282</v>
      </c>
      <c r="X25" s="60">
        <v>147654.81100926796</v>
      </c>
      <c r="Y25" s="60">
        <v>146830.19601068934</v>
      </c>
      <c r="Z25" s="60">
        <v>146084.40871235653</v>
      </c>
      <c r="AA25" s="60">
        <v>145406.71939100558</v>
      </c>
      <c r="AB25" s="60">
        <v>144787.97201611788</v>
      </c>
      <c r="AC25" s="60">
        <v>144221.871816712</v>
      </c>
      <c r="AD25" s="60">
        <v>143700.55032906099</v>
      </c>
      <c r="AE25" s="60">
        <v>143218.4280970676</v>
      </c>
      <c r="AF25" s="60">
        <v>142771.07016844934</v>
      </c>
      <c r="AG25" s="60">
        <v>142354.61384283134</v>
      </c>
    </row>
    <row r="26" spans="1:33" x14ac:dyDescent="0.2">
      <c r="A26" s="61" t="s">
        <v>427</v>
      </c>
      <c r="B26" s="60">
        <v>57533.449619128398</v>
      </c>
      <c r="C26" s="60">
        <v>54944.043953458269</v>
      </c>
      <c r="D26" s="60">
        <v>53260.886775484774</v>
      </c>
      <c r="E26" s="60">
        <v>52051.19306646895</v>
      </c>
      <c r="F26" s="60">
        <v>51103.051022097658</v>
      </c>
      <c r="G26" s="60">
        <v>50401.258003643525</v>
      </c>
      <c r="H26" s="60">
        <v>49806.339121201891</v>
      </c>
      <c r="I26" s="60">
        <v>49285.955973410826</v>
      </c>
      <c r="J26" s="60">
        <v>48838.589677200398</v>
      </c>
      <c r="K26" s="60">
        <v>48448.319576391987</v>
      </c>
      <c r="L26" s="60">
        <v>48103.905936267998</v>
      </c>
      <c r="M26" s="60">
        <v>47798.831367655599</v>
      </c>
      <c r="N26" s="60">
        <v>47531.590795512733</v>
      </c>
      <c r="O26" s="60">
        <v>47300.541064518278</v>
      </c>
      <c r="P26" s="60">
        <v>47099.606642392464</v>
      </c>
      <c r="Q26" s="60">
        <v>46923.968527395191</v>
      </c>
      <c r="R26" s="60">
        <v>46766.971250074515</v>
      </c>
      <c r="S26" s="60">
        <v>46629.332827881677</v>
      </c>
      <c r="T26" s="60">
        <v>46507.518405672097</v>
      </c>
      <c r="U26" s="60">
        <v>46398.200248719782</v>
      </c>
      <c r="V26" s="60">
        <v>46298.94814411283</v>
      </c>
      <c r="W26" s="60">
        <v>46210.480109302487</v>
      </c>
      <c r="X26" s="60">
        <v>46130.890636437369</v>
      </c>
      <c r="Y26" s="60">
        <v>46058.909386949883</v>
      </c>
      <c r="Z26" s="60">
        <v>45993.500758746894</v>
      </c>
      <c r="AA26" s="60">
        <v>45933.781038042238</v>
      </c>
      <c r="AB26" s="60">
        <v>45879.142671607944</v>
      </c>
      <c r="AC26" s="60">
        <v>45828.826217909038</v>
      </c>
      <c r="AD26" s="60">
        <v>45782.293163857088</v>
      </c>
      <c r="AE26" s="60">
        <v>45739.115460586923</v>
      </c>
      <c r="AF26" s="60">
        <v>45698.920291345014</v>
      </c>
    </row>
    <row r="27" spans="1:33" x14ac:dyDescent="0.2">
      <c r="A27" s="61" t="s">
        <v>428</v>
      </c>
      <c r="B27" s="60">
        <v>470096.80105600005</v>
      </c>
      <c r="C27" s="60">
        <v>470096.80105600005</v>
      </c>
      <c r="D27" s="60">
        <v>456458.50145598402</v>
      </c>
      <c r="E27" s="60">
        <v>440084.18666569603</v>
      </c>
      <c r="F27" s="60">
        <v>428315.88252246403</v>
      </c>
      <c r="G27" s="60">
        <v>419092.04026719998</v>
      </c>
      <c r="H27" s="60">
        <v>412264.76355640002</v>
      </c>
      <c r="I27" s="60">
        <v>406477.19411056</v>
      </c>
      <c r="J27" s="60">
        <v>401414.733168112</v>
      </c>
      <c r="K27" s="60">
        <v>397062.604527616</v>
      </c>
      <c r="L27" s="60">
        <v>393265.92673216003</v>
      </c>
      <c r="M27" s="60">
        <v>389915.35589108802</v>
      </c>
      <c r="N27" s="60">
        <v>386947.48866731202</v>
      </c>
      <c r="O27" s="60">
        <v>384347.68318849598</v>
      </c>
      <c r="P27" s="60">
        <v>382099.954291264</v>
      </c>
      <c r="Q27" s="60">
        <v>380145.19716985599</v>
      </c>
      <c r="R27" s="60">
        <v>378436.53096697602</v>
      </c>
      <c r="S27" s="60">
        <v>376909.20905449602</v>
      </c>
      <c r="T27" s="60">
        <v>375570.21654582402</v>
      </c>
      <c r="U27" s="60">
        <v>374385.165190336</v>
      </c>
      <c r="V27" s="60">
        <v>373321.68167396798</v>
      </c>
      <c r="W27" s="60">
        <v>372356.124074416</v>
      </c>
      <c r="X27" s="60">
        <v>371495.47750508803</v>
      </c>
      <c r="Y27" s="60">
        <v>370721.20454963198</v>
      </c>
      <c r="Z27" s="60">
        <v>370020.94693048001</v>
      </c>
      <c r="AA27" s="60">
        <v>369384.62996483198</v>
      </c>
      <c r="AB27" s="60">
        <v>368803.65659003198</v>
      </c>
      <c r="AC27" s="60">
        <v>368272.11632550403</v>
      </c>
      <c r="AD27" s="60">
        <v>367782.621070528</v>
      </c>
      <c r="AE27" s="60">
        <v>367329.93199004803</v>
      </c>
      <c r="AF27" s="60">
        <v>366909.88488184003</v>
      </c>
      <c r="AG27" s="60">
        <v>366518.85286009603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1537-22A0-48B1-8DD1-C7C5CDC82C58}">
  <dimension ref="A1:M63"/>
  <sheetViews>
    <sheetView workbookViewId="0">
      <selection activeCell="C3" sqref="C3:C4"/>
    </sheetView>
    <sheetView workbookViewId="1"/>
  </sheetViews>
  <sheetFormatPr defaultColWidth="8.625" defaultRowHeight="15" x14ac:dyDescent="0.25"/>
  <cols>
    <col min="1" max="1" width="18.75" style="48" customWidth="1"/>
    <col min="2" max="2" width="10.125" style="48" bestFit="1" customWidth="1"/>
    <col min="3" max="3" width="12.125" style="48" bestFit="1" customWidth="1"/>
    <col min="4" max="16384" width="8.625" style="48"/>
  </cols>
  <sheetData>
    <row r="1" spans="1:13" x14ac:dyDescent="0.25">
      <c r="B1" s="48" t="s">
        <v>432</v>
      </c>
      <c r="C1" s="48" t="s">
        <v>433</v>
      </c>
    </row>
    <row r="2" spans="1:13" x14ac:dyDescent="0.25">
      <c r="A2" s="48" t="s">
        <v>429</v>
      </c>
      <c r="B2" s="49">
        <f>C3</f>
        <v>102005.97852160754</v>
      </c>
      <c r="C2" s="49">
        <f>C3*About!$A$58</f>
        <v>86710.163784588833</v>
      </c>
    </row>
    <row r="3" spans="1:13" x14ac:dyDescent="0.25">
      <c r="A3" s="48" t="s">
        <v>278</v>
      </c>
      <c r="B3" s="49">
        <f>C3</f>
        <v>102005.97852160754</v>
      </c>
      <c r="C3" s="50">
        <f>E56*About!$A$58</f>
        <v>102005.97852160754</v>
      </c>
    </row>
    <row r="4" spans="1:13" x14ac:dyDescent="0.25">
      <c r="A4" s="48" t="s">
        <v>279</v>
      </c>
      <c r="B4" s="51">
        <f>B3*'HDV+LDV frt'!B24/'HDV+LDV frt'!B25</f>
        <v>77462.630036492817</v>
      </c>
      <c r="C4" s="50">
        <f>E57*About!$A$58</f>
        <v>102005.97852160754</v>
      </c>
    </row>
    <row r="5" spans="1:13" x14ac:dyDescent="0.25">
      <c r="A5" s="48" t="s">
        <v>280</v>
      </c>
      <c r="B5" s="52">
        <f>B8*C8+B9*C9+B10*C10</f>
        <v>16560.954254973465</v>
      </c>
      <c r="C5" s="50">
        <f>B5*About!$A$58</f>
        <v>14077.636200251236</v>
      </c>
    </row>
    <row r="6" spans="1:13" x14ac:dyDescent="0.25">
      <c r="D6" s="53"/>
    </row>
    <row r="7" spans="1:13" x14ac:dyDescent="0.25">
      <c r="A7" s="48" t="s">
        <v>281</v>
      </c>
    </row>
    <row r="8" spans="1:13" x14ac:dyDescent="0.25">
      <c r="A8" s="48" t="str">
        <f>[4]CARB!B52</f>
        <v>Class 2b-3</v>
      </c>
      <c r="B8" s="54">
        <f>[4]CARB!B53</f>
        <v>0.7762312805638798</v>
      </c>
      <c r="C8" s="55">
        <f>E15</f>
        <v>7500</v>
      </c>
    </row>
    <row r="9" spans="1:13" x14ac:dyDescent="0.25">
      <c r="A9" s="48" t="s">
        <v>282</v>
      </c>
      <c r="B9" s="54">
        <f>[4]CARB!C53+[4]CARB!D53</f>
        <v>0.20702803753314639</v>
      </c>
      <c r="C9" s="55">
        <f>E19</f>
        <v>45000</v>
      </c>
    </row>
    <row r="10" spans="1:13" x14ac:dyDescent="0.25">
      <c r="A10" s="48" t="s">
        <v>283</v>
      </c>
      <c r="B10" s="54">
        <f>[4]CARB!E53</f>
        <v>1.6740681902973849E-2</v>
      </c>
      <c r="C10" s="55">
        <f>$E$37</f>
        <v>85000</v>
      </c>
    </row>
    <row r="12" spans="1:13" x14ac:dyDescent="0.25">
      <c r="A12" s="56" t="s">
        <v>284</v>
      </c>
      <c r="B12" s="57"/>
      <c r="C12" s="57"/>
      <c r="D12" s="57"/>
      <c r="E12" s="58">
        <f>E15</f>
        <v>7500</v>
      </c>
      <c r="F12" s="57"/>
      <c r="G12" s="57"/>
      <c r="H12" s="57"/>
      <c r="I12" s="57"/>
      <c r="J12" s="57"/>
      <c r="K12" s="57"/>
    </row>
    <row r="14" spans="1:13" x14ac:dyDescent="0.25">
      <c r="A14" s="48" t="s">
        <v>285</v>
      </c>
      <c r="B14" s="48" t="s">
        <v>148</v>
      </c>
      <c r="C14" s="48" t="s">
        <v>286</v>
      </c>
      <c r="D14" s="48" t="s">
        <v>287</v>
      </c>
      <c r="E14" s="48" t="s">
        <v>288</v>
      </c>
      <c r="F14" s="48" t="s">
        <v>289</v>
      </c>
      <c r="G14" s="48" t="s">
        <v>290</v>
      </c>
      <c r="H14" s="48" t="s">
        <v>291</v>
      </c>
      <c r="I14" s="48" t="s">
        <v>292</v>
      </c>
      <c r="J14" s="48" t="s">
        <v>293</v>
      </c>
      <c r="K14" s="48" t="s">
        <v>294</v>
      </c>
      <c r="L14" s="48" t="s">
        <v>295</v>
      </c>
      <c r="M14" s="48" t="s">
        <v>296</v>
      </c>
    </row>
    <row r="15" spans="1:13" x14ac:dyDescent="0.25">
      <c r="A15" s="48" t="s">
        <v>297</v>
      </c>
      <c r="B15" s="48" t="s">
        <v>298</v>
      </c>
      <c r="C15" s="48" t="s">
        <v>162</v>
      </c>
      <c r="D15" s="48" t="s">
        <v>299</v>
      </c>
      <c r="E15" s="55">
        <v>7500</v>
      </c>
      <c r="F15" s="48" t="s">
        <v>300</v>
      </c>
      <c r="G15" s="48" t="s">
        <v>301</v>
      </c>
      <c r="H15" s="48" t="s">
        <v>302</v>
      </c>
      <c r="I15" s="48">
        <v>2022</v>
      </c>
      <c r="J15" s="48" t="s">
        <v>303</v>
      </c>
      <c r="K15" s="48" t="s">
        <v>304</v>
      </c>
    </row>
    <row r="16" spans="1:13" x14ac:dyDescent="0.25">
      <c r="A16" s="48" t="s">
        <v>305</v>
      </c>
      <c r="B16" s="48" t="s">
        <v>298</v>
      </c>
      <c r="C16" s="48" t="s">
        <v>162</v>
      </c>
      <c r="D16" s="48" t="s">
        <v>299</v>
      </c>
      <c r="E16" s="55">
        <v>7500</v>
      </c>
      <c r="F16" s="48" t="s">
        <v>300</v>
      </c>
      <c r="G16" s="48" t="s">
        <v>301</v>
      </c>
      <c r="H16" s="48" t="s">
        <v>302</v>
      </c>
      <c r="I16" s="48">
        <v>2022</v>
      </c>
      <c r="J16" s="48" t="s">
        <v>303</v>
      </c>
      <c r="K16" s="48" t="s">
        <v>306</v>
      </c>
    </row>
    <row r="17" spans="1:12" x14ac:dyDescent="0.25">
      <c r="A17" s="48" t="s">
        <v>307</v>
      </c>
      <c r="B17" s="48" t="s">
        <v>298</v>
      </c>
      <c r="C17" s="48" t="s">
        <v>162</v>
      </c>
      <c r="D17" s="48" t="s">
        <v>299</v>
      </c>
      <c r="E17" s="55">
        <v>7500</v>
      </c>
      <c r="F17" s="48" t="s">
        <v>300</v>
      </c>
      <c r="G17" s="48" t="s">
        <v>301</v>
      </c>
      <c r="H17" s="48" t="s">
        <v>302</v>
      </c>
      <c r="I17" s="48">
        <v>2022</v>
      </c>
      <c r="J17" s="48" t="s">
        <v>303</v>
      </c>
      <c r="K17" s="48" t="s">
        <v>308</v>
      </c>
    </row>
    <row r="19" spans="1:12" x14ac:dyDescent="0.25">
      <c r="A19" s="56" t="s">
        <v>309</v>
      </c>
      <c r="B19" s="57"/>
      <c r="C19" s="57"/>
      <c r="D19" s="57"/>
      <c r="E19" s="58">
        <f>E22</f>
        <v>45000</v>
      </c>
      <c r="F19" s="57"/>
      <c r="G19" s="57"/>
      <c r="H19" s="57"/>
      <c r="I19" s="57"/>
      <c r="J19" s="57"/>
      <c r="K19" s="57"/>
    </row>
    <row r="21" spans="1:12" x14ac:dyDescent="0.25">
      <c r="A21" s="48" t="s">
        <v>285</v>
      </c>
      <c r="B21" s="48" t="s">
        <v>148</v>
      </c>
      <c r="C21" s="48" t="s">
        <v>286</v>
      </c>
      <c r="D21" s="48" t="s">
        <v>287</v>
      </c>
      <c r="E21" s="48" t="s">
        <v>288</v>
      </c>
      <c r="F21" s="48" t="s">
        <v>289</v>
      </c>
      <c r="G21" s="48" t="s">
        <v>290</v>
      </c>
      <c r="H21" s="48" t="s">
        <v>291</v>
      </c>
      <c r="I21" s="48" t="s">
        <v>292</v>
      </c>
      <c r="J21" s="48" t="s">
        <v>293</v>
      </c>
      <c r="K21" s="48" t="s">
        <v>294</v>
      </c>
      <c r="L21" s="48" t="s">
        <v>295</v>
      </c>
    </row>
    <row r="22" spans="1:12" x14ac:dyDescent="0.25">
      <c r="A22" s="48" t="s">
        <v>310</v>
      </c>
      <c r="B22" s="48" t="s">
        <v>311</v>
      </c>
      <c r="C22" s="48" t="s">
        <v>312</v>
      </c>
      <c r="E22" s="55">
        <v>45000</v>
      </c>
      <c r="F22" s="48" t="s">
        <v>313</v>
      </c>
      <c r="G22" s="48" t="s">
        <v>301</v>
      </c>
      <c r="H22" s="48" t="s">
        <v>314</v>
      </c>
      <c r="I22" s="48">
        <v>2022</v>
      </c>
      <c r="J22" s="48" t="s">
        <v>315</v>
      </c>
      <c r="K22" s="48" t="s">
        <v>316</v>
      </c>
    </row>
    <row r="23" spans="1:12" x14ac:dyDescent="0.25">
      <c r="A23" s="48" t="s">
        <v>317</v>
      </c>
      <c r="B23" s="48" t="s">
        <v>311</v>
      </c>
      <c r="C23" s="48" t="s">
        <v>318</v>
      </c>
      <c r="D23" s="48" t="s">
        <v>299</v>
      </c>
      <c r="E23" s="55">
        <v>60000</v>
      </c>
      <c r="F23" s="48" t="s">
        <v>319</v>
      </c>
      <c r="G23" s="48" t="s">
        <v>301</v>
      </c>
      <c r="H23" s="48" t="s">
        <v>320</v>
      </c>
      <c r="I23" s="48" t="s">
        <v>321</v>
      </c>
      <c r="J23" s="48" t="s">
        <v>322</v>
      </c>
      <c r="K23" s="48" t="s">
        <v>323</v>
      </c>
    </row>
    <row r="24" spans="1:12" x14ac:dyDescent="0.25">
      <c r="A24" s="48" t="s">
        <v>317</v>
      </c>
      <c r="B24" s="48" t="s">
        <v>311</v>
      </c>
      <c r="C24" s="48" t="s">
        <v>318</v>
      </c>
      <c r="D24" s="48" t="s">
        <v>299</v>
      </c>
      <c r="E24" s="55">
        <v>85000</v>
      </c>
      <c r="F24" s="48" t="s">
        <v>324</v>
      </c>
      <c r="G24" s="48" t="s">
        <v>301</v>
      </c>
      <c r="H24" s="48" t="s">
        <v>320</v>
      </c>
      <c r="I24" s="48" t="s">
        <v>321</v>
      </c>
      <c r="J24" s="48" t="s">
        <v>325</v>
      </c>
      <c r="K24" s="48" t="s">
        <v>323</v>
      </c>
    </row>
    <row r="25" spans="1:12" x14ac:dyDescent="0.25">
      <c r="A25" s="48" t="s">
        <v>326</v>
      </c>
      <c r="B25" s="48" t="s">
        <v>311</v>
      </c>
      <c r="C25" s="48" t="s">
        <v>327</v>
      </c>
      <c r="D25" s="48" t="s">
        <v>299</v>
      </c>
      <c r="E25" s="55">
        <v>60000</v>
      </c>
      <c r="F25" s="48" t="s">
        <v>328</v>
      </c>
      <c r="G25" s="48" t="s">
        <v>301</v>
      </c>
      <c r="H25" s="48" t="s">
        <v>329</v>
      </c>
      <c r="I25" s="48" t="s">
        <v>330</v>
      </c>
      <c r="J25" s="48" t="s">
        <v>331</v>
      </c>
      <c r="K25" s="48" t="s">
        <v>332</v>
      </c>
    </row>
    <row r="26" spans="1:12" x14ac:dyDescent="0.25">
      <c r="A26" s="48" t="s">
        <v>333</v>
      </c>
      <c r="B26" s="48" t="s">
        <v>311</v>
      </c>
      <c r="C26" s="48" t="s">
        <v>334</v>
      </c>
      <c r="D26" s="48" t="s">
        <v>299</v>
      </c>
      <c r="E26" s="55">
        <v>45000</v>
      </c>
      <c r="F26" s="48" t="s">
        <v>335</v>
      </c>
      <c r="G26" s="48" t="s">
        <v>301</v>
      </c>
      <c r="H26" s="48" t="s">
        <v>336</v>
      </c>
      <c r="I26" s="48" t="s">
        <v>330</v>
      </c>
      <c r="J26" s="48" t="s">
        <v>315</v>
      </c>
      <c r="K26" s="48" t="s">
        <v>332</v>
      </c>
    </row>
    <row r="27" spans="1:12" x14ac:dyDescent="0.25">
      <c r="A27" s="48" t="s">
        <v>337</v>
      </c>
      <c r="B27" s="48" t="s">
        <v>311</v>
      </c>
      <c r="C27" s="48" t="s">
        <v>338</v>
      </c>
      <c r="D27" s="48" t="s">
        <v>299</v>
      </c>
      <c r="E27" s="55">
        <v>60000</v>
      </c>
      <c r="F27" s="48" t="s">
        <v>339</v>
      </c>
      <c r="G27" s="48" t="s">
        <v>301</v>
      </c>
      <c r="H27" s="48" t="s">
        <v>340</v>
      </c>
      <c r="I27" s="48">
        <v>2021</v>
      </c>
      <c r="J27" s="48" t="s">
        <v>341</v>
      </c>
      <c r="K27" s="48" t="s">
        <v>316</v>
      </c>
    </row>
    <row r="28" spans="1:12" x14ac:dyDescent="0.25">
      <c r="A28" s="48" t="s">
        <v>342</v>
      </c>
      <c r="B28" s="48" t="s">
        <v>311</v>
      </c>
      <c r="C28" s="48" t="s">
        <v>338</v>
      </c>
      <c r="D28" s="48" t="s">
        <v>299</v>
      </c>
      <c r="E28" s="55">
        <v>60000</v>
      </c>
      <c r="F28" s="48" t="s">
        <v>339</v>
      </c>
      <c r="G28" s="48" t="s">
        <v>301</v>
      </c>
      <c r="H28" s="48" t="s">
        <v>340</v>
      </c>
      <c r="I28" s="48" t="s">
        <v>343</v>
      </c>
      <c r="J28" s="48" t="s">
        <v>322</v>
      </c>
      <c r="K28" s="48" t="s">
        <v>316</v>
      </c>
    </row>
    <row r="29" spans="1:12" x14ac:dyDescent="0.25">
      <c r="A29" s="48" t="s">
        <v>342</v>
      </c>
      <c r="B29" s="48" t="s">
        <v>311</v>
      </c>
      <c r="C29" s="48" t="s">
        <v>338</v>
      </c>
      <c r="D29" s="48" t="s">
        <v>299</v>
      </c>
      <c r="E29" s="55">
        <v>85000</v>
      </c>
      <c r="F29" s="48" t="s">
        <v>339</v>
      </c>
      <c r="G29" s="48" t="s">
        <v>301</v>
      </c>
      <c r="H29" s="48" t="s">
        <v>340</v>
      </c>
      <c r="I29" s="48" t="s">
        <v>343</v>
      </c>
      <c r="J29" s="48" t="s">
        <v>325</v>
      </c>
      <c r="K29" s="48" t="s">
        <v>316</v>
      </c>
    </row>
    <row r="30" spans="1:12" x14ac:dyDescent="0.25">
      <c r="A30" s="48" t="s">
        <v>344</v>
      </c>
      <c r="B30" s="48" t="s">
        <v>311</v>
      </c>
      <c r="C30" s="48" t="s">
        <v>345</v>
      </c>
      <c r="D30" s="48" t="s">
        <v>299</v>
      </c>
      <c r="E30" s="55">
        <v>60000</v>
      </c>
      <c r="F30" s="48" t="s">
        <v>346</v>
      </c>
      <c r="G30" s="48" t="s">
        <v>301</v>
      </c>
      <c r="H30" s="48" t="s">
        <v>347</v>
      </c>
      <c r="I30" s="48" t="s">
        <v>343</v>
      </c>
      <c r="J30" s="48" t="s">
        <v>331</v>
      </c>
      <c r="K30" s="48" t="s">
        <v>348</v>
      </c>
    </row>
    <row r="31" spans="1:12" x14ac:dyDescent="0.25">
      <c r="A31" s="48" t="s">
        <v>349</v>
      </c>
      <c r="B31" s="48" t="s">
        <v>311</v>
      </c>
      <c r="C31" s="48" t="s">
        <v>350</v>
      </c>
      <c r="D31" s="48" t="s">
        <v>299</v>
      </c>
      <c r="E31" s="55">
        <v>45000</v>
      </c>
      <c r="F31" s="48" t="s">
        <v>351</v>
      </c>
      <c r="G31" s="48" t="s">
        <v>301</v>
      </c>
      <c r="H31" s="48" t="s">
        <v>352</v>
      </c>
      <c r="I31" s="48" t="s">
        <v>343</v>
      </c>
      <c r="J31" s="48" t="s">
        <v>315</v>
      </c>
      <c r="K31" s="48" t="s">
        <v>316</v>
      </c>
    </row>
    <row r="32" spans="1:12" x14ac:dyDescent="0.25">
      <c r="A32" s="48" t="s">
        <v>353</v>
      </c>
      <c r="B32" s="48" t="s">
        <v>311</v>
      </c>
      <c r="C32" s="48" t="s">
        <v>350</v>
      </c>
      <c r="D32" s="48" t="s">
        <v>299</v>
      </c>
      <c r="E32" s="55">
        <v>45000</v>
      </c>
      <c r="F32" s="48" t="s">
        <v>351</v>
      </c>
      <c r="G32" s="48" t="s">
        <v>301</v>
      </c>
      <c r="H32" s="48" t="s">
        <v>354</v>
      </c>
      <c r="I32" s="48" t="s">
        <v>343</v>
      </c>
      <c r="J32" s="48" t="s">
        <v>315</v>
      </c>
      <c r="K32" s="48" t="s">
        <v>316</v>
      </c>
    </row>
    <row r="33" spans="1:11" x14ac:dyDescent="0.25">
      <c r="A33" s="48" t="s">
        <v>355</v>
      </c>
      <c r="B33" s="48" t="s">
        <v>311</v>
      </c>
      <c r="C33" s="48" t="s">
        <v>350</v>
      </c>
      <c r="D33" s="48" t="s">
        <v>299</v>
      </c>
      <c r="E33" s="55">
        <v>45000</v>
      </c>
      <c r="F33" s="48" t="s">
        <v>351</v>
      </c>
      <c r="G33" s="48" t="s">
        <v>301</v>
      </c>
      <c r="H33" s="48" t="s">
        <v>356</v>
      </c>
      <c r="I33" s="48" t="s">
        <v>343</v>
      </c>
      <c r="J33" s="48" t="s">
        <v>315</v>
      </c>
      <c r="K33" s="48" t="s">
        <v>316</v>
      </c>
    </row>
    <row r="34" spans="1:11" x14ac:dyDescent="0.25">
      <c r="A34" s="48" t="s">
        <v>357</v>
      </c>
      <c r="B34" s="48" t="s">
        <v>311</v>
      </c>
      <c r="C34" s="48" t="s">
        <v>350</v>
      </c>
      <c r="D34" s="48" t="s">
        <v>299</v>
      </c>
      <c r="E34" s="55">
        <v>45000</v>
      </c>
      <c r="F34" s="48" t="s">
        <v>351</v>
      </c>
      <c r="G34" s="48" t="s">
        <v>301</v>
      </c>
      <c r="H34" s="48" t="s">
        <v>358</v>
      </c>
      <c r="I34" s="48">
        <v>2020</v>
      </c>
      <c r="J34" s="48" t="s">
        <v>315</v>
      </c>
      <c r="K34" s="48" t="s">
        <v>316</v>
      </c>
    </row>
    <row r="35" spans="1:11" x14ac:dyDescent="0.25">
      <c r="A35" s="48" t="s">
        <v>359</v>
      </c>
      <c r="B35" s="48" t="s">
        <v>311</v>
      </c>
      <c r="C35" s="48" t="s">
        <v>360</v>
      </c>
      <c r="D35" s="48" t="s">
        <v>299</v>
      </c>
      <c r="E35" s="55">
        <v>85000</v>
      </c>
      <c r="F35" s="48" t="s">
        <v>361</v>
      </c>
      <c r="G35" s="48" t="s">
        <v>301</v>
      </c>
      <c r="H35" s="48" t="s">
        <v>362</v>
      </c>
      <c r="I35" s="48" t="s">
        <v>330</v>
      </c>
      <c r="J35" s="48" t="s">
        <v>325</v>
      </c>
      <c r="K35" s="48" t="s">
        <v>316</v>
      </c>
    </row>
    <row r="37" spans="1:11" x14ac:dyDescent="0.25">
      <c r="A37" s="56" t="s">
        <v>283</v>
      </c>
      <c r="B37" s="57"/>
      <c r="C37" s="57"/>
      <c r="D37" s="57"/>
      <c r="E37" s="58">
        <f>E40</f>
        <v>85000</v>
      </c>
      <c r="F37" s="57"/>
      <c r="G37" s="57"/>
      <c r="H37" s="57"/>
      <c r="I37" s="57"/>
      <c r="J37" s="57"/>
      <c r="K37" s="57"/>
    </row>
    <row r="39" spans="1:11" x14ac:dyDescent="0.25">
      <c r="A39" s="48" t="s">
        <v>285</v>
      </c>
      <c r="B39" s="48" t="s">
        <v>148</v>
      </c>
      <c r="C39" s="48" t="s">
        <v>286</v>
      </c>
      <c r="D39" s="48" t="s">
        <v>287</v>
      </c>
      <c r="E39" s="48" t="s">
        <v>288</v>
      </c>
      <c r="F39" s="48" t="s">
        <v>289</v>
      </c>
      <c r="G39" s="48" t="s">
        <v>290</v>
      </c>
      <c r="H39" s="48" t="s">
        <v>291</v>
      </c>
      <c r="I39" s="48" t="s">
        <v>292</v>
      </c>
      <c r="J39" s="48" t="s">
        <v>293</v>
      </c>
      <c r="K39" s="48" t="s">
        <v>294</v>
      </c>
    </row>
    <row r="40" spans="1:11" x14ac:dyDescent="0.25">
      <c r="A40" s="48" t="s">
        <v>363</v>
      </c>
      <c r="B40" s="48" t="s">
        <v>364</v>
      </c>
      <c r="C40" s="48" t="s">
        <v>365</v>
      </c>
      <c r="D40" s="48" t="s">
        <v>299</v>
      </c>
      <c r="E40" s="55">
        <v>85000</v>
      </c>
      <c r="F40" s="48" t="s">
        <v>365</v>
      </c>
      <c r="G40" s="48" t="s">
        <v>301</v>
      </c>
      <c r="H40" s="48" t="s">
        <v>366</v>
      </c>
      <c r="I40" s="48" t="s">
        <v>330</v>
      </c>
      <c r="J40" s="48" t="s">
        <v>325</v>
      </c>
      <c r="K40" s="48" t="s">
        <v>367</v>
      </c>
    </row>
    <row r="41" spans="1:11" x14ac:dyDescent="0.25">
      <c r="A41" s="48" t="s">
        <v>368</v>
      </c>
      <c r="B41" s="48" t="s">
        <v>369</v>
      </c>
      <c r="C41" s="48" t="s">
        <v>365</v>
      </c>
      <c r="D41" s="48" t="s">
        <v>299</v>
      </c>
      <c r="E41" s="55">
        <v>120000</v>
      </c>
      <c r="F41" s="48" t="s">
        <v>365</v>
      </c>
      <c r="G41" s="48" t="s">
        <v>301</v>
      </c>
      <c r="H41" s="48" t="s">
        <v>370</v>
      </c>
      <c r="I41" s="48" t="s">
        <v>330</v>
      </c>
      <c r="J41" s="48" t="s">
        <v>371</v>
      </c>
      <c r="K41" s="48" t="s">
        <v>369</v>
      </c>
    </row>
    <row r="42" spans="1:11" x14ac:dyDescent="0.25">
      <c r="A42" s="48" t="s">
        <v>372</v>
      </c>
      <c r="B42" s="48" t="s">
        <v>364</v>
      </c>
      <c r="C42" s="48" t="s">
        <v>373</v>
      </c>
      <c r="D42" s="48" t="s">
        <v>299</v>
      </c>
      <c r="E42" s="59">
        <v>120000</v>
      </c>
      <c r="F42" s="48" t="s">
        <v>374</v>
      </c>
      <c r="G42" s="48" t="s">
        <v>301</v>
      </c>
      <c r="H42" s="48" t="s">
        <v>375</v>
      </c>
      <c r="I42" s="48">
        <v>2022</v>
      </c>
      <c r="J42" s="48" t="s">
        <v>371</v>
      </c>
      <c r="K42" s="48" t="s">
        <v>364</v>
      </c>
    </row>
    <row r="43" spans="1:11" x14ac:dyDescent="0.25">
      <c r="A43" s="48" t="s">
        <v>372</v>
      </c>
      <c r="B43" s="48" t="s">
        <v>364</v>
      </c>
      <c r="C43" s="48" t="s">
        <v>373</v>
      </c>
      <c r="D43" s="48" t="s">
        <v>299</v>
      </c>
      <c r="E43" s="59">
        <v>85000</v>
      </c>
      <c r="F43" s="48" t="s">
        <v>374</v>
      </c>
      <c r="G43" s="48" t="s">
        <v>301</v>
      </c>
      <c r="H43" s="48" t="s">
        <v>376</v>
      </c>
      <c r="I43" s="48">
        <v>2022</v>
      </c>
      <c r="J43" s="48" t="s">
        <v>377</v>
      </c>
      <c r="K43" s="48" t="s">
        <v>364</v>
      </c>
    </row>
    <row r="44" spans="1:11" x14ac:dyDescent="0.25">
      <c r="A44" s="48" t="s">
        <v>378</v>
      </c>
      <c r="B44" s="48" t="s">
        <v>364</v>
      </c>
      <c r="C44" s="48" t="s">
        <v>373</v>
      </c>
      <c r="D44" s="48" t="s">
        <v>299</v>
      </c>
      <c r="E44" s="59">
        <v>120000</v>
      </c>
      <c r="F44" s="48" t="s">
        <v>374</v>
      </c>
      <c r="G44" s="48" t="s">
        <v>301</v>
      </c>
      <c r="H44" s="48" t="s">
        <v>375</v>
      </c>
      <c r="I44" s="48" t="s">
        <v>379</v>
      </c>
      <c r="J44" s="48" t="s">
        <v>371</v>
      </c>
      <c r="K44" s="48" t="s">
        <v>364</v>
      </c>
    </row>
    <row r="45" spans="1:11" x14ac:dyDescent="0.25">
      <c r="A45" s="48" t="s">
        <v>378</v>
      </c>
      <c r="B45" s="48" t="s">
        <v>364</v>
      </c>
      <c r="C45" s="48" t="s">
        <v>373</v>
      </c>
      <c r="D45" s="48" t="s">
        <v>299</v>
      </c>
      <c r="E45" s="59">
        <v>85000</v>
      </c>
      <c r="F45" s="48" t="s">
        <v>374</v>
      </c>
      <c r="G45" s="48" t="s">
        <v>301</v>
      </c>
      <c r="H45" s="48" t="s">
        <v>376</v>
      </c>
      <c r="I45" s="48">
        <v>2022</v>
      </c>
      <c r="J45" s="48" t="s">
        <v>377</v>
      </c>
      <c r="K45" s="48" t="s">
        <v>364</v>
      </c>
    </row>
    <row r="46" spans="1:11" x14ac:dyDescent="0.25">
      <c r="A46" s="48" t="s">
        <v>380</v>
      </c>
      <c r="B46" s="48" t="s">
        <v>369</v>
      </c>
      <c r="C46" s="48" t="s">
        <v>381</v>
      </c>
      <c r="E46" s="55">
        <v>120000</v>
      </c>
      <c r="F46" s="48" t="s">
        <v>382</v>
      </c>
      <c r="G46" s="48" t="s">
        <v>301</v>
      </c>
      <c r="H46" s="48" t="s">
        <v>383</v>
      </c>
      <c r="I46" s="48">
        <v>2021</v>
      </c>
      <c r="J46" s="48" t="s">
        <v>371</v>
      </c>
      <c r="K46" s="48" t="s">
        <v>369</v>
      </c>
    </row>
    <row r="47" spans="1:11" x14ac:dyDescent="0.25">
      <c r="A47" s="48" t="s">
        <v>384</v>
      </c>
      <c r="B47" s="48" t="s">
        <v>369</v>
      </c>
      <c r="C47" s="48" t="s">
        <v>381</v>
      </c>
      <c r="E47" s="55">
        <v>120000</v>
      </c>
      <c r="F47" s="48" t="s">
        <v>382</v>
      </c>
      <c r="G47" s="48" t="s">
        <v>301</v>
      </c>
      <c r="H47" s="48" t="s">
        <v>383</v>
      </c>
      <c r="I47" s="48">
        <v>2021</v>
      </c>
      <c r="J47" s="48" t="s">
        <v>371</v>
      </c>
      <c r="K47" s="48" t="s">
        <v>369</v>
      </c>
    </row>
    <row r="48" spans="1:11" x14ac:dyDescent="0.25">
      <c r="A48" s="48" t="s">
        <v>385</v>
      </c>
      <c r="B48" s="48" t="s">
        <v>369</v>
      </c>
      <c r="C48" s="48" t="s">
        <v>386</v>
      </c>
      <c r="D48" s="48" t="s">
        <v>299</v>
      </c>
      <c r="E48" s="55">
        <v>120000</v>
      </c>
      <c r="F48" s="48" t="s">
        <v>387</v>
      </c>
      <c r="G48" s="48" t="s">
        <v>301</v>
      </c>
      <c r="H48" s="48" t="s">
        <v>388</v>
      </c>
      <c r="I48" s="48" t="s">
        <v>379</v>
      </c>
      <c r="J48" s="48" t="s">
        <v>371</v>
      </c>
      <c r="K48" s="48" t="s">
        <v>364</v>
      </c>
    </row>
    <row r="49" spans="1:13" x14ac:dyDescent="0.25">
      <c r="A49" s="48" t="s">
        <v>389</v>
      </c>
      <c r="B49" s="48" t="s">
        <v>369</v>
      </c>
      <c r="C49" s="48" t="s">
        <v>390</v>
      </c>
      <c r="D49" s="48" t="s">
        <v>299</v>
      </c>
      <c r="E49" s="55">
        <v>120000</v>
      </c>
      <c r="F49" s="48" t="s">
        <v>391</v>
      </c>
      <c r="G49" s="48" t="s">
        <v>301</v>
      </c>
      <c r="H49" s="48" t="s">
        <v>392</v>
      </c>
      <c r="I49" s="48" t="s">
        <v>330</v>
      </c>
      <c r="J49" s="48" t="s">
        <v>371</v>
      </c>
      <c r="K49" s="48" t="s">
        <v>364</v>
      </c>
    </row>
    <row r="50" spans="1:13" x14ac:dyDescent="0.25">
      <c r="A50" s="48" t="s">
        <v>393</v>
      </c>
      <c r="B50" s="48" t="s">
        <v>394</v>
      </c>
      <c r="C50" s="48" t="s">
        <v>345</v>
      </c>
      <c r="D50" s="48" t="s">
        <v>299</v>
      </c>
      <c r="E50" s="55">
        <v>120000</v>
      </c>
      <c r="F50" s="48" t="s">
        <v>395</v>
      </c>
      <c r="G50" s="48" t="s">
        <v>301</v>
      </c>
      <c r="H50" s="48" t="s">
        <v>320</v>
      </c>
      <c r="I50" s="48">
        <v>2021</v>
      </c>
      <c r="J50" s="48" t="s">
        <v>371</v>
      </c>
      <c r="K50" s="48" t="s">
        <v>396</v>
      </c>
    </row>
    <row r="51" spans="1:13" x14ac:dyDescent="0.25">
      <c r="A51" s="48" t="s">
        <v>397</v>
      </c>
      <c r="B51" s="48" t="s">
        <v>369</v>
      </c>
      <c r="C51" s="48" t="s">
        <v>398</v>
      </c>
      <c r="D51" s="48" t="s">
        <v>299</v>
      </c>
      <c r="E51" s="55">
        <v>85000</v>
      </c>
      <c r="G51" s="48" t="s">
        <v>301</v>
      </c>
      <c r="H51" s="48" t="s">
        <v>399</v>
      </c>
      <c r="I51" s="48">
        <v>2021</v>
      </c>
      <c r="J51" s="48" t="s">
        <v>325</v>
      </c>
      <c r="K51" s="48" t="s">
        <v>369</v>
      </c>
    </row>
    <row r="53" spans="1:13" x14ac:dyDescent="0.25">
      <c r="A53" s="56" t="s">
        <v>400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</row>
    <row r="55" spans="1:13" x14ac:dyDescent="0.25">
      <c r="A55" s="48" t="s">
        <v>285</v>
      </c>
      <c r="B55" s="48" t="s">
        <v>148</v>
      </c>
      <c r="C55" s="48" t="s">
        <v>286</v>
      </c>
      <c r="D55" s="48" t="s">
        <v>287</v>
      </c>
      <c r="E55" s="48" t="s">
        <v>288</v>
      </c>
      <c r="F55" s="48" t="s">
        <v>289</v>
      </c>
      <c r="G55" s="48" t="s">
        <v>290</v>
      </c>
      <c r="H55" s="48" t="s">
        <v>291</v>
      </c>
      <c r="I55" s="48" t="s">
        <v>292</v>
      </c>
      <c r="J55" s="48" t="s">
        <v>293</v>
      </c>
      <c r="K55" s="48" t="s">
        <v>294</v>
      </c>
      <c r="L55" s="48" t="s">
        <v>295</v>
      </c>
      <c r="M55" s="48" t="s">
        <v>296</v>
      </c>
    </row>
    <row r="56" spans="1:13" x14ac:dyDescent="0.25">
      <c r="A56" s="48" t="s">
        <v>401</v>
      </c>
      <c r="B56" s="48" t="s">
        <v>402</v>
      </c>
      <c r="C56" s="48" t="s">
        <v>365</v>
      </c>
      <c r="D56" s="48" t="s">
        <v>299</v>
      </c>
      <c r="E56" s="55">
        <v>120000</v>
      </c>
      <c r="F56" s="48" t="s">
        <v>365</v>
      </c>
      <c r="G56" s="48" t="s">
        <v>301</v>
      </c>
      <c r="H56" s="48" t="s">
        <v>403</v>
      </c>
      <c r="I56" s="48" t="s">
        <v>330</v>
      </c>
      <c r="J56" s="48" t="s">
        <v>371</v>
      </c>
      <c r="K56" s="48" t="s">
        <v>404</v>
      </c>
    </row>
    <row r="57" spans="1:13" x14ac:dyDescent="0.25">
      <c r="A57" s="48" t="s">
        <v>405</v>
      </c>
      <c r="B57" s="48" t="s">
        <v>402</v>
      </c>
      <c r="C57" s="48" t="s">
        <v>406</v>
      </c>
      <c r="D57" s="48" t="s">
        <v>299</v>
      </c>
      <c r="E57" s="55">
        <v>120000</v>
      </c>
      <c r="F57" s="48" t="s">
        <v>407</v>
      </c>
      <c r="G57" s="48" t="s">
        <v>301</v>
      </c>
      <c r="H57" s="48" t="s">
        <v>408</v>
      </c>
      <c r="I57" s="48" t="s">
        <v>330</v>
      </c>
      <c r="J57" s="48" t="s">
        <v>371</v>
      </c>
      <c r="K57" s="48" t="s">
        <v>404</v>
      </c>
    </row>
    <row r="58" spans="1:13" x14ac:dyDescent="0.25">
      <c r="A58" s="48" t="s">
        <v>409</v>
      </c>
      <c r="B58" s="48" t="s">
        <v>402</v>
      </c>
      <c r="C58" s="48" t="s">
        <v>410</v>
      </c>
      <c r="D58" s="48" t="s">
        <v>299</v>
      </c>
      <c r="E58" s="55">
        <v>120000</v>
      </c>
      <c r="F58" s="48" t="s">
        <v>411</v>
      </c>
      <c r="G58" s="48" t="s">
        <v>301</v>
      </c>
      <c r="H58" s="48" t="s">
        <v>392</v>
      </c>
      <c r="I58" s="48" t="s">
        <v>321</v>
      </c>
      <c r="J58" s="48" t="s">
        <v>371</v>
      </c>
      <c r="K58" s="48" t="s">
        <v>404</v>
      </c>
    </row>
    <row r="59" spans="1:13" x14ac:dyDescent="0.25">
      <c r="A59" s="48" t="s">
        <v>412</v>
      </c>
      <c r="B59" s="48" t="s">
        <v>402</v>
      </c>
      <c r="C59" s="48" t="s">
        <v>381</v>
      </c>
      <c r="D59" s="48" t="s">
        <v>299</v>
      </c>
      <c r="E59" s="55">
        <v>120000</v>
      </c>
      <c r="F59" s="48" t="s">
        <v>382</v>
      </c>
      <c r="G59" s="48" t="s">
        <v>301</v>
      </c>
      <c r="H59" s="48" t="s">
        <v>413</v>
      </c>
      <c r="I59" s="48">
        <v>2021</v>
      </c>
      <c r="J59" s="48" t="s">
        <v>371</v>
      </c>
      <c r="K59" s="48" t="s">
        <v>404</v>
      </c>
    </row>
    <row r="60" spans="1:13" x14ac:dyDescent="0.25">
      <c r="A60" s="48" t="s">
        <v>414</v>
      </c>
      <c r="B60" s="48" t="s">
        <v>402</v>
      </c>
      <c r="C60" s="48" t="s">
        <v>415</v>
      </c>
      <c r="D60" s="48" t="s">
        <v>299</v>
      </c>
      <c r="E60" s="55">
        <v>120000</v>
      </c>
      <c r="F60" s="48" t="s">
        <v>416</v>
      </c>
      <c r="G60" s="48" t="s">
        <v>301</v>
      </c>
      <c r="H60" s="48" t="s">
        <v>417</v>
      </c>
      <c r="I60" s="48" t="s">
        <v>379</v>
      </c>
      <c r="J60" s="48" t="s">
        <v>371</v>
      </c>
      <c r="K60" s="48" t="s">
        <v>404</v>
      </c>
    </row>
    <row r="61" spans="1:13" x14ac:dyDescent="0.25">
      <c r="A61" s="48" t="s">
        <v>418</v>
      </c>
      <c r="B61" s="48" t="s">
        <v>402</v>
      </c>
      <c r="C61" s="48" t="s">
        <v>390</v>
      </c>
      <c r="D61" s="48" t="s">
        <v>299</v>
      </c>
      <c r="E61" s="55">
        <v>120000</v>
      </c>
      <c r="F61" s="48" t="s">
        <v>391</v>
      </c>
      <c r="G61" s="48" t="s">
        <v>301</v>
      </c>
      <c r="H61" s="48" t="s">
        <v>392</v>
      </c>
      <c r="I61" s="48" t="s">
        <v>330</v>
      </c>
      <c r="J61" s="48" t="s">
        <v>371</v>
      </c>
      <c r="K61" s="48" t="s">
        <v>404</v>
      </c>
    </row>
    <row r="62" spans="1:13" x14ac:dyDescent="0.25">
      <c r="A62" s="48" t="s">
        <v>419</v>
      </c>
      <c r="B62" s="48" t="s">
        <v>402</v>
      </c>
      <c r="C62" s="48" t="s">
        <v>345</v>
      </c>
      <c r="D62" s="48" t="s">
        <v>299</v>
      </c>
      <c r="E62" s="55">
        <v>120000</v>
      </c>
      <c r="F62" s="48" t="s">
        <v>395</v>
      </c>
      <c r="G62" s="48" t="s">
        <v>301</v>
      </c>
      <c r="H62" s="48" t="s">
        <v>320</v>
      </c>
      <c r="I62" s="48">
        <v>2021</v>
      </c>
      <c r="J62" s="48" t="s">
        <v>371</v>
      </c>
      <c r="K62" s="48" t="s">
        <v>404</v>
      </c>
    </row>
    <row r="63" spans="1:13" x14ac:dyDescent="0.25">
      <c r="A63" s="48" t="s">
        <v>420</v>
      </c>
      <c r="B63" s="48" t="s">
        <v>402</v>
      </c>
      <c r="C63" s="48" t="s">
        <v>173</v>
      </c>
      <c r="D63" s="48" t="s">
        <v>299</v>
      </c>
      <c r="E63" s="55">
        <v>120000</v>
      </c>
      <c r="F63" s="48" t="s">
        <v>421</v>
      </c>
      <c r="G63" s="48" t="s">
        <v>301</v>
      </c>
      <c r="H63" s="48" t="s">
        <v>422</v>
      </c>
      <c r="I63" s="48" t="s">
        <v>379</v>
      </c>
      <c r="J63" s="48" t="s">
        <v>371</v>
      </c>
      <c r="K63" s="48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B93" sqref="B93"/>
    </sheetView>
    <sheetView workbookViewId="1"/>
  </sheetViews>
  <sheetFormatPr defaultColWidth="12.625" defaultRowHeight="15" customHeight="1" x14ac:dyDescent="0.2"/>
  <cols>
    <col min="1" max="1" width="11.5" customWidth="1"/>
    <col min="2" max="2" width="24.875" customWidth="1"/>
    <col min="3" max="3" width="27.5" customWidth="1"/>
    <col min="4" max="4" width="9.375" customWidth="1"/>
    <col min="5" max="5" width="12.625" customWidth="1"/>
    <col min="6" max="6" width="10.375" customWidth="1"/>
    <col min="7" max="7" width="11.5" customWidth="1"/>
    <col min="8" max="8" width="9.625" customWidth="1"/>
    <col min="9" max="9" width="9.375" customWidth="1"/>
    <col min="10" max="10" width="10.375" customWidth="1"/>
    <col min="11" max="35" width="7.625" customWidth="1"/>
  </cols>
  <sheetData>
    <row r="1" spans="1:35" x14ac:dyDescent="0.25">
      <c r="D1" s="8" t="s">
        <v>155</v>
      </c>
    </row>
    <row r="2" spans="1:35" x14ac:dyDescent="0.25">
      <c r="B2" s="8" t="s">
        <v>156</v>
      </c>
      <c r="C2" s="8" t="s">
        <v>157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5">
      <c r="A3" s="8" t="s">
        <v>158</v>
      </c>
      <c r="B3" s="8">
        <f t="array" ref="B3">INDEX('LDV psg manufacturers'!$B$5:$B$21,MATCH(A3,'LDV psg manufacturers'!$A$5:$A$21,0),1)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5">
      <c r="A4" s="8" t="s">
        <v>159</v>
      </c>
      <c r="B4" s="8">
        <f t="array" ref="B4">INDEX('LDV psg manufacturers'!$B$5:$B$21,MATCH(A4,'LDV psg manufacturers'!$A$5:$A$21,0),1)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5">
      <c r="A5" s="8" t="s">
        <v>160</v>
      </c>
      <c r="B5" s="8">
        <f t="array" ref="B5">INDEX('LDV psg manufacturers'!$B$5:$B$21,MATCH(A5,'LDV psg manufacturers'!$A$5:$A$21,0),1)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5">
      <c r="A6" s="8" t="s">
        <v>161</v>
      </c>
      <c r="B6" s="8">
        <f t="array" ref="B6">INDEX('LDV psg manufacturers'!$B$5:$B$21,MATCH(A6,'LDV psg manufacturers'!$A$5:$A$21,0),1)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5">
      <c r="A7" s="8" t="s">
        <v>162</v>
      </c>
      <c r="B7" s="8">
        <f t="array" ref="B7">INDEX('LDV psg manufacturers'!$B$5:$B$21,MATCH(A7,'LDV psg manufacturers'!$A$5:$A$21,0),1)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5">
      <c r="A8" s="8" t="s">
        <v>163</v>
      </c>
      <c r="B8" s="8">
        <f t="array" ref="B8">INDEX('LDV psg manufacturers'!$B$5:$B$21,MATCH(A8,'LDV psg manufacturers'!$A$5:$A$21,0),1)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5">
      <c r="A9" s="8" t="s">
        <v>164</v>
      </c>
      <c r="B9" s="8">
        <f t="array" ref="B9">INDEX('LDV psg manufacturers'!$B$5:$B$21,MATCH(A9,'LDV psg manufacturers'!$A$5:$A$21,0),1)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5">
      <c r="A10" s="8" t="s">
        <v>165</v>
      </c>
      <c r="B10" s="8">
        <f t="array" ref="B10">INDEX('LDV psg manufacturers'!$B$5:$B$21,MATCH(A10,'LDV psg manufacturers'!$A$5:$A$21,0),1)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5">
      <c r="A11" s="8" t="s">
        <v>166</v>
      </c>
      <c r="B11" s="8">
        <f t="array" ref="B11">INDEX('LDV psg manufacturers'!$B$5:$B$21,MATCH(A11,'LDV psg manufacturers'!$A$5:$A$21,0),1)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5">
      <c r="A12" s="8" t="s">
        <v>167</v>
      </c>
      <c r="B12" s="8">
        <f t="array" ref="B12">INDEX('LDV psg manufacturers'!$B$5:$B$21,MATCH(A12,'LDV psg manufacturers'!$A$5:$A$21,0),1)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5">
      <c r="A13" s="8" t="s">
        <v>168</v>
      </c>
      <c r="B13" s="8">
        <f t="array" ref="B13">INDEX('LDV psg manufacturers'!$B$5:$B$21,MATCH(A13,'LDV psg manufacturers'!$A$5:$A$21,0),1)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5">
      <c r="A14" s="8" t="s">
        <v>169</v>
      </c>
      <c r="B14" s="8">
        <f t="array" ref="B14">INDEX('LDV psg manufacturers'!$B$5:$B$21,MATCH(A14,'LDV psg manufacturers'!$A$5:$A$21,0),1)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5">
      <c r="A15" s="8" t="s">
        <v>170</v>
      </c>
      <c r="B15" s="8">
        <f t="array" ref="B15">INDEX('LDV psg manufacturers'!$B$5:$B$21,MATCH(A15,'LDV psg manufacturers'!$A$5:$A$21,0),1)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5">
      <c r="A16" s="8" t="s">
        <v>171</v>
      </c>
      <c r="B16" s="8">
        <f t="array" ref="B16">INDEX('LDV psg manufacturers'!$B$5:$B$21,MATCH(A16,'LDV psg manufacturers'!$A$5:$A$21,0),1)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5">
      <c r="A17" s="8" t="s">
        <v>172</v>
      </c>
      <c r="B17" s="8">
        <f t="array" ref="B17">INDEX('LDV psg manufacturers'!$B$5:$B$21,MATCH(A17,'LDV psg manufacturers'!$A$5:$A$21,0),1)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5">
      <c r="A18" s="8" t="s">
        <v>173</v>
      </c>
      <c r="B18" s="8">
        <f t="array" ref="B18">INDEX('LDV psg manufacturers'!$B$5:$B$21,MATCH(A18,'LDV psg manufacturers'!$A$5:$A$21,0),1)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5">
      <c r="A19" s="8" t="s">
        <v>174</v>
      </c>
      <c r="B19" s="8">
        <f>SUM('LDV psg manufacturers'!B5:B21)-SUM(B3:B18)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2"/>
    <row r="22" spans="1:35" ht="15.75" customHeight="1" x14ac:dyDescent="0.25">
      <c r="A22" s="18" t="s">
        <v>175</v>
      </c>
      <c r="B22" s="26" t="s">
        <v>176</v>
      </c>
      <c r="G22" s="21"/>
      <c r="H22" s="18" t="s">
        <v>276</v>
      </c>
      <c r="I22" s="19"/>
      <c r="J22" s="20"/>
      <c r="K22" s="8" t="s">
        <v>177</v>
      </c>
    </row>
    <row r="23" spans="1:35" ht="15.75" customHeight="1" x14ac:dyDescent="0.25">
      <c r="A23" s="21" t="s">
        <v>159</v>
      </c>
      <c r="B23" s="27">
        <v>1.3942246992406615E-2</v>
      </c>
      <c r="G23" s="18" t="s">
        <v>175</v>
      </c>
      <c r="H23" s="21" t="s">
        <v>178</v>
      </c>
      <c r="I23" s="22" t="s">
        <v>179</v>
      </c>
      <c r="J23" s="23" t="s">
        <v>180</v>
      </c>
      <c r="K23" s="8">
        <f t="shared" ref="K23:K41" si="18">SUM(H23:J23)</f>
        <v>0</v>
      </c>
    </row>
    <row r="24" spans="1:35" ht="15.75" customHeight="1" x14ac:dyDescent="0.25">
      <c r="A24" s="24" t="s">
        <v>160</v>
      </c>
      <c r="B24" s="28">
        <v>5.0817957181249214E-2</v>
      </c>
      <c r="G24" s="21" t="s">
        <v>159</v>
      </c>
      <c r="H24" s="71">
        <v>175</v>
      </c>
      <c r="I24" s="72">
        <v>210</v>
      </c>
      <c r="J24" s="73">
        <v>45</v>
      </c>
      <c r="K24" s="8">
        <f t="shared" si="18"/>
        <v>430</v>
      </c>
    </row>
    <row r="25" spans="1:35" ht="15.75" customHeight="1" x14ac:dyDescent="0.25">
      <c r="A25" s="24" t="s">
        <v>161</v>
      </c>
      <c r="B25" s="28">
        <v>2.4529697166459246E-3</v>
      </c>
      <c r="G25" s="24" t="s">
        <v>160</v>
      </c>
      <c r="H25" s="74">
        <v>997</v>
      </c>
      <c r="I25" s="75">
        <v>1111</v>
      </c>
      <c r="J25" s="76">
        <v>1147</v>
      </c>
      <c r="K25" s="8">
        <f t="shared" si="18"/>
        <v>3255</v>
      </c>
    </row>
    <row r="26" spans="1:35" ht="15.75" customHeight="1" x14ac:dyDescent="0.25">
      <c r="A26" s="24" t="s">
        <v>162</v>
      </c>
      <c r="B26" s="28">
        <v>2.6432552351063253E-2</v>
      </c>
      <c r="G26" s="24" t="s">
        <v>161</v>
      </c>
      <c r="H26" s="74">
        <v>72</v>
      </c>
      <c r="I26" s="75">
        <v>87</v>
      </c>
      <c r="J26" s="76">
        <v>33</v>
      </c>
      <c r="K26" s="8">
        <f t="shared" si="18"/>
        <v>192</v>
      </c>
    </row>
    <row r="27" spans="1:35" ht="15.75" customHeight="1" x14ac:dyDescent="0.25">
      <c r="A27" s="24" t="s">
        <v>163</v>
      </c>
      <c r="B27" s="28">
        <v>0.10924733510091446</v>
      </c>
      <c r="G27" s="24" t="s">
        <v>162</v>
      </c>
      <c r="H27" s="74">
        <v>557</v>
      </c>
      <c r="I27" s="75">
        <v>573</v>
      </c>
      <c r="J27" s="76">
        <v>611</v>
      </c>
      <c r="K27" s="8">
        <f t="shared" si="18"/>
        <v>1741</v>
      </c>
    </row>
    <row r="28" spans="1:35" ht="15.75" customHeight="1" x14ac:dyDescent="0.25">
      <c r="A28" s="24" t="s">
        <v>158</v>
      </c>
      <c r="B28" s="28">
        <v>5.3397182692134261E-2</v>
      </c>
      <c r="G28" s="24" t="s">
        <v>163</v>
      </c>
      <c r="H28" s="74">
        <v>2044</v>
      </c>
      <c r="I28" s="75">
        <v>2430</v>
      </c>
      <c r="J28" s="76">
        <v>3782</v>
      </c>
      <c r="K28" s="8">
        <f t="shared" si="18"/>
        <v>8256</v>
      </c>
    </row>
    <row r="29" spans="1:35" ht="15.75" customHeight="1" x14ac:dyDescent="0.25">
      <c r="A29" s="24" t="s">
        <v>164</v>
      </c>
      <c r="B29" s="28">
        <v>8.9280883069097986E-3</v>
      </c>
      <c r="G29" s="24" t="s">
        <v>158</v>
      </c>
      <c r="H29" s="74">
        <v>1270</v>
      </c>
      <c r="I29" s="75">
        <v>1281</v>
      </c>
      <c r="J29" s="76">
        <v>1403</v>
      </c>
      <c r="K29" s="8">
        <f t="shared" si="18"/>
        <v>3954</v>
      </c>
    </row>
    <row r="30" spans="1:35" ht="15.75" customHeight="1" x14ac:dyDescent="0.25">
      <c r="A30" s="24" t="s">
        <v>181</v>
      </c>
      <c r="B30" s="28">
        <v>9.6766048013274888E-3</v>
      </c>
      <c r="G30" s="24" t="s">
        <v>164</v>
      </c>
      <c r="H30" s="74">
        <v>111</v>
      </c>
      <c r="I30" s="75">
        <v>173</v>
      </c>
      <c r="J30" s="76">
        <v>256</v>
      </c>
      <c r="K30" s="8">
        <f t="shared" si="18"/>
        <v>540</v>
      </c>
    </row>
    <row r="31" spans="1:35" ht="15.75" customHeight="1" x14ac:dyDescent="0.25">
      <c r="A31" s="24" t="s">
        <v>165</v>
      </c>
      <c r="B31" s="28">
        <v>1.6277979185830491E-2</v>
      </c>
      <c r="G31" s="24" t="s">
        <v>181</v>
      </c>
      <c r="H31" s="74">
        <v>210</v>
      </c>
      <c r="I31" s="75">
        <v>186</v>
      </c>
      <c r="J31" s="76">
        <v>212</v>
      </c>
      <c r="K31" s="8">
        <f t="shared" si="18"/>
        <v>608</v>
      </c>
    </row>
    <row r="32" spans="1:35" ht="15.75" customHeight="1" x14ac:dyDescent="0.25">
      <c r="A32" s="24" t="s">
        <v>166</v>
      </c>
      <c r="B32" s="28">
        <v>2.5224104034774451E-2</v>
      </c>
      <c r="G32" s="24" t="s">
        <v>165</v>
      </c>
      <c r="H32" s="74">
        <v>309</v>
      </c>
      <c r="I32" s="75">
        <v>517</v>
      </c>
      <c r="J32" s="76">
        <v>240</v>
      </c>
      <c r="K32" s="8">
        <f t="shared" si="18"/>
        <v>1066</v>
      </c>
    </row>
    <row r="33" spans="1:35" ht="15.75" customHeight="1" x14ac:dyDescent="0.25">
      <c r="A33" s="24" t="s">
        <v>167</v>
      </c>
      <c r="B33" s="28">
        <v>9.2527460635247003E-3</v>
      </c>
      <c r="G33" s="24" t="s">
        <v>166</v>
      </c>
      <c r="H33" s="74">
        <v>398</v>
      </c>
      <c r="I33" s="75">
        <v>382</v>
      </c>
      <c r="J33" s="76">
        <v>532</v>
      </c>
      <c r="K33" s="8">
        <f t="shared" si="18"/>
        <v>1312</v>
      </c>
    </row>
    <row r="34" spans="1:35" ht="15.75" customHeight="1" x14ac:dyDescent="0.25">
      <c r="A34" s="24" t="s">
        <v>168</v>
      </c>
      <c r="B34" s="28">
        <v>4.3756650974875098E-2</v>
      </c>
      <c r="G34" s="24" t="s">
        <v>167</v>
      </c>
      <c r="H34" s="74">
        <v>133</v>
      </c>
      <c r="I34" s="75">
        <v>157</v>
      </c>
      <c r="J34" s="76">
        <v>341</v>
      </c>
      <c r="K34" s="8">
        <f t="shared" si="18"/>
        <v>631</v>
      </c>
    </row>
    <row r="35" spans="1:35" ht="15.75" customHeight="1" x14ac:dyDescent="0.25">
      <c r="A35" s="24" t="s">
        <v>169</v>
      </c>
      <c r="B35" s="28">
        <v>1.1543386901863175E-2</v>
      </c>
      <c r="G35" s="24" t="s">
        <v>168</v>
      </c>
      <c r="H35" s="74">
        <v>717</v>
      </c>
      <c r="I35" s="75">
        <v>654</v>
      </c>
      <c r="J35" s="76">
        <v>1314</v>
      </c>
      <c r="K35" s="8">
        <f t="shared" si="18"/>
        <v>2685</v>
      </c>
    </row>
    <row r="36" spans="1:35" ht="15.75" customHeight="1" x14ac:dyDescent="0.25">
      <c r="A36" s="24" t="s">
        <v>182</v>
      </c>
      <c r="B36" s="28">
        <v>1.7224897642623956E-3</v>
      </c>
      <c r="G36" s="24" t="s">
        <v>169</v>
      </c>
      <c r="H36" s="74">
        <v>215</v>
      </c>
      <c r="I36" s="75">
        <v>255</v>
      </c>
      <c r="J36" s="76">
        <v>310</v>
      </c>
      <c r="K36" s="8">
        <f t="shared" si="18"/>
        <v>780</v>
      </c>
    </row>
    <row r="37" spans="1:35" ht="15.75" customHeight="1" x14ac:dyDescent="0.25">
      <c r="A37" s="24" t="s">
        <v>170</v>
      </c>
      <c r="B37" s="28">
        <v>0.5246379164186642</v>
      </c>
      <c r="G37" s="24" t="s">
        <v>182</v>
      </c>
      <c r="H37" s="74"/>
      <c r="I37" s="75">
        <v>27</v>
      </c>
      <c r="J37" s="76">
        <v>52</v>
      </c>
      <c r="K37" s="8">
        <f t="shared" si="18"/>
        <v>79</v>
      </c>
    </row>
    <row r="38" spans="1:35" ht="15.75" customHeight="1" x14ac:dyDescent="0.25">
      <c r="A38" s="24" t="s">
        <v>171</v>
      </c>
      <c r="B38" s="28">
        <v>6.7285320058438403E-2</v>
      </c>
      <c r="G38" s="24" t="s">
        <v>170</v>
      </c>
      <c r="H38" s="74">
        <v>8000</v>
      </c>
      <c r="I38" s="75">
        <v>7275</v>
      </c>
      <c r="J38" s="76">
        <v>14625</v>
      </c>
      <c r="K38" s="8">
        <f t="shared" si="18"/>
        <v>29900</v>
      </c>
    </row>
    <row r="39" spans="1:35" ht="15.75" customHeight="1" x14ac:dyDescent="0.25">
      <c r="A39" s="24" t="s">
        <v>173</v>
      </c>
      <c r="B39" s="28">
        <v>1.1633569612033981E-2</v>
      </c>
      <c r="G39" s="24" t="s">
        <v>171</v>
      </c>
      <c r="H39" s="74">
        <v>1123</v>
      </c>
      <c r="I39" s="75">
        <v>1205</v>
      </c>
      <c r="J39" s="76">
        <v>1820</v>
      </c>
      <c r="K39" s="8">
        <f t="shared" si="18"/>
        <v>4148</v>
      </c>
    </row>
    <row r="40" spans="1:35" ht="15.75" customHeight="1" x14ac:dyDescent="0.25">
      <c r="A40" s="24" t="s">
        <v>172</v>
      </c>
      <c r="B40" s="28">
        <v>1.3770899843082085E-2</v>
      </c>
      <c r="G40" s="24" t="s">
        <v>173</v>
      </c>
      <c r="H40" s="74">
        <v>220</v>
      </c>
      <c r="I40" s="75">
        <v>250</v>
      </c>
      <c r="J40" s="76">
        <v>335</v>
      </c>
      <c r="K40" s="8">
        <f t="shared" si="18"/>
        <v>805</v>
      </c>
    </row>
    <row r="41" spans="1:35" ht="15.75" customHeight="1" x14ac:dyDescent="0.25">
      <c r="A41" s="29" t="s">
        <v>183</v>
      </c>
      <c r="B41" s="30">
        <v>1</v>
      </c>
      <c r="G41" s="25" t="s">
        <v>172</v>
      </c>
      <c r="H41" s="77">
        <v>164</v>
      </c>
      <c r="I41" s="78">
        <v>118</v>
      </c>
      <c r="J41" s="79">
        <v>581</v>
      </c>
      <c r="K41" s="8">
        <f t="shared" si="18"/>
        <v>863</v>
      </c>
    </row>
    <row r="42" spans="1:35" ht="15.75" customHeight="1" x14ac:dyDescent="0.2"/>
    <row r="43" spans="1:35" ht="15.75" customHeight="1" x14ac:dyDescent="0.25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5">
      <c r="A44" s="4" t="s">
        <v>184</v>
      </c>
    </row>
    <row r="45" spans="1:35" ht="15.75" customHeight="1" x14ac:dyDescent="0.25">
      <c r="A45" s="8" t="s">
        <v>139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5">
      <c r="A46" s="8" t="s">
        <v>185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5">
      <c r="A47" s="10" t="s">
        <v>186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2"/>
    <row r="49" spans="1:34" ht="15.75" customHeight="1" x14ac:dyDescent="0.25">
      <c r="A49" s="8" t="s">
        <v>187</v>
      </c>
    </row>
    <row r="50" spans="1:34" ht="15.75" customHeight="1" x14ac:dyDescent="0.25">
      <c r="A50" s="8" t="s">
        <v>158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5">
      <c r="A51" s="8" t="s">
        <v>159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5">
      <c r="A52" s="8" t="s">
        <v>160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5">
      <c r="A53" s="8" t="s">
        <v>161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5">
      <c r="A54" s="8" t="s">
        <v>162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5">
      <c r="A55" s="8" t="s">
        <v>163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5">
      <c r="A56" s="8" t="s">
        <v>164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5">
      <c r="A57" s="8" t="s">
        <v>165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5">
      <c r="A58" s="8" t="s">
        <v>166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5">
      <c r="A59" s="8" t="s">
        <v>167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5">
      <c r="A60" s="8" t="s">
        <v>168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5">
      <c r="A61" s="8" t="s">
        <v>169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5">
      <c r="A62" s="8" t="s">
        <v>170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5">
      <c r="A63" s="8" t="s">
        <v>171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5">
      <c r="A64" s="8" t="s">
        <v>172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5">
      <c r="A65" s="8" t="s">
        <v>173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5">
      <c r="A66" s="8" t="s">
        <v>174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2"/>
    <row r="68" spans="1:34" ht="15.75" customHeight="1" x14ac:dyDescent="0.25">
      <c r="A68" s="8" t="s">
        <v>188</v>
      </c>
    </row>
    <row r="69" spans="1:34" ht="15.75" customHeight="1" x14ac:dyDescent="0.25">
      <c r="A69" s="8" t="s">
        <v>189</v>
      </c>
      <c r="B69" s="8">
        <v>7500</v>
      </c>
    </row>
    <row r="70" spans="1:34" ht="15.75" customHeight="1" x14ac:dyDescent="0.25">
      <c r="A70" s="8" t="s">
        <v>190</v>
      </c>
      <c r="B70" s="8">
        <v>5366</v>
      </c>
    </row>
    <row r="71" spans="1:34" ht="15.75" customHeight="1" x14ac:dyDescent="0.2"/>
    <row r="72" spans="1:34" ht="15.75" customHeight="1" x14ac:dyDescent="0.25">
      <c r="A72" s="8" t="s">
        <v>191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5">
      <c r="A73" s="8" t="s">
        <v>158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5">
      <c r="A74" s="8" t="s">
        <v>159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5">
      <c r="A75" s="8" t="s">
        <v>160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5">
      <c r="A76" s="8" t="s">
        <v>161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5">
      <c r="A77" s="8" t="s">
        <v>162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5">
      <c r="A78" s="8" t="s">
        <v>163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5">
      <c r="A79" s="8" t="s">
        <v>164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5">
      <c r="A80" s="8" t="s">
        <v>165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5">
      <c r="A81" s="8" t="s">
        <v>166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5">
      <c r="A82" s="8" t="s">
        <v>167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5">
      <c r="A83" s="8" t="s">
        <v>168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5">
      <c r="A84" s="8" t="s">
        <v>169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5">
      <c r="A85" s="8" t="s">
        <v>170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5">
      <c r="A86" s="8" t="s">
        <v>171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5">
      <c r="A87" s="8" t="s">
        <v>172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5">
      <c r="A88" s="8" t="s">
        <v>173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5">
      <c r="A89" s="8" t="s">
        <v>174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2"/>
    <row r="91" spans="1:34" ht="15.75" customHeight="1" x14ac:dyDescent="0.25">
      <c r="A91" s="8" t="s">
        <v>192</v>
      </c>
      <c r="C91" s="8">
        <v>2019</v>
      </c>
    </row>
    <row r="92" spans="1:34" ht="15.75" customHeight="1" x14ac:dyDescent="0.25">
      <c r="C92" s="37">
        <f t="shared" ref="C92:AH92" si="43">SUMPRODUCT(C73:C89,C50:C66)/SUM(C50:C66)</f>
        <v>2745.8606136031603</v>
      </c>
      <c r="D92" s="37">
        <f t="shared" si="43"/>
        <v>2745.8606136031599</v>
      </c>
      <c r="E92" s="37">
        <f t="shared" si="43"/>
        <v>2745.8606136031603</v>
      </c>
      <c r="F92" s="37">
        <f t="shared" si="43"/>
        <v>1913.0458308533109</v>
      </c>
      <c r="G92" s="37">
        <f t="shared" si="43"/>
        <v>1531.9111519939402</v>
      </c>
      <c r="H92" s="37">
        <f t="shared" si="43"/>
        <v>1131.4322818029341</v>
      </c>
      <c r="I92" s="37">
        <f t="shared" si="43"/>
        <v>933.18813916995919</v>
      </c>
      <c r="J92" s="37">
        <f t="shared" si="43"/>
        <v>933.18813916995953</v>
      </c>
      <c r="K92" s="37">
        <f t="shared" si="43"/>
        <v>744.00735890914916</v>
      </c>
      <c r="L92" s="37">
        <f t="shared" si="43"/>
        <v>744.00735890914984</v>
      </c>
      <c r="M92" s="37">
        <f t="shared" si="43"/>
        <v>621.92251501542137</v>
      </c>
      <c r="N92" s="37">
        <f t="shared" si="43"/>
        <v>240.24673989502756</v>
      </c>
      <c r="O92" s="37">
        <f t="shared" si="43"/>
        <v>18.397272874844433</v>
      </c>
      <c r="P92" s="37">
        <f t="shared" si="43"/>
        <v>18.397272874844436</v>
      </c>
      <c r="Q92" s="37">
        <f t="shared" si="43"/>
        <v>18.397272874844433</v>
      </c>
      <c r="R92" s="37">
        <f t="shared" si="43"/>
        <v>18.397272874844436</v>
      </c>
      <c r="S92" s="37">
        <f t="shared" si="43"/>
        <v>18.397272874844433</v>
      </c>
      <c r="T92" s="37">
        <f t="shared" si="43"/>
        <v>18.397272874844433</v>
      </c>
      <c r="U92" s="37">
        <f t="shared" si="43"/>
        <v>18.397272874844436</v>
      </c>
      <c r="V92" s="37">
        <f t="shared" si="43"/>
        <v>0</v>
      </c>
      <c r="W92" s="37">
        <f t="shared" si="43"/>
        <v>0</v>
      </c>
      <c r="X92" s="37">
        <f t="shared" si="43"/>
        <v>0</v>
      </c>
      <c r="Y92" s="37">
        <f t="shared" si="43"/>
        <v>0</v>
      </c>
      <c r="Z92" s="37">
        <f t="shared" si="43"/>
        <v>0</v>
      </c>
      <c r="AA92" s="37">
        <f t="shared" si="43"/>
        <v>0</v>
      </c>
      <c r="AB92" s="37">
        <f t="shared" si="43"/>
        <v>0</v>
      </c>
      <c r="AC92" s="37">
        <f t="shared" si="43"/>
        <v>0</v>
      </c>
      <c r="AD92" s="37">
        <f t="shared" si="43"/>
        <v>0</v>
      </c>
      <c r="AE92" s="37">
        <f t="shared" si="43"/>
        <v>0</v>
      </c>
      <c r="AF92" s="37">
        <f t="shared" si="43"/>
        <v>0</v>
      </c>
      <c r="AG92" s="37">
        <f t="shared" si="43"/>
        <v>0</v>
      </c>
      <c r="AH92" s="37">
        <f t="shared" si="43"/>
        <v>0</v>
      </c>
    </row>
    <row r="93" spans="1:34" ht="15.75" customHeight="1" x14ac:dyDescent="0.2"/>
    <row r="94" spans="1:34" ht="15.75" customHeight="1" x14ac:dyDescent="0.2"/>
    <row r="95" spans="1:34" ht="15.75" customHeight="1" x14ac:dyDescent="0.2"/>
    <row r="96" spans="1:3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C13" sqref="C13"/>
    </sheetView>
    <sheetView workbookViewId="1"/>
  </sheetViews>
  <sheetFormatPr defaultColWidth="12.625" defaultRowHeight="15" customHeight="1" x14ac:dyDescent="0.2"/>
  <cols>
    <col min="1" max="2" width="7.625" customWidth="1"/>
    <col min="3" max="3" width="23.5" customWidth="1"/>
    <col min="4" max="26" width="7.625" customWidth="1"/>
  </cols>
  <sheetData>
    <row r="2" spans="1:17" x14ac:dyDescent="0.25">
      <c r="A2" s="8" t="s">
        <v>175</v>
      </c>
      <c r="B2" s="8" t="s">
        <v>193</v>
      </c>
      <c r="C2" s="8" t="s">
        <v>194</v>
      </c>
      <c r="D2" s="8" t="s">
        <v>195</v>
      </c>
      <c r="E2" s="8" t="s">
        <v>196</v>
      </c>
      <c r="F2" s="8" t="s">
        <v>197</v>
      </c>
      <c r="G2" s="8" t="s">
        <v>198</v>
      </c>
      <c r="H2" s="8" t="s">
        <v>199</v>
      </c>
      <c r="I2" s="8" t="s">
        <v>200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  <c r="O2" s="8" t="s">
        <v>206</v>
      </c>
      <c r="P2" s="8" t="s">
        <v>207</v>
      </c>
    </row>
    <row r="3" spans="1:17" x14ac:dyDescent="0.25">
      <c r="A3" s="8" t="s">
        <v>170</v>
      </c>
      <c r="B3" s="8" t="s">
        <v>189</v>
      </c>
      <c r="C3" s="8" t="s">
        <v>208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208</v>
      </c>
    </row>
    <row r="4" spans="1:17" x14ac:dyDescent="0.25">
      <c r="A4" s="8" t="s">
        <v>171</v>
      </c>
      <c r="B4" s="8" t="s">
        <v>190</v>
      </c>
      <c r="C4" s="8" t="s">
        <v>209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209</v>
      </c>
    </row>
    <row r="5" spans="1:17" x14ac:dyDescent="0.25">
      <c r="A5" s="8" t="s">
        <v>163</v>
      </c>
      <c r="B5" s="8" t="s">
        <v>189</v>
      </c>
      <c r="C5" s="8" t="s">
        <v>210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210</v>
      </c>
    </row>
    <row r="6" spans="1:17" x14ac:dyDescent="0.25">
      <c r="A6" s="8" t="s">
        <v>170</v>
      </c>
      <c r="B6" s="8" t="s">
        <v>189</v>
      </c>
      <c r="C6" s="8" t="s">
        <v>211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211</v>
      </c>
    </row>
    <row r="7" spans="1:17" x14ac:dyDescent="0.25">
      <c r="A7" s="8" t="s">
        <v>158</v>
      </c>
      <c r="B7" s="8" t="s">
        <v>190</v>
      </c>
      <c r="C7" s="8" t="s">
        <v>212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212</v>
      </c>
    </row>
    <row r="8" spans="1:17" x14ac:dyDescent="0.25">
      <c r="A8" s="8" t="s">
        <v>170</v>
      </c>
      <c r="B8" s="8" t="s">
        <v>189</v>
      </c>
      <c r="C8" s="8" t="s">
        <v>213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213</v>
      </c>
    </row>
    <row r="9" spans="1:17" x14ac:dyDescent="0.25">
      <c r="A9" s="8" t="s">
        <v>168</v>
      </c>
      <c r="B9" s="8" t="s">
        <v>189</v>
      </c>
      <c r="C9" s="8" t="s">
        <v>214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214</v>
      </c>
    </row>
    <row r="10" spans="1:17" x14ac:dyDescent="0.25">
      <c r="A10" s="8" t="s">
        <v>163</v>
      </c>
      <c r="B10" s="8" t="s">
        <v>190</v>
      </c>
      <c r="C10" s="8" t="s">
        <v>215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215</v>
      </c>
    </row>
    <row r="11" spans="1:17" x14ac:dyDescent="0.25">
      <c r="A11" s="8" t="s">
        <v>160</v>
      </c>
      <c r="B11" s="8" t="s">
        <v>190</v>
      </c>
      <c r="C11" s="8" t="s">
        <v>216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216</v>
      </c>
    </row>
    <row r="12" spans="1:17" x14ac:dyDescent="0.25">
      <c r="A12" s="8" t="s">
        <v>162</v>
      </c>
      <c r="B12" s="8" t="s">
        <v>190</v>
      </c>
      <c r="C12" s="8" t="s">
        <v>217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217</v>
      </c>
    </row>
    <row r="13" spans="1:17" x14ac:dyDescent="0.25">
      <c r="A13" s="8" t="s">
        <v>163</v>
      </c>
      <c r="B13" s="8" t="s">
        <v>190</v>
      </c>
      <c r="C13" s="8" t="s">
        <v>218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218</v>
      </c>
    </row>
    <row r="14" spans="1:17" x14ac:dyDescent="0.25">
      <c r="A14" s="8" t="s">
        <v>160</v>
      </c>
      <c r="B14" s="8" t="s">
        <v>189</v>
      </c>
      <c r="C14" s="8" t="s">
        <v>219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219</v>
      </c>
    </row>
    <row r="15" spans="1:17" x14ac:dyDescent="0.25">
      <c r="A15" s="8" t="s">
        <v>165</v>
      </c>
      <c r="B15" s="8" t="s">
        <v>190</v>
      </c>
      <c r="C15" s="8" t="s">
        <v>220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220</v>
      </c>
    </row>
    <row r="16" spans="1:17" x14ac:dyDescent="0.25">
      <c r="A16" s="8" t="s">
        <v>172</v>
      </c>
      <c r="B16" s="8" t="s">
        <v>189</v>
      </c>
      <c r="C16" s="8" t="s">
        <v>221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221</v>
      </c>
    </row>
    <row r="17" spans="1:17" x14ac:dyDescent="0.25">
      <c r="A17" s="8" t="s">
        <v>181</v>
      </c>
      <c r="B17" s="8" t="s">
        <v>189</v>
      </c>
      <c r="C17" s="8" t="s">
        <v>222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222</v>
      </c>
    </row>
    <row r="18" spans="1:17" x14ac:dyDescent="0.25">
      <c r="A18" s="8" t="s">
        <v>159</v>
      </c>
      <c r="B18" s="8" t="s">
        <v>189</v>
      </c>
      <c r="C18" s="8" t="s">
        <v>223</v>
      </c>
      <c r="G18" s="8">
        <v>253</v>
      </c>
      <c r="H18" s="8">
        <v>856</v>
      </c>
      <c r="P18" s="8">
        <v>1109</v>
      </c>
      <c r="Q18" s="8" t="s">
        <v>223</v>
      </c>
    </row>
    <row r="19" spans="1:17" x14ac:dyDescent="0.25">
      <c r="A19" s="8" t="s">
        <v>167</v>
      </c>
      <c r="B19" s="8" t="s">
        <v>190</v>
      </c>
      <c r="C19" s="8" t="s">
        <v>224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224</v>
      </c>
    </row>
    <row r="20" spans="1:17" x14ac:dyDescent="0.25">
      <c r="A20" s="8" t="s">
        <v>169</v>
      </c>
      <c r="B20" s="8" t="s">
        <v>190</v>
      </c>
      <c r="C20" s="8" t="s">
        <v>225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225</v>
      </c>
    </row>
    <row r="21" spans="1:17" ht="15.75" customHeight="1" x14ac:dyDescent="0.25">
      <c r="A21" s="8" t="s">
        <v>160</v>
      </c>
      <c r="B21" s="8" t="s">
        <v>190</v>
      </c>
      <c r="C21" s="8" t="s">
        <v>226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226</v>
      </c>
    </row>
    <row r="22" spans="1:17" ht="15.75" customHeight="1" x14ac:dyDescent="0.25">
      <c r="A22" s="8" t="s">
        <v>166</v>
      </c>
      <c r="B22" s="8" t="s">
        <v>190</v>
      </c>
      <c r="C22" s="8" t="s">
        <v>227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227</v>
      </c>
    </row>
    <row r="23" spans="1:17" ht="15.75" customHeight="1" x14ac:dyDescent="0.25">
      <c r="A23" s="8" t="s">
        <v>173</v>
      </c>
      <c r="B23" s="8" t="s">
        <v>190</v>
      </c>
      <c r="C23" s="8" t="s">
        <v>228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228</v>
      </c>
    </row>
    <row r="24" spans="1:17" ht="15.75" customHeight="1" x14ac:dyDescent="0.25">
      <c r="A24" s="8" t="s">
        <v>166</v>
      </c>
      <c r="B24" s="8" t="s">
        <v>190</v>
      </c>
      <c r="C24" s="8" t="s">
        <v>229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229</v>
      </c>
    </row>
    <row r="25" spans="1:17" ht="15.75" customHeight="1" x14ac:dyDescent="0.25">
      <c r="A25" s="8" t="s">
        <v>173</v>
      </c>
      <c r="B25" s="8" t="s">
        <v>190</v>
      </c>
      <c r="C25" s="8" t="s">
        <v>230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230</v>
      </c>
    </row>
    <row r="26" spans="1:17" ht="15.75" customHeight="1" x14ac:dyDescent="0.25">
      <c r="A26" s="8" t="s">
        <v>169</v>
      </c>
      <c r="B26" s="8" t="s">
        <v>190</v>
      </c>
      <c r="C26" s="8" t="s">
        <v>231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231</v>
      </c>
    </row>
    <row r="27" spans="1:17" ht="15.75" customHeight="1" x14ac:dyDescent="0.25">
      <c r="A27" s="8" t="s">
        <v>166</v>
      </c>
      <c r="B27" s="8" t="s">
        <v>190</v>
      </c>
      <c r="C27" s="8" t="s">
        <v>232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232</v>
      </c>
    </row>
    <row r="28" spans="1:17" ht="15.75" customHeight="1" x14ac:dyDescent="0.25">
      <c r="A28" s="8" t="s">
        <v>159</v>
      </c>
      <c r="B28" s="8" t="s">
        <v>190</v>
      </c>
      <c r="C28" s="8" t="s">
        <v>233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233</v>
      </c>
    </row>
    <row r="29" spans="1:17" ht="15.75" customHeight="1" x14ac:dyDescent="0.25">
      <c r="A29" s="8" t="s">
        <v>158</v>
      </c>
      <c r="B29" s="8" t="s">
        <v>189</v>
      </c>
      <c r="C29" s="8" t="s">
        <v>234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234</v>
      </c>
    </row>
    <row r="30" spans="1:17" ht="15.75" customHeight="1" x14ac:dyDescent="0.25">
      <c r="A30" s="8" t="s">
        <v>160</v>
      </c>
      <c r="B30" s="8" t="s">
        <v>190</v>
      </c>
      <c r="C30" s="8" t="s">
        <v>235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235</v>
      </c>
    </row>
    <row r="31" spans="1:17" ht="15.75" customHeight="1" x14ac:dyDescent="0.25">
      <c r="A31" s="8" t="s">
        <v>164</v>
      </c>
      <c r="B31" s="8" t="s">
        <v>190</v>
      </c>
      <c r="C31" s="8" t="s">
        <v>236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237</v>
      </c>
    </row>
    <row r="32" spans="1:17" ht="15.75" customHeight="1" x14ac:dyDescent="0.25">
      <c r="A32" s="8" t="s">
        <v>238</v>
      </c>
      <c r="B32" s="8" t="s">
        <v>189</v>
      </c>
      <c r="C32" s="8" t="s">
        <v>239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239</v>
      </c>
    </row>
    <row r="33" spans="1:17" ht="15.75" customHeight="1" x14ac:dyDescent="0.25">
      <c r="A33" s="8" t="s">
        <v>164</v>
      </c>
      <c r="B33" s="8" t="s">
        <v>189</v>
      </c>
      <c r="C33" s="8" t="s">
        <v>240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240</v>
      </c>
    </row>
    <row r="34" spans="1:17" ht="15.75" customHeight="1" x14ac:dyDescent="0.25">
      <c r="A34" s="8" t="s">
        <v>160</v>
      </c>
      <c r="B34" s="8" t="s">
        <v>190</v>
      </c>
      <c r="C34" s="8" t="s">
        <v>241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241</v>
      </c>
    </row>
    <row r="35" spans="1:17" ht="15.75" customHeight="1" x14ac:dyDescent="0.25">
      <c r="A35" s="8" t="s">
        <v>161</v>
      </c>
      <c r="B35" s="8" t="s">
        <v>189</v>
      </c>
      <c r="C35" s="8" t="s">
        <v>242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242</v>
      </c>
    </row>
    <row r="36" spans="1:17" ht="15.75" customHeight="1" x14ac:dyDescent="0.25">
      <c r="A36" s="8" t="s">
        <v>173</v>
      </c>
      <c r="B36" s="8" t="s">
        <v>190</v>
      </c>
      <c r="C36" s="8" t="s">
        <v>243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243</v>
      </c>
    </row>
    <row r="37" spans="1:17" ht="15.75" customHeight="1" x14ac:dyDescent="0.25">
      <c r="A37" s="8" t="s">
        <v>182</v>
      </c>
      <c r="B37" s="8" t="s">
        <v>190</v>
      </c>
      <c r="C37" s="8" t="s">
        <v>244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244</v>
      </c>
    </row>
    <row r="38" spans="1:17" ht="15.75" customHeight="1" x14ac:dyDescent="0.25">
      <c r="A38" s="8" t="s">
        <v>164</v>
      </c>
      <c r="B38" s="8" t="s">
        <v>190</v>
      </c>
      <c r="C38" s="8" t="s">
        <v>245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245</v>
      </c>
    </row>
    <row r="39" spans="1:17" ht="15.75" customHeight="1" x14ac:dyDescent="0.25">
      <c r="A39" s="8" t="s">
        <v>164</v>
      </c>
      <c r="B39" s="8" t="s">
        <v>189</v>
      </c>
      <c r="C39" s="8" t="s">
        <v>246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246</v>
      </c>
    </row>
    <row r="40" spans="1:17" ht="15.75" customHeight="1" x14ac:dyDescent="0.25">
      <c r="A40" s="8" t="s">
        <v>165</v>
      </c>
      <c r="B40" s="8" t="s">
        <v>189</v>
      </c>
      <c r="C40" s="8" t="s">
        <v>247</v>
      </c>
      <c r="G40" s="8">
        <v>40</v>
      </c>
      <c r="H40" s="8">
        <v>119</v>
      </c>
      <c r="P40" s="8">
        <v>159</v>
      </c>
      <c r="Q40" s="8" t="s">
        <v>247</v>
      </c>
    </row>
    <row r="41" spans="1:17" ht="15.75" customHeight="1" x14ac:dyDescent="0.25">
      <c r="A41" s="8" t="s">
        <v>160</v>
      </c>
      <c r="B41" s="8" t="s">
        <v>190</v>
      </c>
      <c r="C41" s="8" t="s">
        <v>248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248</v>
      </c>
    </row>
    <row r="42" spans="1:17" ht="15.75" customHeight="1" x14ac:dyDescent="0.25">
      <c r="A42" s="8" t="s">
        <v>166</v>
      </c>
      <c r="B42" s="8" t="s">
        <v>190</v>
      </c>
      <c r="C42" s="8" t="s">
        <v>249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249</v>
      </c>
    </row>
    <row r="43" spans="1:17" ht="15.75" customHeight="1" x14ac:dyDescent="0.25">
      <c r="A43" s="8" t="s">
        <v>160</v>
      </c>
      <c r="B43" s="8" t="s">
        <v>190</v>
      </c>
      <c r="C43" s="8" t="s">
        <v>250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250</v>
      </c>
    </row>
    <row r="44" spans="1:17" ht="15.75" customHeight="1" x14ac:dyDescent="0.25">
      <c r="A44" s="8" t="s">
        <v>165</v>
      </c>
      <c r="B44" s="8" t="s">
        <v>190</v>
      </c>
      <c r="C44" s="8" t="s">
        <v>251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251</v>
      </c>
    </row>
    <row r="45" spans="1:17" ht="15.75" customHeight="1" x14ac:dyDescent="0.25">
      <c r="A45" s="8" t="s">
        <v>163</v>
      </c>
      <c r="B45" s="8" t="s">
        <v>190</v>
      </c>
      <c r="C45" s="8" t="s">
        <v>252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252</v>
      </c>
    </row>
    <row r="46" spans="1:17" ht="15.75" customHeight="1" x14ac:dyDescent="0.25">
      <c r="A46" s="8" t="s">
        <v>166</v>
      </c>
      <c r="B46" s="8" t="s">
        <v>190</v>
      </c>
      <c r="C46" s="8" t="s">
        <v>253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253</v>
      </c>
    </row>
    <row r="47" spans="1:17" ht="15.75" customHeight="1" x14ac:dyDescent="0.25">
      <c r="A47" s="8" t="s">
        <v>165</v>
      </c>
      <c r="B47" s="8" t="s">
        <v>189</v>
      </c>
      <c r="C47" s="8" t="s">
        <v>254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254</v>
      </c>
    </row>
    <row r="48" spans="1:17" ht="15.75" customHeight="1" x14ac:dyDescent="0.25">
      <c r="C48" s="8" t="s">
        <v>255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255</v>
      </c>
    </row>
    <row r="49" spans="3:17" ht="15.75" customHeight="1" x14ac:dyDescent="0.25">
      <c r="C49" s="8" t="s">
        <v>256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256</v>
      </c>
    </row>
    <row r="50" spans="3:17" ht="15.75" customHeight="1" x14ac:dyDescent="0.25">
      <c r="C50" s="8" t="s">
        <v>257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257</v>
      </c>
    </row>
    <row r="51" spans="3:17" ht="15.75" customHeight="1" x14ac:dyDescent="0.25">
      <c r="C51" s="8" t="s">
        <v>258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258</v>
      </c>
    </row>
    <row r="52" spans="3:17" ht="15.75" customHeight="1" x14ac:dyDescent="0.2"/>
    <row r="53" spans="3:17" ht="15.75" customHeight="1" x14ac:dyDescent="0.2"/>
    <row r="54" spans="3:17" ht="15.75" customHeight="1" x14ac:dyDescent="0.2"/>
    <row r="55" spans="3:17" ht="15.75" customHeight="1" x14ac:dyDescent="0.2"/>
    <row r="56" spans="3:17" ht="15.75" customHeight="1" x14ac:dyDescent="0.2"/>
    <row r="57" spans="3:17" ht="15.75" customHeight="1" x14ac:dyDescent="0.2"/>
    <row r="58" spans="3:17" ht="15.75" customHeight="1" x14ac:dyDescent="0.2"/>
    <row r="59" spans="3:17" ht="15.75" customHeight="1" x14ac:dyDescent="0.2"/>
    <row r="60" spans="3:17" ht="15.75" customHeight="1" x14ac:dyDescent="0.2"/>
    <row r="61" spans="3:17" ht="15.75" customHeight="1" x14ac:dyDescent="0.2"/>
    <row r="62" spans="3:17" ht="15.75" customHeight="1" x14ac:dyDescent="0.2"/>
    <row r="63" spans="3:17" ht="15.75" customHeight="1" x14ac:dyDescent="0.2"/>
    <row r="64" spans="3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4" sqref="A14"/>
    </sheetView>
    <sheetView workbookViewId="1">
      <selection sqref="A1:A4"/>
    </sheetView>
  </sheetViews>
  <sheetFormatPr defaultColWidth="12.625" defaultRowHeight="15" customHeight="1" x14ac:dyDescent="0.2"/>
  <cols>
    <col min="1" max="1" width="25.125" customWidth="1"/>
    <col min="2" max="2" width="15.125" customWidth="1"/>
    <col min="3" max="26" width="7.625" customWidth="1"/>
  </cols>
  <sheetData>
    <row r="1" spans="1:4" x14ac:dyDescent="0.25">
      <c r="A1" s="69" t="s">
        <v>259</v>
      </c>
      <c r="B1" s="8" t="s">
        <v>260</v>
      </c>
      <c r="C1" s="8" t="s">
        <v>261</v>
      </c>
      <c r="D1" s="8" t="s">
        <v>262</v>
      </c>
    </row>
    <row r="2" spans="1:4" x14ac:dyDescent="0.25">
      <c r="A2" s="70"/>
      <c r="B2" s="8" t="s">
        <v>263</v>
      </c>
      <c r="C2" s="8" t="s">
        <v>264</v>
      </c>
      <c r="D2" s="8" t="s">
        <v>265</v>
      </c>
    </row>
    <row r="3" spans="1:4" x14ac:dyDescent="0.25">
      <c r="A3" s="70"/>
      <c r="C3" s="8">
        <v>200000</v>
      </c>
      <c r="D3" s="8" t="s">
        <v>266</v>
      </c>
    </row>
    <row r="4" spans="1:4" x14ac:dyDescent="0.25">
      <c r="A4" s="70"/>
      <c r="D4" s="8">
        <v>200000</v>
      </c>
    </row>
    <row r="5" spans="1:4" x14ac:dyDescent="0.25">
      <c r="A5" s="8" t="s">
        <v>159</v>
      </c>
      <c r="B5" s="8">
        <v>10218</v>
      </c>
      <c r="C5" s="8">
        <v>189782</v>
      </c>
      <c r="D5" s="8">
        <v>2025</v>
      </c>
    </row>
    <row r="6" spans="1:4" x14ac:dyDescent="0.25">
      <c r="A6" s="8" t="s">
        <v>160</v>
      </c>
      <c r="B6" s="8">
        <v>85888</v>
      </c>
      <c r="C6" s="8">
        <v>114112</v>
      </c>
      <c r="D6" s="8">
        <v>2023</v>
      </c>
    </row>
    <row r="7" spans="1:4" x14ac:dyDescent="0.25">
      <c r="A7" s="8" t="s">
        <v>161</v>
      </c>
      <c r="B7" s="8">
        <v>39855</v>
      </c>
      <c r="C7" s="8">
        <v>160145</v>
      </c>
      <c r="D7" s="8">
        <v>2025</v>
      </c>
    </row>
    <row r="8" spans="1:4" x14ac:dyDescent="0.25">
      <c r="A8" s="8" t="s">
        <v>162</v>
      </c>
      <c r="B8" s="8">
        <v>114247</v>
      </c>
      <c r="C8" s="8">
        <v>88753</v>
      </c>
      <c r="D8" s="8">
        <v>2023</v>
      </c>
    </row>
    <row r="9" spans="1:4" x14ac:dyDescent="0.25">
      <c r="A9" s="8" t="s">
        <v>163</v>
      </c>
      <c r="B9" s="8">
        <v>211587</v>
      </c>
      <c r="C9" s="8">
        <v>-11587</v>
      </c>
      <c r="D9" s="8" t="s">
        <v>267</v>
      </c>
    </row>
    <row r="10" spans="1:4" x14ac:dyDescent="0.25">
      <c r="A10" s="8" t="s">
        <v>158</v>
      </c>
      <c r="B10" s="8">
        <v>27636</v>
      </c>
      <c r="C10" s="8">
        <v>172364</v>
      </c>
      <c r="D10" s="8">
        <v>2025</v>
      </c>
    </row>
    <row r="11" spans="1:4" x14ac:dyDescent="0.25">
      <c r="A11" s="8" t="s">
        <v>164</v>
      </c>
      <c r="B11" s="8">
        <v>9157</v>
      </c>
      <c r="C11" s="8">
        <v>190843</v>
      </c>
      <c r="D11" s="8">
        <v>2025</v>
      </c>
    </row>
    <row r="12" spans="1:4" x14ac:dyDescent="0.25">
      <c r="A12" s="8" t="s">
        <v>181</v>
      </c>
      <c r="B12" s="8">
        <v>1001</v>
      </c>
      <c r="C12" s="8">
        <v>198999</v>
      </c>
      <c r="D12" s="8">
        <v>2027</v>
      </c>
    </row>
    <row r="13" spans="1:4" x14ac:dyDescent="0.25">
      <c r="A13" s="8" t="s">
        <v>165</v>
      </c>
      <c r="B13" s="8">
        <v>13325</v>
      </c>
      <c r="C13" s="8">
        <v>186675</v>
      </c>
      <c r="D13" s="8">
        <v>2025</v>
      </c>
    </row>
    <row r="14" spans="1:4" x14ac:dyDescent="0.25">
      <c r="A14" s="8" t="s">
        <v>166</v>
      </c>
      <c r="B14" s="8">
        <v>19193</v>
      </c>
      <c r="C14" s="8">
        <v>180807</v>
      </c>
      <c r="D14" s="8">
        <v>2024</v>
      </c>
    </row>
    <row r="15" spans="1:4" x14ac:dyDescent="0.25">
      <c r="A15" s="8" t="s">
        <v>167</v>
      </c>
      <c r="B15" s="8">
        <v>7004</v>
      </c>
      <c r="C15" s="8">
        <v>192996</v>
      </c>
      <c r="D15" s="8">
        <v>2025</v>
      </c>
    </row>
    <row r="16" spans="1:4" x14ac:dyDescent="0.25">
      <c r="A16" s="8" t="s">
        <v>168</v>
      </c>
      <c r="B16" s="8">
        <v>132227</v>
      </c>
      <c r="C16" s="8">
        <v>67773</v>
      </c>
      <c r="D16" s="8">
        <v>2021</v>
      </c>
    </row>
    <row r="17" spans="1:4" x14ac:dyDescent="0.25">
      <c r="A17" s="8" t="s">
        <v>169</v>
      </c>
      <c r="B17" s="8">
        <v>10712</v>
      </c>
      <c r="C17" s="8">
        <v>189288</v>
      </c>
      <c r="D17" s="8">
        <v>2025</v>
      </c>
    </row>
    <row r="18" spans="1:4" x14ac:dyDescent="0.25">
      <c r="A18" s="8" t="s">
        <v>170</v>
      </c>
      <c r="B18" s="8">
        <v>382573</v>
      </c>
      <c r="C18" s="8">
        <v>-182573</v>
      </c>
      <c r="D18" s="8" t="s">
        <v>268</v>
      </c>
    </row>
    <row r="19" spans="1:4" x14ac:dyDescent="0.25">
      <c r="A19" s="8" t="s">
        <v>171</v>
      </c>
      <c r="B19" s="8">
        <v>99918</v>
      </c>
      <c r="C19" s="8">
        <v>100082</v>
      </c>
      <c r="D19" s="8">
        <v>2021</v>
      </c>
    </row>
    <row r="20" spans="1:4" x14ac:dyDescent="0.25">
      <c r="A20" s="8" t="s">
        <v>173</v>
      </c>
      <c r="B20" s="8">
        <v>9841</v>
      </c>
      <c r="C20" s="8">
        <v>190159</v>
      </c>
      <c r="D20" s="8">
        <v>2024</v>
      </c>
    </row>
    <row r="21" spans="1:4" ht="15.75" customHeight="1" x14ac:dyDescent="0.25">
      <c r="A21" s="8" t="s">
        <v>172</v>
      </c>
      <c r="B21" s="8">
        <v>14277</v>
      </c>
      <c r="C21" s="8">
        <v>185723</v>
      </c>
      <c r="D21" s="8">
        <v>2023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A3" sqref="A3"/>
    </sheetView>
    <sheetView workbookViewId="1"/>
  </sheetViews>
  <sheetFormatPr defaultColWidth="12.625" defaultRowHeight="15" customHeight="1" x14ac:dyDescent="0.2"/>
  <cols>
    <col min="1" max="1" width="10.125" customWidth="1"/>
    <col min="2" max="2" width="8.625" customWidth="1"/>
    <col min="3" max="3" width="9.5" customWidth="1"/>
    <col min="4" max="34" width="7.625" customWidth="1"/>
  </cols>
  <sheetData>
    <row r="1" spans="1:32" x14ac:dyDescent="0.25">
      <c r="A1" s="1" t="s">
        <v>127</v>
      </c>
    </row>
    <row r="2" spans="1:32" x14ac:dyDescent="0.25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5">
      <c r="A3" s="11">
        <f>'BAU LDV psg'!C92</f>
        <v>2745.8606136031603</v>
      </c>
      <c r="B3" s="11">
        <f>'BAU LDV psg'!D92</f>
        <v>2745.8606136031599</v>
      </c>
      <c r="C3" s="11">
        <f>'BAU LDV psg'!E92</f>
        <v>2745.8606136031603</v>
      </c>
      <c r="D3" s="11">
        <f>'BAU LDV psg'!F92</f>
        <v>1913.0458308533109</v>
      </c>
      <c r="E3" s="11">
        <f>'BAU LDV psg'!G92</f>
        <v>1531.9111519939402</v>
      </c>
      <c r="F3" s="68">
        <f>IRA_EV!G17</f>
        <v>642</v>
      </c>
      <c r="G3" s="68">
        <f>IRA_EV!H17</f>
        <v>995</v>
      </c>
      <c r="H3" s="68">
        <f>IRA_EV!I17</f>
        <v>1278</v>
      </c>
      <c r="I3" s="68">
        <f>IRA_EV!J17</f>
        <v>1543</v>
      </c>
      <c r="J3" s="68">
        <f>IRA_EV!K17</f>
        <v>1851</v>
      </c>
      <c r="K3" s="68">
        <f>IRA_EV!L17</f>
        <v>2168</v>
      </c>
      <c r="L3" s="68">
        <f>IRA_EV!M17</f>
        <v>2495</v>
      </c>
      <c r="M3" s="68">
        <f>IRA_EV!N17</f>
        <v>3109</v>
      </c>
      <c r="N3" s="68">
        <f>IRA_EV!O17</f>
        <v>3806</v>
      </c>
      <c r="O3" s="68">
        <v>0</v>
      </c>
      <c r="P3" s="68">
        <v>0</v>
      </c>
      <c r="Q3" s="68">
        <v>0</v>
      </c>
      <c r="R3" s="68">
        <v>0</v>
      </c>
      <c r="S3" s="68">
        <v>0</v>
      </c>
      <c r="T3" s="68">
        <v>0</v>
      </c>
      <c r="U3" s="68">
        <v>0</v>
      </c>
      <c r="V3" s="68">
        <v>0</v>
      </c>
      <c r="W3" s="68">
        <v>0</v>
      </c>
      <c r="X3" s="68">
        <v>0</v>
      </c>
      <c r="Y3" s="68">
        <v>0</v>
      </c>
      <c r="Z3" s="68">
        <v>0</v>
      </c>
      <c r="AA3" s="68">
        <v>0</v>
      </c>
      <c r="AB3" s="68">
        <v>0</v>
      </c>
      <c r="AC3" s="68">
        <v>0</v>
      </c>
      <c r="AD3" s="68">
        <v>0</v>
      </c>
      <c r="AE3" s="68">
        <v>0</v>
      </c>
      <c r="AF3" s="68">
        <v>0</v>
      </c>
    </row>
    <row r="4" spans="1:32" x14ac:dyDescent="0.25">
      <c r="A4" s="31"/>
    </row>
    <row r="5" spans="1:32" x14ac:dyDescent="0.25">
      <c r="A5" s="32" t="s">
        <v>128</v>
      </c>
    </row>
    <row r="6" spans="1:32" x14ac:dyDescent="0.25">
      <c r="A6" s="31" t="s">
        <v>129</v>
      </c>
    </row>
    <row r="7" spans="1:32" x14ac:dyDescent="0.25">
      <c r="A7" s="31" t="s">
        <v>130</v>
      </c>
    </row>
    <row r="8" spans="1:32" x14ac:dyDescent="0.25">
      <c r="A8" s="32" t="s">
        <v>131</v>
      </c>
      <c r="B8" s="1" t="s">
        <v>2</v>
      </c>
      <c r="C8" s="1" t="s">
        <v>132</v>
      </c>
    </row>
    <row r="9" spans="1:32" x14ac:dyDescent="0.25">
      <c r="A9" s="31">
        <v>2500</v>
      </c>
      <c r="B9" s="8" t="s">
        <v>15</v>
      </c>
      <c r="C9" s="8">
        <v>39250017</v>
      </c>
    </row>
    <row r="10" spans="1:32" x14ac:dyDescent="0.25">
      <c r="A10" s="31">
        <v>5000</v>
      </c>
      <c r="B10" s="8" t="s">
        <v>18</v>
      </c>
      <c r="C10" s="8">
        <v>5540545</v>
      </c>
    </row>
    <row r="11" spans="1:32" x14ac:dyDescent="0.25">
      <c r="A11" s="31">
        <v>3500</v>
      </c>
      <c r="B11" s="8" t="s">
        <v>23</v>
      </c>
      <c r="C11" s="8">
        <v>952065</v>
      </c>
    </row>
    <row r="12" spans="1:32" x14ac:dyDescent="0.25">
      <c r="A12" s="33">
        <v>1500</v>
      </c>
      <c r="B12" s="8" t="s">
        <v>50</v>
      </c>
      <c r="C12" s="8">
        <v>4681666</v>
      </c>
    </row>
    <row r="13" spans="1:32" x14ac:dyDescent="0.25">
      <c r="A13" s="31">
        <v>2500</v>
      </c>
      <c r="B13" s="8" t="s">
        <v>58</v>
      </c>
      <c r="C13" s="8">
        <v>6811779</v>
      </c>
    </row>
    <row r="14" spans="1:32" x14ac:dyDescent="0.25">
      <c r="A14" s="31">
        <v>1500</v>
      </c>
      <c r="B14" s="8" t="s">
        <v>96</v>
      </c>
      <c r="C14" s="8">
        <v>3923561</v>
      </c>
    </row>
    <row r="15" spans="1:32" x14ac:dyDescent="0.25">
      <c r="A15" s="31">
        <v>2500</v>
      </c>
      <c r="B15" s="8" t="s">
        <v>103</v>
      </c>
      <c r="C15" s="8">
        <v>1056426</v>
      </c>
    </row>
    <row r="16" spans="1:32" x14ac:dyDescent="0.25">
      <c r="A16" s="34" t="s">
        <v>133</v>
      </c>
    </row>
    <row r="17" spans="1:34" x14ac:dyDescent="0.25">
      <c r="A17" s="31"/>
    </row>
    <row r="18" spans="1:34" x14ac:dyDescent="0.25">
      <c r="B18" s="31" t="s">
        <v>134</v>
      </c>
      <c r="C18" s="8">
        <v>323127513</v>
      </c>
    </row>
    <row r="19" spans="1:34" x14ac:dyDescent="0.25">
      <c r="A19" s="31"/>
      <c r="B19" s="8" t="s">
        <v>135</v>
      </c>
      <c r="C19" s="8">
        <f>C18-SUM(C9:C15)</f>
        <v>260911454</v>
      </c>
    </row>
    <row r="20" spans="1:34" x14ac:dyDescent="0.25">
      <c r="A20" s="31"/>
    </row>
    <row r="21" spans="1:34" ht="15.75" customHeight="1" x14ac:dyDescent="0.25">
      <c r="A21" s="31" t="s">
        <v>136</v>
      </c>
      <c r="C21" s="8" t="str">
        <f>About!B2</f>
        <v>CA</v>
      </c>
    </row>
    <row r="22" spans="1:34" ht="15.75" customHeight="1" x14ac:dyDescent="0.25">
      <c r="A22" s="31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  <c r="J22" s="10">
        <f t="shared" ref="J22" si="1">I22+1</f>
        <v>2027</v>
      </c>
      <c r="K22" s="10">
        <f t="shared" ref="K22" si="2">J22+1</f>
        <v>2028</v>
      </c>
      <c r="L22" s="10">
        <f t="shared" ref="L22" si="3">K22+1</f>
        <v>2029</v>
      </c>
    </row>
    <row r="23" spans="1:34" ht="15.75" customHeight="1" x14ac:dyDescent="0.25">
      <c r="A23" s="31"/>
      <c r="B23" s="8" t="s">
        <v>137</v>
      </c>
      <c r="C23" s="8">
        <f>SUMIFS(C$41:C$54,$A$41:$A$54,$C$21,$B$41:$B$54,$B23)</f>
        <v>2500</v>
      </c>
      <c r="D23" s="10">
        <f>SUMIFS(D$41:D$54,$A$41:$A$54,$C$21,$B$41:$B$54,$B23)</f>
        <v>2500</v>
      </c>
      <c r="E23" s="10">
        <f>SUMIFS(E$41:E$54,$A$41:$A$54,$C$21,$B$41:$B$54,$B23)</f>
        <v>2500</v>
      </c>
      <c r="F23" s="10">
        <f>SUMIFS(F$41:F$54,$A$41:$A$54,$C$21,$B$41:$B$54,$B23)</f>
        <v>2500</v>
      </c>
      <c r="G23" s="10">
        <f>SUMIFS(G$41:G$54,$A$41:$A$54,$C$21,$B$41:$B$54,$B23)-B24</f>
        <v>2000</v>
      </c>
      <c r="H23" s="10">
        <f>G23-B24</f>
        <v>1500</v>
      </c>
      <c r="I23" s="10">
        <f>H23-B24</f>
        <v>1000</v>
      </c>
      <c r="J23" s="10">
        <f>I23-$B$24</f>
        <v>500</v>
      </c>
      <c r="K23" s="10">
        <f t="shared" ref="K23" si="4">J23-$B$24</f>
        <v>0</v>
      </c>
      <c r="L23" s="10">
        <v>0</v>
      </c>
    </row>
    <row r="24" spans="1:34" s="40" customFormat="1" ht="15.75" customHeight="1" x14ac:dyDescent="0.25">
      <c r="A24" s="47" t="s">
        <v>495</v>
      </c>
      <c r="B24" s="43">
        <v>500</v>
      </c>
      <c r="C24" s="43"/>
      <c r="D24" s="44"/>
      <c r="E24" s="44"/>
      <c r="F24" s="44"/>
      <c r="G24" s="44"/>
      <c r="H24" s="44"/>
      <c r="I24" s="44"/>
    </row>
    <row r="25" spans="1:34" ht="15.75" customHeight="1" x14ac:dyDescent="0.2"/>
    <row r="26" spans="1:34" ht="15.75" customHeight="1" x14ac:dyDescent="0.25">
      <c r="A26" s="1" t="s">
        <v>426</v>
      </c>
    </row>
    <row r="27" spans="1:34" ht="15.75" customHeight="1" x14ac:dyDescent="0.25">
      <c r="A27" s="1" t="s">
        <v>139</v>
      </c>
      <c r="B27" s="8">
        <v>2018</v>
      </c>
      <c r="C27" s="8">
        <v>2019</v>
      </c>
      <c r="D27" s="8">
        <v>2020</v>
      </c>
      <c r="E27" s="8">
        <v>2021</v>
      </c>
      <c r="F27" s="8">
        <v>2022</v>
      </c>
      <c r="G27" s="8">
        <v>2023</v>
      </c>
      <c r="H27" s="8">
        <v>2024</v>
      </c>
      <c r="I27" s="8">
        <v>2025</v>
      </c>
      <c r="J27" s="8">
        <v>2026</v>
      </c>
      <c r="K27" s="8">
        <v>2027</v>
      </c>
      <c r="L27" s="8">
        <v>2028</v>
      </c>
      <c r="M27" s="8">
        <v>2029</v>
      </c>
      <c r="N27" s="8">
        <v>2030</v>
      </c>
      <c r="O27" s="8">
        <v>2031</v>
      </c>
      <c r="P27" s="8">
        <v>2032</v>
      </c>
      <c r="Q27" s="8">
        <v>2033</v>
      </c>
      <c r="R27" s="8">
        <v>2034</v>
      </c>
      <c r="S27" s="8">
        <v>2035</v>
      </c>
      <c r="T27" s="8">
        <v>2036</v>
      </c>
      <c r="U27" s="8">
        <v>2037</v>
      </c>
      <c r="V27" s="8">
        <v>2038</v>
      </c>
      <c r="W27" s="8">
        <v>2039</v>
      </c>
      <c r="X27" s="8">
        <v>2040</v>
      </c>
      <c r="Y27" s="8">
        <v>2041</v>
      </c>
      <c r="Z27" s="8">
        <v>2042</v>
      </c>
      <c r="AA27" s="8">
        <v>2043</v>
      </c>
      <c r="AB27" s="8">
        <v>2044</v>
      </c>
      <c r="AC27" s="8">
        <v>2045</v>
      </c>
      <c r="AD27" s="8">
        <v>2046</v>
      </c>
      <c r="AE27" s="8">
        <v>2047</v>
      </c>
      <c r="AF27" s="8">
        <v>2048</v>
      </c>
      <c r="AG27" s="8">
        <v>2049</v>
      </c>
      <c r="AH27" s="8">
        <v>2050</v>
      </c>
    </row>
    <row r="28" spans="1:34" ht="15.75" customHeight="1" x14ac:dyDescent="0.25">
      <c r="A28" s="8" t="s">
        <v>140</v>
      </c>
      <c r="B28" s="8">
        <v>53703</v>
      </c>
      <c r="C28" s="8">
        <v>51776.5</v>
      </c>
      <c r="D28" s="8">
        <v>50407.6</v>
      </c>
      <c r="E28" s="8">
        <v>49301.3</v>
      </c>
      <c r="F28" s="8">
        <v>48343.4</v>
      </c>
      <c r="G28" s="8">
        <v>47462.2</v>
      </c>
      <c r="H28" s="8">
        <v>46667.199999999997</v>
      </c>
      <c r="I28" s="8">
        <v>45962.6</v>
      </c>
      <c r="J28" s="8">
        <v>45330.9</v>
      </c>
      <c r="K28" s="8">
        <v>44750.2</v>
      </c>
      <c r="L28" s="8">
        <v>44223.9</v>
      </c>
      <c r="M28" s="8">
        <v>43738.9</v>
      </c>
      <c r="N28" s="8">
        <v>43295.4</v>
      </c>
      <c r="O28" s="8">
        <v>42905</v>
      </c>
      <c r="P28" s="8">
        <v>42563.199999999997</v>
      </c>
      <c r="Q28" s="8">
        <v>42259.5</v>
      </c>
      <c r="R28" s="8">
        <v>41992</v>
      </c>
      <c r="S28" s="8">
        <v>41757.9</v>
      </c>
      <c r="T28" s="8">
        <v>41553.699999999997</v>
      </c>
      <c r="U28" s="8">
        <v>41372.699999999997</v>
      </c>
      <c r="V28" s="8">
        <v>41211.300000000003</v>
      </c>
      <c r="W28" s="8">
        <v>41067.5</v>
      </c>
      <c r="X28" s="8">
        <v>40939.800000000003</v>
      </c>
      <c r="Y28" s="8">
        <v>40826.300000000003</v>
      </c>
      <c r="Z28" s="8">
        <v>40724.300000000003</v>
      </c>
      <c r="AA28" s="8">
        <v>40632.300000000003</v>
      </c>
      <c r="AB28" s="8">
        <v>40548.800000000003</v>
      </c>
      <c r="AC28" s="8">
        <v>40472.800000000003</v>
      </c>
      <c r="AD28" s="8">
        <v>40403.199999999997</v>
      </c>
      <c r="AE28" s="8">
        <v>40339.300000000003</v>
      </c>
      <c r="AF28" s="8">
        <v>40280.300000000003</v>
      </c>
      <c r="AG28" s="8">
        <v>40225.5</v>
      </c>
      <c r="AH28" s="8">
        <v>40174.6</v>
      </c>
    </row>
    <row r="29" spans="1:34" ht="15.75" customHeight="1" x14ac:dyDescent="0.25">
      <c r="A29" s="7" t="s">
        <v>141</v>
      </c>
      <c r="B29" s="8">
        <v>117430</v>
      </c>
      <c r="C29" s="10">
        <v>117430</v>
      </c>
      <c r="D29" s="10">
        <v>117430</v>
      </c>
      <c r="E29" s="10">
        <v>117430</v>
      </c>
      <c r="F29" s="10">
        <v>117430</v>
      </c>
      <c r="G29" s="10">
        <v>117430</v>
      </c>
      <c r="H29" s="10">
        <v>117430</v>
      </c>
      <c r="I29" s="10">
        <v>117430</v>
      </c>
      <c r="J29" s="10">
        <v>117430</v>
      </c>
      <c r="K29" s="10">
        <v>117430</v>
      </c>
      <c r="L29" s="10">
        <v>117430</v>
      </c>
      <c r="M29" s="10">
        <v>117430</v>
      </c>
      <c r="N29" s="10">
        <v>117430</v>
      </c>
      <c r="O29" s="10">
        <v>117430</v>
      </c>
      <c r="P29" s="10">
        <v>117430</v>
      </c>
      <c r="Q29" s="10">
        <v>117430</v>
      </c>
      <c r="R29" s="10">
        <v>117430</v>
      </c>
      <c r="S29" s="10">
        <v>117430</v>
      </c>
      <c r="T29" s="10">
        <v>117430</v>
      </c>
      <c r="U29" s="10">
        <v>117430</v>
      </c>
      <c r="V29" s="10">
        <v>117430</v>
      </c>
      <c r="W29" s="10">
        <v>117430</v>
      </c>
      <c r="X29" s="10">
        <v>117430</v>
      </c>
      <c r="Y29" s="10">
        <v>117430</v>
      </c>
      <c r="Z29" s="10">
        <v>117430</v>
      </c>
      <c r="AA29" s="10">
        <v>117430</v>
      </c>
      <c r="AB29" s="10">
        <v>117430</v>
      </c>
      <c r="AC29" s="10">
        <v>117430</v>
      </c>
      <c r="AD29" s="10">
        <v>117430</v>
      </c>
      <c r="AE29" s="10">
        <v>117430</v>
      </c>
      <c r="AF29" s="10">
        <v>117430</v>
      </c>
      <c r="AG29" s="10">
        <v>117430</v>
      </c>
      <c r="AH29" s="10">
        <v>117430</v>
      </c>
    </row>
    <row r="30" spans="1:34" ht="15.75" customHeight="1" x14ac:dyDescent="0.25">
      <c r="A30" s="1" t="s">
        <v>142</v>
      </c>
    </row>
    <row r="31" spans="1:34" ht="15.75" customHeight="1" x14ac:dyDescent="0.25">
      <c r="A31" s="8">
        <v>2019</v>
      </c>
      <c r="B31" s="8">
        <v>2020</v>
      </c>
      <c r="C31" s="8">
        <v>2021</v>
      </c>
      <c r="D31" s="8">
        <v>2022</v>
      </c>
      <c r="E31" s="8">
        <v>2023</v>
      </c>
      <c r="F31" s="8">
        <v>2024</v>
      </c>
      <c r="G31" s="8">
        <v>2025</v>
      </c>
      <c r="H31" s="8">
        <v>2026</v>
      </c>
      <c r="I31" s="8">
        <v>2027</v>
      </c>
      <c r="J31" s="8">
        <v>2028</v>
      </c>
      <c r="K31" s="8">
        <v>2029</v>
      </c>
      <c r="L31" s="8">
        <v>2030</v>
      </c>
      <c r="M31" s="8">
        <v>2031</v>
      </c>
      <c r="N31" s="8">
        <v>2032</v>
      </c>
      <c r="O31" s="8">
        <v>2033</v>
      </c>
      <c r="P31" s="8">
        <v>2034</v>
      </c>
      <c r="Q31" s="8">
        <v>2035</v>
      </c>
      <c r="R31" s="8">
        <v>2036</v>
      </c>
      <c r="S31" s="8">
        <v>2037</v>
      </c>
      <c r="T31" s="8">
        <v>2038</v>
      </c>
      <c r="U31" s="8">
        <v>2039</v>
      </c>
      <c r="V31" s="8">
        <v>2040</v>
      </c>
      <c r="W31" s="8">
        <v>2041</v>
      </c>
      <c r="X31" s="8">
        <v>2042</v>
      </c>
      <c r="Y31" s="8">
        <v>2043</v>
      </c>
      <c r="Z31" s="8">
        <v>2044</v>
      </c>
      <c r="AA31" s="8">
        <v>2045</v>
      </c>
      <c r="AB31" s="8">
        <v>2046</v>
      </c>
      <c r="AC31" s="8">
        <v>2047</v>
      </c>
      <c r="AD31" s="8">
        <v>2048</v>
      </c>
      <c r="AE31" s="8">
        <v>2049</v>
      </c>
      <c r="AF31" s="8">
        <v>2050</v>
      </c>
    </row>
    <row r="32" spans="1:34" ht="15.75" customHeight="1" x14ac:dyDescent="0.25">
      <c r="A32" s="12">
        <f>(A3+C23)/C28</f>
        <v>0.10131740487679083</v>
      </c>
      <c r="B32" s="12">
        <f t="shared" ref="B32:AF32" si="5">(B3+C23)/D28</f>
        <v>0.10406884306341027</v>
      </c>
      <c r="C32" s="12">
        <f t="shared" si="5"/>
        <v>0.10640410321032427</v>
      </c>
      <c r="D32" s="12">
        <f t="shared" si="5"/>
        <v>9.1285383958375099E-2</v>
      </c>
      <c r="E32" s="12">
        <f t="shared" si="5"/>
        <v>8.4949942311859553E-2</v>
      </c>
      <c r="F32" s="12">
        <f t="shared" si="5"/>
        <v>5.6613638701271986E-2</v>
      </c>
      <c r="G32" s="12">
        <f>(G3+H23)/I28</f>
        <v>5.4283265089442284E-2</v>
      </c>
      <c r="H32" s="12">
        <f t="shared" si="5"/>
        <v>5.0252697387433293E-2</v>
      </c>
      <c r="I32" s="12">
        <f t="shared" si="5"/>
        <v>4.5653427247252527E-2</v>
      </c>
      <c r="J32" s="12">
        <f t="shared" si="5"/>
        <v>4.1855195946083452E-2</v>
      </c>
      <c r="K32" s="12">
        <f t="shared" si="5"/>
        <v>4.9566861535155202E-2</v>
      </c>
      <c r="L32" s="12">
        <f>(L3+M23)/N28</f>
        <v>5.7627369189336509E-2</v>
      </c>
      <c r="M32" s="12">
        <f>(M3+N23)/O28</f>
        <v>7.2462416967719379E-2</v>
      </c>
      <c r="N32" s="12">
        <f t="shared" si="5"/>
        <v>8.941996842342681E-2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5"/>
        <v>0</v>
      </c>
      <c r="AC32" s="12">
        <f t="shared" si="5"/>
        <v>0</v>
      </c>
      <c r="AD32" s="12">
        <f t="shared" si="5"/>
        <v>0</v>
      </c>
      <c r="AE32" s="12">
        <f t="shared" si="5"/>
        <v>0</v>
      </c>
      <c r="AF32" s="12">
        <f t="shared" si="5"/>
        <v>0</v>
      </c>
      <c r="AG32" s="12"/>
      <c r="AH32" s="12"/>
    </row>
    <row r="33" spans="1:32" ht="15.75" customHeight="1" x14ac:dyDescent="0.2"/>
    <row r="34" spans="1:32" ht="15.75" customHeight="1" x14ac:dyDescent="0.25">
      <c r="A34" s="1" t="s">
        <v>425</v>
      </c>
      <c r="B34" s="8"/>
      <c r="C34" s="10">
        <f>C32/$B$32</f>
        <v>1.0224395705589915</v>
      </c>
      <c r="D34" s="10">
        <f t="shared" ref="D34:K34" si="6">D32/$B$32</f>
        <v>0.8771634359647289</v>
      </c>
      <c r="E34" s="10">
        <f t="shared" si="6"/>
        <v>0.81628602578101728</v>
      </c>
      <c r="F34" s="10">
        <f t="shared" si="6"/>
        <v>0.54400180721502478</v>
      </c>
      <c r="G34" s="10">
        <f t="shared" si="6"/>
        <v>0.52160919148843521</v>
      </c>
      <c r="H34" s="10">
        <f t="shared" si="6"/>
        <v>0.48287937011862214</v>
      </c>
      <c r="I34" s="10">
        <f t="shared" si="6"/>
        <v>0.43868487342974882</v>
      </c>
      <c r="J34" s="10">
        <f t="shared" si="6"/>
        <v>0.40218757808790695</v>
      </c>
      <c r="K34" s="10">
        <f t="shared" si="6"/>
        <v>0.47628915702419772</v>
      </c>
      <c r="L34" s="10">
        <f>L32/$B$32</f>
        <v>0.55374276770064146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</row>
    <row r="35" spans="1:32" s="40" customFormat="1" ht="15.75" customHeight="1" x14ac:dyDescent="0.25">
      <c r="A35" s="42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</row>
    <row r="36" spans="1:32" ht="15.75" customHeight="1" x14ac:dyDescent="0.25">
      <c r="A36" s="1" t="s">
        <v>277</v>
      </c>
    </row>
    <row r="37" spans="1:32" ht="15.75" customHeight="1" x14ac:dyDescent="0.25">
      <c r="A37" s="8" t="s">
        <v>143</v>
      </c>
      <c r="B37" s="7" t="s">
        <v>144</v>
      </c>
    </row>
    <row r="38" spans="1:32" ht="15.75" customHeight="1" x14ac:dyDescent="0.25">
      <c r="A38" s="8" t="s">
        <v>145</v>
      </c>
      <c r="B38" s="7" t="s">
        <v>146</v>
      </c>
    </row>
    <row r="39" spans="1:32" ht="15.75" customHeight="1" x14ac:dyDescent="0.25">
      <c r="A39" s="8" t="s">
        <v>147</v>
      </c>
    </row>
    <row r="40" spans="1:32" ht="15.75" customHeight="1" x14ac:dyDescent="0.25">
      <c r="A40" s="8" t="s">
        <v>2</v>
      </c>
      <c r="B40" s="8" t="s">
        <v>148</v>
      </c>
      <c r="C40" s="8">
        <v>2020</v>
      </c>
      <c r="D40" s="8">
        <f t="shared" ref="D40:I40" si="7">C40+1</f>
        <v>2021</v>
      </c>
      <c r="E40" s="10">
        <f t="shared" si="7"/>
        <v>2022</v>
      </c>
      <c r="F40" s="10">
        <f t="shared" si="7"/>
        <v>2023</v>
      </c>
      <c r="G40" s="10">
        <f t="shared" si="7"/>
        <v>2024</v>
      </c>
      <c r="H40" s="10">
        <f t="shared" si="7"/>
        <v>2025</v>
      </c>
      <c r="I40" s="10">
        <f t="shared" si="7"/>
        <v>2026</v>
      </c>
    </row>
    <row r="41" spans="1:32" ht="15.75" customHeight="1" x14ac:dyDescent="0.25">
      <c r="A41" s="8" t="s">
        <v>19</v>
      </c>
      <c r="B41" s="8" t="s">
        <v>137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149</v>
      </c>
    </row>
    <row r="42" spans="1:32" ht="15.75" customHeight="1" x14ac:dyDescent="0.25">
      <c r="A42" s="10" t="s">
        <v>19</v>
      </c>
      <c r="B42" s="10" t="s">
        <v>138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150</v>
      </c>
    </row>
    <row r="43" spans="1:32" ht="15.75" customHeight="1" x14ac:dyDescent="0.25">
      <c r="A43" s="8" t="s">
        <v>21</v>
      </c>
      <c r="B43" s="8" t="s">
        <v>137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151</v>
      </c>
    </row>
    <row r="44" spans="1:32" ht="15.75" customHeight="1" x14ac:dyDescent="0.25">
      <c r="A44" s="8" t="s">
        <v>24</v>
      </c>
      <c r="B44" s="8" t="s">
        <v>137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2" ht="15.75" customHeight="1" x14ac:dyDescent="0.25">
      <c r="A45" s="8" t="s">
        <v>87</v>
      </c>
      <c r="B45" s="35" t="s">
        <v>137</v>
      </c>
      <c r="C45" s="36">
        <v>2000</v>
      </c>
      <c r="D45" s="36">
        <v>2000</v>
      </c>
      <c r="E45" s="36">
        <v>2000</v>
      </c>
      <c r="F45" s="36">
        <v>2000</v>
      </c>
      <c r="G45" s="36">
        <v>2000</v>
      </c>
      <c r="H45" s="36">
        <v>2000</v>
      </c>
      <c r="I45" s="36">
        <v>2000</v>
      </c>
      <c r="J45" s="35" t="s">
        <v>152</v>
      </c>
      <c r="K45" s="35"/>
      <c r="L45" s="13"/>
    </row>
    <row r="46" spans="1:32" ht="15.75" customHeight="1" x14ac:dyDescent="0.25">
      <c r="A46" s="8" t="s">
        <v>112</v>
      </c>
      <c r="B46" s="8" t="s">
        <v>137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153</v>
      </c>
      <c r="Q46" s="9"/>
    </row>
    <row r="47" spans="1:32" ht="15.75" customHeight="1" x14ac:dyDescent="0.25">
      <c r="A47" s="8" t="s">
        <v>16</v>
      </c>
      <c r="B47" s="10" t="s">
        <v>137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2" ht="15.75" customHeight="1" x14ac:dyDescent="0.25">
      <c r="A48" s="8" t="s">
        <v>51</v>
      </c>
      <c r="B48" s="8" t="s">
        <v>137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5">
      <c r="A49" s="8" t="s">
        <v>53</v>
      </c>
      <c r="B49" s="10" t="s">
        <v>137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5">
      <c r="A50" s="8" t="s">
        <v>56</v>
      </c>
      <c r="B50" s="10" t="s">
        <v>137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5">
      <c r="A51" s="8" t="s">
        <v>59</v>
      </c>
      <c r="B51" s="10" t="s">
        <v>137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5">
      <c r="A52" s="8" t="s">
        <v>82</v>
      </c>
      <c r="B52" s="8" t="s">
        <v>137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5">
      <c r="A53" s="8" t="s">
        <v>100</v>
      </c>
      <c r="B53" s="10" t="s">
        <v>137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5">
      <c r="A54" s="8" t="s">
        <v>116</v>
      </c>
      <c r="B54" s="10" t="s">
        <v>137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154</v>
      </c>
    </row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9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41A-3795-458F-B904-4E844346CFCC}">
  <dimension ref="A1:AK78"/>
  <sheetViews>
    <sheetView tabSelected="1" topLeftCell="C23" workbookViewId="0">
      <selection activeCell="C37" sqref="C37"/>
    </sheetView>
    <sheetView workbookViewId="1">
      <selection activeCell="A43" sqref="A43"/>
    </sheetView>
  </sheetViews>
  <sheetFormatPr defaultRowHeight="15" x14ac:dyDescent="0.25"/>
  <cols>
    <col min="1" max="1" width="30.875" style="81" customWidth="1"/>
    <col min="2" max="2" width="24.375" style="81" customWidth="1"/>
    <col min="3" max="5" width="8.125" style="81" bestFit="1" customWidth="1"/>
    <col min="6" max="6" width="9.25" style="81" bestFit="1" customWidth="1"/>
    <col min="7" max="7" width="18.625" style="81" bestFit="1" customWidth="1"/>
    <col min="8" max="15" width="9.25" style="81" bestFit="1" customWidth="1"/>
    <col min="16" max="16384" width="9" style="81"/>
  </cols>
  <sheetData>
    <row r="1" spans="1:16" x14ac:dyDescent="0.25">
      <c r="A1" s="90" t="s">
        <v>530</v>
      </c>
    </row>
    <row r="2" spans="1:16" x14ac:dyDescent="0.25">
      <c r="A2" s="81" t="s">
        <v>510</v>
      </c>
    </row>
    <row r="3" spans="1:16" x14ac:dyDescent="0.25">
      <c r="A3" s="81" t="s">
        <v>511</v>
      </c>
    </row>
    <row r="4" spans="1:16" x14ac:dyDescent="0.25">
      <c r="A4" s="81" t="s">
        <v>512</v>
      </c>
    </row>
    <row r="6" spans="1:16" x14ac:dyDescent="0.25">
      <c r="A6" s="81" t="s">
        <v>513</v>
      </c>
    </row>
    <row r="7" spans="1:16" x14ac:dyDescent="0.25">
      <c r="A7" s="81" t="s">
        <v>514</v>
      </c>
    </row>
    <row r="9" spans="1:16" x14ac:dyDescent="0.25">
      <c r="A9" s="81" t="s">
        <v>515</v>
      </c>
    </row>
    <row r="10" spans="1:16" x14ac:dyDescent="0.25">
      <c r="A10" s="81" t="s">
        <v>516</v>
      </c>
      <c r="C10" s="81" t="s">
        <v>517</v>
      </c>
      <c r="D10" s="81" t="s">
        <v>518</v>
      </c>
      <c r="E10" s="81" t="s">
        <v>519</v>
      </c>
    </row>
    <row r="11" spans="1:16" x14ac:dyDescent="0.25">
      <c r="A11" s="81" t="s">
        <v>520</v>
      </c>
      <c r="B11" s="81" t="s">
        <v>521</v>
      </c>
      <c r="C11" s="82">
        <v>-655</v>
      </c>
      <c r="D11" s="82">
        <v>3134</v>
      </c>
      <c r="E11" s="82">
        <v>4664</v>
      </c>
    </row>
    <row r="12" spans="1:16" x14ac:dyDescent="0.25">
      <c r="B12" s="81" t="s">
        <v>522</v>
      </c>
      <c r="C12" s="82">
        <v>-839</v>
      </c>
      <c r="D12" s="82">
        <v>2863</v>
      </c>
      <c r="E12" s="82">
        <v>4393</v>
      </c>
    </row>
    <row r="15" spans="1:16" x14ac:dyDescent="0.25">
      <c r="A15" s="81" t="s">
        <v>523</v>
      </c>
    </row>
    <row r="16" spans="1:16" x14ac:dyDescent="0.25">
      <c r="C16" s="81">
        <v>2020</v>
      </c>
      <c r="D16" s="81">
        <v>2021</v>
      </c>
      <c r="E16" s="81">
        <v>2022</v>
      </c>
      <c r="F16" s="81">
        <v>2023</v>
      </c>
      <c r="G16" s="81">
        <v>2024</v>
      </c>
      <c r="H16" s="81">
        <v>2025</v>
      </c>
      <c r="I16" s="81">
        <v>2026</v>
      </c>
      <c r="J16" s="81">
        <v>2027</v>
      </c>
      <c r="K16" s="81">
        <v>2028</v>
      </c>
      <c r="L16" s="81">
        <v>2029</v>
      </c>
      <c r="M16" s="81">
        <v>2030</v>
      </c>
      <c r="N16" s="81">
        <v>2031</v>
      </c>
      <c r="O16" s="81">
        <v>2032</v>
      </c>
      <c r="P16" s="81">
        <v>2033</v>
      </c>
    </row>
    <row r="17" spans="1:16" x14ac:dyDescent="0.25">
      <c r="A17" s="87" t="s">
        <v>524</v>
      </c>
      <c r="B17" s="87"/>
      <c r="C17" s="87"/>
      <c r="D17" s="87"/>
      <c r="E17" s="87"/>
      <c r="F17" s="87"/>
      <c r="G17" s="84">
        <v>642</v>
      </c>
      <c r="H17" s="84">
        <v>995</v>
      </c>
      <c r="I17" s="84">
        <v>1278</v>
      </c>
      <c r="J17" s="84">
        <v>1543</v>
      </c>
      <c r="K17" s="84">
        <v>1851</v>
      </c>
      <c r="L17" s="84">
        <v>2168</v>
      </c>
      <c r="M17" s="84">
        <v>2495</v>
      </c>
      <c r="N17" s="84">
        <v>3109</v>
      </c>
      <c r="O17" s="84">
        <v>3806</v>
      </c>
      <c r="P17" s="84">
        <v>642</v>
      </c>
    </row>
    <row r="18" spans="1:16" x14ac:dyDescent="0.25">
      <c r="A18" s="87" t="s">
        <v>525</v>
      </c>
      <c r="B18" s="87"/>
      <c r="C18" s="87"/>
      <c r="D18" s="87"/>
      <c r="E18" s="87"/>
      <c r="F18" s="87"/>
      <c r="G18" s="88">
        <v>642</v>
      </c>
      <c r="H18" s="88">
        <v>995</v>
      </c>
      <c r="I18" s="88">
        <v>1278</v>
      </c>
      <c r="J18" s="88">
        <v>1543</v>
      </c>
      <c r="K18" s="88">
        <v>1851</v>
      </c>
      <c r="L18" s="88">
        <v>2168</v>
      </c>
      <c r="M18" s="88">
        <v>2495</v>
      </c>
      <c r="N18" s="88">
        <v>3109</v>
      </c>
      <c r="O18" s="88">
        <v>3806</v>
      </c>
      <c r="P18" s="88">
        <v>642</v>
      </c>
    </row>
    <row r="19" spans="1:16" x14ac:dyDescent="0.25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</row>
    <row r="20" spans="1:16" x14ac:dyDescent="0.25">
      <c r="A20" s="87" t="s">
        <v>526</v>
      </c>
      <c r="B20" s="87"/>
      <c r="C20" s="87"/>
      <c r="D20" s="87"/>
      <c r="E20" s="87"/>
      <c r="F20" s="87"/>
      <c r="G20" s="88">
        <v>1297</v>
      </c>
      <c r="H20" s="88">
        <v>862</v>
      </c>
      <c r="I20" s="88">
        <v>672</v>
      </c>
      <c r="J20" s="88">
        <v>672</v>
      </c>
      <c r="K20" s="88">
        <v>672</v>
      </c>
      <c r="L20" s="88">
        <v>672</v>
      </c>
      <c r="M20" s="88">
        <v>672</v>
      </c>
      <c r="N20" s="88">
        <v>672</v>
      </c>
      <c r="O20" s="88">
        <v>672</v>
      </c>
      <c r="P20" s="88">
        <v>672</v>
      </c>
    </row>
    <row r="21" spans="1:16" x14ac:dyDescent="0.25">
      <c r="A21" s="87" t="s">
        <v>527</v>
      </c>
      <c r="B21" s="87"/>
      <c r="C21" s="87"/>
      <c r="D21" s="87"/>
      <c r="E21" s="87"/>
      <c r="F21" s="87"/>
      <c r="G21" s="88">
        <v>1481</v>
      </c>
      <c r="H21" s="88">
        <v>1063</v>
      </c>
      <c r="I21" s="88">
        <v>943</v>
      </c>
      <c r="J21" s="88">
        <v>943</v>
      </c>
      <c r="K21" s="88">
        <v>943</v>
      </c>
      <c r="L21" s="88">
        <v>943</v>
      </c>
      <c r="M21" s="88">
        <v>943</v>
      </c>
      <c r="N21" s="88">
        <v>943</v>
      </c>
      <c r="O21" s="88">
        <v>943</v>
      </c>
      <c r="P21" s="88">
        <v>943</v>
      </c>
    </row>
    <row r="22" spans="1:16" x14ac:dyDescent="0.25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</row>
    <row r="23" spans="1:16" x14ac:dyDescent="0.25">
      <c r="A23" s="87" t="s">
        <v>528</v>
      </c>
      <c r="B23" s="87"/>
      <c r="C23" s="87"/>
      <c r="D23" s="87"/>
      <c r="E23" s="87"/>
      <c r="F23" s="87"/>
      <c r="G23" s="88">
        <v>-655</v>
      </c>
      <c r="H23" s="88">
        <v>133</v>
      </c>
      <c r="I23" s="88">
        <v>606</v>
      </c>
      <c r="J23" s="88">
        <v>871</v>
      </c>
      <c r="K23" s="88">
        <v>1179</v>
      </c>
      <c r="L23" s="88">
        <v>1496</v>
      </c>
      <c r="M23" s="88">
        <v>1823</v>
      </c>
      <c r="N23" s="88">
        <v>2437</v>
      </c>
      <c r="O23" s="88">
        <v>3134</v>
      </c>
      <c r="P23" s="88">
        <v>-30</v>
      </c>
    </row>
    <row r="24" spans="1:16" x14ac:dyDescent="0.25">
      <c r="A24" s="87" t="s">
        <v>529</v>
      </c>
      <c r="B24" s="87"/>
      <c r="C24" s="87"/>
      <c r="D24" s="87"/>
      <c r="E24" s="87"/>
      <c r="F24" s="87"/>
      <c r="G24" s="88">
        <v>-839</v>
      </c>
      <c r="H24" s="88">
        <v>-68</v>
      </c>
      <c r="I24" s="88">
        <v>335</v>
      </c>
      <c r="J24" s="88">
        <v>600</v>
      </c>
      <c r="K24" s="88">
        <v>908</v>
      </c>
      <c r="L24" s="88">
        <v>1225</v>
      </c>
      <c r="M24" s="88">
        <v>1552</v>
      </c>
      <c r="N24" s="88">
        <v>2166</v>
      </c>
      <c r="O24" s="88">
        <v>2863</v>
      </c>
      <c r="P24" s="88">
        <v>-301</v>
      </c>
    </row>
    <row r="25" spans="1:16" x14ac:dyDescent="0.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</row>
    <row r="26" spans="1:16" x14ac:dyDescent="0.25">
      <c r="A26" s="89" t="s">
        <v>531</v>
      </c>
    </row>
    <row r="27" spans="1:16" x14ac:dyDescent="0.25">
      <c r="A27" s="89" t="s">
        <v>532</v>
      </c>
    </row>
    <row r="28" spans="1:16" x14ac:dyDescent="0.25">
      <c r="A28" s="89" t="s">
        <v>533</v>
      </c>
    </row>
    <row r="29" spans="1:16" x14ac:dyDescent="0.25">
      <c r="A29" s="81" t="s">
        <v>515</v>
      </c>
    </row>
    <row r="31" spans="1:16" x14ac:dyDescent="0.25">
      <c r="A31" s="81" t="s">
        <v>534</v>
      </c>
      <c r="C31" s="81" t="s">
        <v>517</v>
      </c>
      <c r="D31" s="83" t="s">
        <v>518</v>
      </c>
      <c r="E31" s="81" t="s">
        <v>519</v>
      </c>
    </row>
    <row r="32" spans="1:16" x14ac:dyDescent="0.25">
      <c r="A32" s="81" t="s">
        <v>535</v>
      </c>
      <c r="C32" s="82">
        <v>40900</v>
      </c>
      <c r="D32" s="84">
        <v>40900</v>
      </c>
      <c r="E32" s="82">
        <v>40900</v>
      </c>
    </row>
    <row r="33" spans="1:37" x14ac:dyDescent="0.25">
      <c r="A33" s="81" t="s">
        <v>536</v>
      </c>
      <c r="C33" s="82">
        <v>12300</v>
      </c>
      <c r="D33" s="84">
        <v>12300</v>
      </c>
      <c r="E33" s="82">
        <v>12300</v>
      </c>
    </row>
    <row r="34" spans="1:37" x14ac:dyDescent="0.25">
      <c r="A34" s="81" t="s">
        <v>537</v>
      </c>
      <c r="C34" s="82">
        <v>40000</v>
      </c>
      <c r="D34" s="84">
        <v>40000</v>
      </c>
      <c r="E34" s="82">
        <v>40000</v>
      </c>
    </row>
    <row r="36" spans="1:37" x14ac:dyDescent="0.25">
      <c r="A36" s="81" t="s">
        <v>538</v>
      </c>
      <c r="C36" s="81">
        <v>2020</v>
      </c>
      <c r="D36" s="81">
        <v>2021</v>
      </c>
      <c r="E36" s="81">
        <v>2022</v>
      </c>
      <c r="F36" s="81">
        <v>2023</v>
      </c>
      <c r="G36" s="81">
        <v>2024</v>
      </c>
      <c r="H36" s="81">
        <v>2025</v>
      </c>
      <c r="I36" s="81">
        <v>2026</v>
      </c>
      <c r="J36" s="81">
        <v>2027</v>
      </c>
      <c r="K36" s="81">
        <v>2028</v>
      </c>
      <c r="L36" s="81">
        <v>2029</v>
      </c>
      <c r="M36" s="81">
        <v>2030</v>
      </c>
      <c r="N36" s="81">
        <v>2031</v>
      </c>
      <c r="O36" s="81">
        <v>2032</v>
      </c>
      <c r="P36" s="81">
        <v>2033</v>
      </c>
      <c r="Q36" s="81">
        <v>2034</v>
      </c>
      <c r="R36" s="81">
        <v>2035</v>
      </c>
      <c r="S36" s="81">
        <v>2036</v>
      </c>
      <c r="T36" s="81">
        <v>2037</v>
      </c>
      <c r="U36" s="81">
        <v>2038</v>
      </c>
      <c r="V36" s="81">
        <v>2039</v>
      </c>
      <c r="W36" s="81">
        <v>2040</v>
      </c>
      <c r="X36" s="81">
        <v>2041</v>
      </c>
      <c r="Y36" s="81">
        <v>2042</v>
      </c>
      <c r="Z36" s="81">
        <v>2043</v>
      </c>
      <c r="AA36" s="81">
        <v>2044</v>
      </c>
      <c r="AB36" s="81">
        <v>2045</v>
      </c>
      <c r="AC36" s="81">
        <v>2046</v>
      </c>
      <c r="AD36" s="81">
        <v>2047</v>
      </c>
      <c r="AE36" s="81">
        <v>2048</v>
      </c>
      <c r="AF36" s="81">
        <v>2049</v>
      </c>
      <c r="AG36" s="81">
        <v>2050</v>
      </c>
    </row>
    <row r="37" spans="1:37" x14ac:dyDescent="0.25">
      <c r="A37" s="81" t="s">
        <v>531</v>
      </c>
      <c r="C37" s="85">
        <v>0</v>
      </c>
      <c r="D37" s="85">
        <v>0</v>
      </c>
      <c r="E37" s="85">
        <v>0</v>
      </c>
      <c r="F37" s="85">
        <v>1</v>
      </c>
      <c r="G37" s="85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5">
        <v>1</v>
      </c>
      <c r="AF37" s="85">
        <v>1</v>
      </c>
      <c r="AG37" s="85">
        <v>1</v>
      </c>
      <c r="AH37" s="85"/>
      <c r="AI37" s="85"/>
      <c r="AJ37" s="85"/>
      <c r="AK37" s="85"/>
    </row>
    <row r="38" spans="1:37" x14ac:dyDescent="0.25">
      <c r="A38" s="81" t="s">
        <v>532</v>
      </c>
      <c r="C38" s="85">
        <v>0</v>
      </c>
      <c r="D38" s="85">
        <v>0</v>
      </c>
      <c r="E38" s="85">
        <v>0</v>
      </c>
      <c r="F38" s="85">
        <v>1</v>
      </c>
      <c r="G38" s="85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5">
        <v>1</v>
      </c>
      <c r="AF38" s="85">
        <v>1</v>
      </c>
      <c r="AG38" s="85">
        <v>1</v>
      </c>
      <c r="AH38" s="85"/>
      <c r="AI38" s="85"/>
      <c r="AJ38" s="85"/>
      <c r="AK38" s="85"/>
    </row>
    <row r="39" spans="1:37" x14ac:dyDescent="0.25">
      <c r="A39" s="81" t="s">
        <v>533</v>
      </c>
      <c r="C39" s="85">
        <v>0</v>
      </c>
      <c r="D39" s="85">
        <v>0</v>
      </c>
      <c r="E39" s="85">
        <v>0</v>
      </c>
      <c r="F39" s="85">
        <v>1</v>
      </c>
      <c r="G39" s="85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5">
        <v>1</v>
      </c>
      <c r="AF39" s="85">
        <v>1</v>
      </c>
      <c r="AG39" s="85">
        <v>1</v>
      </c>
      <c r="AH39" s="85"/>
      <c r="AI39" s="85"/>
      <c r="AJ39" s="85"/>
      <c r="AK39" s="85"/>
    </row>
    <row r="41" spans="1:37" x14ac:dyDescent="0.25">
      <c r="A41" s="81" t="s">
        <v>538</v>
      </c>
      <c r="C41" s="81">
        <v>2020</v>
      </c>
      <c r="D41" s="81">
        <v>2021</v>
      </c>
      <c r="E41" s="81">
        <v>2022</v>
      </c>
      <c r="F41" s="81">
        <v>2023</v>
      </c>
      <c r="G41" s="81">
        <v>2024</v>
      </c>
      <c r="H41" s="81">
        <v>2025</v>
      </c>
      <c r="I41" s="81">
        <v>2026</v>
      </c>
      <c r="J41" s="81">
        <v>2027</v>
      </c>
      <c r="K41" s="81">
        <v>2028</v>
      </c>
      <c r="L41" s="81">
        <v>2029</v>
      </c>
      <c r="M41" s="81">
        <v>2030</v>
      </c>
      <c r="N41" s="81">
        <v>2031</v>
      </c>
      <c r="O41" s="81">
        <v>2032</v>
      </c>
      <c r="P41" s="81">
        <v>2033</v>
      </c>
      <c r="Q41" s="81">
        <v>2034</v>
      </c>
      <c r="R41" s="81">
        <v>2035</v>
      </c>
      <c r="S41" s="81">
        <v>2036</v>
      </c>
      <c r="T41" s="81">
        <v>2037</v>
      </c>
      <c r="U41" s="81">
        <v>2038</v>
      </c>
      <c r="V41" s="81">
        <v>2039</v>
      </c>
      <c r="W41" s="81">
        <v>2040</v>
      </c>
      <c r="X41" s="81">
        <v>2041</v>
      </c>
      <c r="Y41" s="81">
        <v>2042</v>
      </c>
      <c r="Z41" s="81">
        <v>2043</v>
      </c>
      <c r="AA41" s="81">
        <v>2044</v>
      </c>
      <c r="AB41" s="81">
        <v>2045</v>
      </c>
      <c r="AC41" s="81">
        <v>2046</v>
      </c>
      <c r="AD41" s="81">
        <v>2047</v>
      </c>
      <c r="AE41" s="81">
        <v>2048</v>
      </c>
      <c r="AF41" s="81">
        <v>2049</v>
      </c>
      <c r="AG41" s="81">
        <v>2050</v>
      </c>
    </row>
    <row r="42" spans="1:37" x14ac:dyDescent="0.25">
      <c r="A42" s="81" t="s">
        <v>531</v>
      </c>
      <c r="C42" s="91">
        <f>C37*$D32</f>
        <v>0</v>
      </c>
      <c r="D42" s="91">
        <f t="shared" ref="D42:AG44" si="0">D37*$D32</f>
        <v>0</v>
      </c>
      <c r="E42" s="91">
        <f t="shared" si="0"/>
        <v>0</v>
      </c>
      <c r="F42" s="91">
        <f t="shared" si="0"/>
        <v>40900</v>
      </c>
      <c r="G42" s="91">
        <f t="shared" si="0"/>
        <v>40900</v>
      </c>
      <c r="H42" s="91">
        <f t="shared" si="0"/>
        <v>40900</v>
      </c>
      <c r="I42" s="91">
        <f t="shared" si="0"/>
        <v>40900</v>
      </c>
      <c r="J42" s="91">
        <f t="shared" si="0"/>
        <v>40900</v>
      </c>
      <c r="K42" s="91">
        <f t="shared" si="0"/>
        <v>40900</v>
      </c>
      <c r="L42" s="91">
        <f t="shared" si="0"/>
        <v>40900</v>
      </c>
      <c r="M42" s="91">
        <f t="shared" si="0"/>
        <v>40900</v>
      </c>
      <c r="N42" s="91">
        <f t="shared" si="0"/>
        <v>40900</v>
      </c>
      <c r="O42" s="91">
        <f t="shared" si="0"/>
        <v>40900</v>
      </c>
      <c r="P42" s="91">
        <f t="shared" si="0"/>
        <v>40900</v>
      </c>
      <c r="Q42" s="91">
        <f t="shared" si="0"/>
        <v>40900</v>
      </c>
      <c r="R42" s="91">
        <f t="shared" si="0"/>
        <v>40900</v>
      </c>
      <c r="S42" s="91">
        <f t="shared" si="0"/>
        <v>40900</v>
      </c>
      <c r="T42" s="91">
        <f t="shared" si="0"/>
        <v>40900</v>
      </c>
      <c r="U42" s="91">
        <f t="shared" si="0"/>
        <v>40900</v>
      </c>
      <c r="V42" s="91">
        <f t="shared" si="0"/>
        <v>40900</v>
      </c>
      <c r="W42" s="91">
        <f t="shared" si="0"/>
        <v>40900</v>
      </c>
      <c r="X42" s="91">
        <f t="shared" si="0"/>
        <v>40900</v>
      </c>
      <c r="Y42" s="91">
        <f t="shared" si="0"/>
        <v>40900</v>
      </c>
      <c r="Z42" s="91">
        <f t="shared" si="0"/>
        <v>40900</v>
      </c>
      <c r="AA42" s="91">
        <f t="shared" si="0"/>
        <v>40900</v>
      </c>
      <c r="AB42" s="91">
        <f t="shared" si="0"/>
        <v>40900</v>
      </c>
      <c r="AC42" s="91">
        <f t="shared" si="0"/>
        <v>40900</v>
      </c>
      <c r="AD42" s="91">
        <f t="shared" si="0"/>
        <v>40900</v>
      </c>
      <c r="AE42" s="91">
        <f t="shared" si="0"/>
        <v>40900</v>
      </c>
      <c r="AF42" s="91">
        <f t="shared" si="0"/>
        <v>40900</v>
      </c>
      <c r="AG42" s="91">
        <f t="shared" si="0"/>
        <v>40900</v>
      </c>
      <c r="AH42" s="86"/>
      <c r="AI42" s="86"/>
      <c r="AJ42" s="86"/>
      <c r="AK42" s="86"/>
    </row>
    <row r="43" spans="1:37" x14ac:dyDescent="0.25">
      <c r="A43" s="81" t="s">
        <v>532</v>
      </c>
      <c r="C43" s="91">
        <f t="shared" ref="C43:O44" si="1">C38*$D33</f>
        <v>0</v>
      </c>
      <c r="D43" s="91">
        <f t="shared" si="1"/>
        <v>0</v>
      </c>
      <c r="E43" s="91">
        <f t="shared" si="1"/>
        <v>0</v>
      </c>
      <c r="F43" s="91">
        <f t="shared" si="1"/>
        <v>12300</v>
      </c>
      <c r="G43" s="91">
        <f t="shared" si="1"/>
        <v>12300</v>
      </c>
      <c r="H43" s="91">
        <f t="shared" si="1"/>
        <v>12300</v>
      </c>
      <c r="I43" s="91">
        <f t="shared" si="1"/>
        <v>12300</v>
      </c>
      <c r="J43" s="91">
        <f t="shared" si="1"/>
        <v>12300</v>
      </c>
      <c r="K43" s="91">
        <f t="shared" si="1"/>
        <v>12300</v>
      </c>
      <c r="L43" s="91">
        <f t="shared" si="1"/>
        <v>12300</v>
      </c>
      <c r="M43" s="91">
        <f t="shared" si="1"/>
        <v>12300</v>
      </c>
      <c r="N43" s="91">
        <f t="shared" si="1"/>
        <v>12300</v>
      </c>
      <c r="O43" s="91">
        <f t="shared" si="0"/>
        <v>12300</v>
      </c>
      <c r="P43" s="91">
        <f t="shared" si="0"/>
        <v>12300</v>
      </c>
      <c r="Q43" s="91">
        <f t="shared" si="0"/>
        <v>12300</v>
      </c>
      <c r="R43" s="91">
        <f t="shared" si="0"/>
        <v>12300</v>
      </c>
      <c r="S43" s="91">
        <f t="shared" si="0"/>
        <v>12300</v>
      </c>
      <c r="T43" s="91">
        <f t="shared" si="0"/>
        <v>12300</v>
      </c>
      <c r="U43" s="91">
        <f t="shared" si="0"/>
        <v>12300</v>
      </c>
      <c r="V43" s="91">
        <f t="shared" si="0"/>
        <v>12300</v>
      </c>
      <c r="W43" s="91">
        <f t="shared" si="0"/>
        <v>12300</v>
      </c>
      <c r="X43" s="91">
        <f t="shared" si="0"/>
        <v>12300</v>
      </c>
      <c r="Y43" s="91">
        <f t="shared" si="0"/>
        <v>12300</v>
      </c>
      <c r="Z43" s="91">
        <f t="shared" si="0"/>
        <v>12300</v>
      </c>
      <c r="AA43" s="91">
        <f t="shared" si="0"/>
        <v>12300</v>
      </c>
      <c r="AB43" s="91">
        <f t="shared" si="0"/>
        <v>12300</v>
      </c>
      <c r="AC43" s="91">
        <f t="shared" si="0"/>
        <v>12300</v>
      </c>
      <c r="AD43" s="91">
        <f t="shared" si="0"/>
        <v>12300</v>
      </c>
      <c r="AE43" s="91">
        <f t="shared" si="0"/>
        <v>12300</v>
      </c>
      <c r="AF43" s="91">
        <f t="shared" si="0"/>
        <v>12300</v>
      </c>
      <c r="AG43" s="91">
        <f t="shared" si="0"/>
        <v>12300</v>
      </c>
      <c r="AH43" s="86"/>
      <c r="AI43" s="86"/>
      <c r="AJ43" s="86"/>
      <c r="AK43" s="86"/>
    </row>
    <row r="44" spans="1:37" x14ac:dyDescent="0.25">
      <c r="A44" s="81" t="s">
        <v>533</v>
      </c>
      <c r="C44" s="91">
        <f t="shared" si="1"/>
        <v>0</v>
      </c>
      <c r="D44" s="91">
        <f t="shared" si="1"/>
        <v>0</v>
      </c>
      <c r="E44" s="91">
        <f t="shared" si="1"/>
        <v>0</v>
      </c>
      <c r="F44" s="91">
        <f t="shared" si="1"/>
        <v>40000</v>
      </c>
      <c r="G44" s="91">
        <f t="shared" si="1"/>
        <v>40000</v>
      </c>
      <c r="H44" s="91">
        <f t="shared" si="1"/>
        <v>40000</v>
      </c>
      <c r="I44" s="91">
        <f t="shared" si="1"/>
        <v>40000</v>
      </c>
      <c r="J44" s="91">
        <f t="shared" si="1"/>
        <v>40000</v>
      </c>
      <c r="K44" s="91">
        <f t="shared" si="1"/>
        <v>40000</v>
      </c>
      <c r="L44" s="91">
        <f t="shared" si="1"/>
        <v>40000</v>
      </c>
      <c r="M44" s="91">
        <f t="shared" si="1"/>
        <v>40000</v>
      </c>
      <c r="N44" s="91">
        <f t="shared" si="1"/>
        <v>40000</v>
      </c>
      <c r="O44" s="91">
        <f t="shared" si="0"/>
        <v>40000</v>
      </c>
      <c r="P44" s="91">
        <f t="shared" si="0"/>
        <v>40000</v>
      </c>
      <c r="Q44" s="91">
        <f t="shared" si="0"/>
        <v>40000</v>
      </c>
      <c r="R44" s="91">
        <f t="shared" si="0"/>
        <v>40000</v>
      </c>
      <c r="S44" s="91">
        <f t="shared" si="0"/>
        <v>40000</v>
      </c>
      <c r="T44" s="91">
        <f t="shared" si="0"/>
        <v>40000</v>
      </c>
      <c r="U44" s="91">
        <f t="shared" si="0"/>
        <v>40000</v>
      </c>
      <c r="V44" s="91">
        <f t="shared" si="0"/>
        <v>40000</v>
      </c>
      <c r="W44" s="91">
        <f t="shared" si="0"/>
        <v>40000</v>
      </c>
      <c r="X44" s="91">
        <f t="shared" si="0"/>
        <v>40000</v>
      </c>
      <c r="Y44" s="91">
        <f t="shared" si="0"/>
        <v>40000</v>
      </c>
      <c r="Z44" s="91">
        <f t="shared" si="0"/>
        <v>40000</v>
      </c>
      <c r="AA44" s="91">
        <f t="shared" si="0"/>
        <v>40000</v>
      </c>
      <c r="AB44" s="91">
        <f t="shared" si="0"/>
        <v>40000</v>
      </c>
      <c r="AC44" s="91">
        <f t="shared" si="0"/>
        <v>40000</v>
      </c>
      <c r="AD44" s="91">
        <f t="shared" si="0"/>
        <v>40000</v>
      </c>
      <c r="AE44" s="91">
        <f t="shared" si="0"/>
        <v>40000</v>
      </c>
      <c r="AF44" s="91">
        <f t="shared" si="0"/>
        <v>40000</v>
      </c>
      <c r="AG44" s="91">
        <f t="shared" si="0"/>
        <v>40000</v>
      </c>
      <c r="AH44" s="86"/>
      <c r="AI44" s="86"/>
      <c r="AJ44" s="86"/>
      <c r="AK44" s="86"/>
    </row>
    <row r="45" spans="1:37" s="87" customFormat="1" x14ac:dyDescent="0.25"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</row>
    <row r="46" spans="1:37" s="87" customFormat="1" x14ac:dyDescent="0.25">
      <c r="A46" s="81" t="s">
        <v>538</v>
      </c>
      <c r="B46" s="81"/>
      <c r="C46" s="81">
        <v>2020</v>
      </c>
      <c r="D46" s="81">
        <v>2021</v>
      </c>
      <c r="E46" s="81">
        <v>2022</v>
      </c>
      <c r="F46" s="81">
        <v>2023</v>
      </c>
      <c r="G46" s="81">
        <v>2024</v>
      </c>
      <c r="H46" s="81">
        <v>2025</v>
      </c>
      <c r="I46" s="81">
        <v>2026</v>
      </c>
      <c r="J46" s="81">
        <v>2027</v>
      </c>
      <c r="K46" s="81">
        <v>2028</v>
      </c>
      <c r="L46" s="81">
        <v>2029</v>
      </c>
      <c r="M46" s="81">
        <v>2030</v>
      </c>
      <c r="N46" s="81">
        <v>2031</v>
      </c>
      <c r="O46" s="81">
        <v>2032</v>
      </c>
      <c r="P46" s="81">
        <v>2033</v>
      </c>
      <c r="Q46" s="81">
        <v>2034</v>
      </c>
      <c r="R46" s="81">
        <v>2035</v>
      </c>
      <c r="S46" s="81">
        <v>2036</v>
      </c>
      <c r="T46" s="81">
        <v>2037</v>
      </c>
      <c r="U46" s="81">
        <v>2038</v>
      </c>
      <c r="V46" s="81">
        <v>2039</v>
      </c>
      <c r="W46" s="81">
        <v>2040</v>
      </c>
      <c r="X46" s="81">
        <v>2041</v>
      </c>
      <c r="Y46" s="81">
        <v>2042</v>
      </c>
      <c r="Z46" s="81">
        <v>2043</v>
      </c>
      <c r="AA46" s="81">
        <v>2044</v>
      </c>
      <c r="AB46" s="81">
        <v>2045</v>
      </c>
      <c r="AC46" s="81">
        <v>2046</v>
      </c>
      <c r="AD46" s="81">
        <v>2047</v>
      </c>
      <c r="AE46" s="81">
        <v>2048</v>
      </c>
      <c r="AF46" s="81">
        <v>2049</v>
      </c>
      <c r="AG46" s="81">
        <v>2050</v>
      </c>
      <c r="AH46" s="92"/>
      <c r="AI46" s="92"/>
      <c r="AJ46" s="92"/>
      <c r="AK46" s="92"/>
    </row>
    <row r="47" spans="1:37" s="87" customFormat="1" x14ac:dyDescent="0.25">
      <c r="A47" s="80" t="s">
        <v>531</v>
      </c>
      <c r="B47" s="81"/>
      <c r="C47" s="93">
        <f>C42/C54</f>
        <v>0</v>
      </c>
      <c r="D47" s="93">
        <f t="shared" ref="D47:AG47" si="2">D42/D54</f>
        <v>0</v>
      </c>
      <c r="E47" s="93">
        <f t="shared" si="2"/>
        <v>0</v>
      </c>
      <c r="F47" s="93">
        <f t="shared" si="2"/>
        <v>9.0159294058171163E-2</v>
      </c>
      <c r="G47" s="93">
        <f t="shared" si="2"/>
        <v>9.2678021765235166E-2</v>
      </c>
      <c r="H47" s="93">
        <f t="shared" si="2"/>
        <v>9.4752746612066438E-2</v>
      </c>
      <c r="I47" s="93">
        <f t="shared" si="2"/>
        <v>9.6349242094078316E-2</v>
      </c>
      <c r="J47" s="93">
        <f t="shared" si="2"/>
        <v>9.7745355595144703E-2</v>
      </c>
      <c r="K47" s="93">
        <f t="shared" si="2"/>
        <v>9.9000153434660135E-2</v>
      </c>
      <c r="L47" s="93">
        <f t="shared" si="2"/>
        <v>0.10010492661102421</v>
      </c>
      <c r="M47" s="93">
        <f t="shared" si="2"/>
        <v>0.10108903588979716</v>
      </c>
      <c r="N47" s="93">
        <f t="shared" si="2"/>
        <v>0.10197372610918201</v>
      </c>
      <c r="O47" s="93">
        <f t="shared" si="2"/>
        <v>0.10277040054880605</v>
      </c>
      <c r="P47" s="93">
        <f t="shared" si="2"/>
        <v>0.10347857363182332</v>
      </c>
      <c r="Q47" s="93">
        <f t="shared" si="2"/>
        <v>0.10409875681215891</v>
      </c>
      <c r="R47" s="93">
        <f t="shared" si="2"/>
        <v>0.10464417988246398</v>
      </c>
      <c r="S47" s="93">
        <f t="shared" si="2"/>
        <v>0.10512564080327914</v>
      </c>
      <c r="T47" s="93">
        <f t="shared" si="2"/>
        <v>0.10555976875277005</v>
      </c>
      <c r="U47" s="93">
        <f t="shared" si="2"/>
        <v>0.10594332605809353</v>
      </c>
      <c r="V47" s="93">
        <f t="shared" si="2"/>
        <v>0.10628511917822471</v>
      </c>
      <c r="W47" s="93">
        <f t="shared" si="2"/>
        <v>0.10659373271769716</v>
      </c>
      <c r="X47" s="93">
        <f t="shared" si="2"/>
        <v>0.10687548538443388</v>
      </c>
      <c r="Y47" s="93">
        <f t="shared" si="2"/>
        <v>0.10712788317190695</v>
      </c>
      <c r="Z47" s="93">
        <f t="shared" si="2"/>
        <v>0.10735597141375511</v>
      </c>
      <c r="AA47" s="93">
        <f t="shared" si="2"/>
        <v>0.10756309397737918</v>
      </c>
      <c r="AB47" s="93">
        <f t="shared" si="2"/>
        <v>0.10775199843241445</v>
      </c>
      <c r="AC47" s="93">
        <f t="shared" si="2"/>
        <v>0.10792505333745069</v>
      </c>
      <c r="AD47" s="93">
        <f t="shared" si="2"/>
        <v>0.10808387122297305</v>
      </c>
      <c r="AE47" s="93">
        <f t="shared" si="2"/>
        <v>0.10823054054455124</v>
      </c>
      <c r="AF47" s="93">
        <f t="shared" si="2"/>
        <v>0.10836653622563859</v>
      </c>
      <c r="AG47" s="93">
        <f t="shared" si="2"/>
        <v>0.10849303173687323</v>
      </c>
      <c r="AH47" s="92"/>
      <c r="AI47" s="92"/>
      <c r="AJ47" s="92"/>
      <c r="AK47" s="92"/>
    </row>
    <row r="48" spans="1:37" s="87" customFormat="1" x14ac:dyDescent="0.25">
      <c r="A48" s="81" t="s">
        <v>532</v>
      </c>
      <c r="B48" s="81"/>
      <c r="C48" s="93">
        <f>C43/C63</f>
        <v>0</v>
      </c>
      <c r="D48" s="93">
        <f t="shared" ref="D48:AG48" si="3">D43/D63</f>
        <v>0</v>
      </c>
      <c r="E48" s="93">
        <f t="shared" si="3"/>
        <v>0</v>
      </c>
      <c r="F48" s="93">
        <f t="shared" si="3"/>
        <v>0.23093870088662352</v>
      </c>
      <c r="G48" s="93">
        <f t="shared" si="3"/>
        <v>0.23630582269830011</v>
      </c>
      <c r="H48" s="93">
        <f t="shared" si="3"/>
        <v>0.24069013011926257</v>
      </c>
      <c r="I48" s="93">
        <f t="shared" si="3"/>
        <v>0.24404152767597245</v>
      </c>
      <c r="J48" s="93">
        <f t="shared" si="3"/>
        <v>0.2469565163195071</v>
      </c>
      <c r="K48" s="93">
        <f t="shared" si="3"/>
        <v>0.24956399357731238</v>
      </c>
      <c r="L48" s="93">
        <f t="shared" si="3"/>
        <v>0.25185002436182308</v>
      </c>
      <c r="M48" s="93">
        <f t="shared" si="3"/>
        <v>0.25387877448681573</v>
      </c>
      <c r="N48" s="93">
        <f t="shared" si="3"/>
        <v>0.2556964920124376</v>
      </c>
      <c r="O48" s="93">
        <f>O43/O63</f>
        <v>0.2573284669951813</v>
      </c>
      <c r="P48" s="93">
        <f t="shared" si="3"/>
        <v>0.25877526491625846</v>
      </c>
      <c r="Q48" s="93">
        <f t="shared" si="3"/>
        <v>0.26003930870944397</v>
      </c>
      <c r="R48" s="93">
        <f t="shared" si="3"/>
        <v>0.26114867780932299</v>
      </c>
      <c r="S48" s="93">
        <f t="shared" si="3"/>
        <v>0.26212616677591971</v>
      </c>
      <c r="T48" s="93">
        <f t="shared" si="3"/>
        <v>0.26300612742759993</v>
      </c>
      <c r="U48" s="93">
        <f t="shared" si="3"/>
        <v>0.26378245739440009</v>
      </c>
      <c r="V48" s="93">
        <f t="shared" si="3"/>
        <v>0.26447336735343596</v>
      </c>
      <c r="W48" s="93">
        <f t="shared" si="3"/>
        <v>0.2650964893910811</v>
      </c>
      <c r="X48" s="93">
        <f t="shared" si="3"/>
        <v>0.26566478274440053</v>
      </c>
      <c r="Y48" s="93">
        <f t="shared" si="3"/>
        <v>0.26617338687904968</v>
      </c>
      <c r="Z48" s="93">
        <f t="shared" si="3"/>
        <v>0.26663261494207113</v>
      </c>
      <c r="AA48" s="93">
        <f t="shared" si="3"/>
        <v>0.26704931062664339</v>
      </c>
      <c r="AB48" s="93">
        <f t="shared" si="3"/>
        <v>0.2674290888297044</v>
      </c>
      <c r="AC48" s="93">
        <f t="shared" si="3"/>
        <v>0.2677767804442916</v>
      </c>
      <c r="AD48" s="93">
        <f t="shared" si="3"/>
        <v>0.26809568103834225</v>
      </c>
      <c r="AE48" s="93">
        <f t="shared" si="3"/>
        <v>0.2683900290510472</v>
      </c>
      <c r="AF48" s="93">
        <f t="shared" si="3"/>
        <v>0.26866282027371791</v>
      </c>
      <c r="AG48" s="93">
        <f t="shared" si="3"/>
        <v>0.26891643784844999</v>
      </c>
      <c r="AH48" s="92"/>
      <c r="AI48" s="92"/>
      <c r="AJ48" s="92"/>
      <c r="AK48" s="92"/>
    </row>
    <row r="49" spans="1:37" s="87" customFormat="1" x14ac:dyDescent="0.25">
      <c r="A49" s="81" t="s">
        <v>533</v>
      </c>
      <c r="B49" s="81"/>
      <c r="C49" s="93">
        <f>C44/C72</f>
        <v>0</v>
      </c>
      <c r="D49" s="93">
        <f t="shared" ref="D49:AG49" si="4">D44/D72</f>
        <v>0</v>
      </c>
      <c r="E49" s="93">
        <f t="shared" si="4"/>
        <v>0</v>
      </c>
      <c r="F49" s="93">
        <f t="shared" si="4"/>
        <v>0.26599520588780867</v>
      </c>
      <c r="G49" s="93">
        <f t="shared" si="4"/>
        <v>0.2762558521222776</v>
      </c>
      <c r="H49" s="93">
        <f t="shared" si="4"/>
        <v>0.28486863548546104</v>
      </c>
      <c r="I49" s="93">
        <f t="shared" si="4"/>
        <v>0.2915976536403031</v>
      </c>
      <c r="J49" s="93">
        <f t="shared" si="4"/>
        <v>0.29755598237933573</v>
      </c>
      <c r="K49" s="93">
        <f t="shared" si="4"/>
        <v>0.30297109004170225</v>
      </c>
      <c r="L49" s="93">
        <f t="shared" si="4"/>
        <v>0.30778644084273071</v>
      </c>
      <c r="M49" s="93">
        <f t="shared" si="4"/>
        <v>0.3121139898605203</v>
      </c>
      <c r="N49" s="93">
        <f t="shared" si="4"/>
        <v>0.31603540949853692</v>
      </c>
      <c r="O49" s="93">
        <f t="shared" si="4"/>
        <v>0.31959214726643076</v>
      </c>
      <c r="P49" s="93">
        <f t="shared" si="4"/>
        <v>0.32277422907818787</v>
      </c>
      <c r="Q49" s="93">
        <f t="shared" si="4"/>
        <v>0.32557689864547612</v>
      </c>
      <c r="R49" s="93">
        <f t="shared" si="4"/>
        <v>0.32805413495205626</v>
      </c>
      <c r="S49" s="93">
        <f t="shared" si="4"/>
        <v>0.33025058777220301</v>
      </c>
      <c r="T49" s="93">
        <f t="shared" si="4"/>
        <v>0.33223897191240875</v>
      </c>
      <c r="U49" s="93">
        <f t="shared" si="4"/>
        <v>0.3340019758889099</v>
      </c>
      <c r="V49" s="93">
        <f t="shared" si="4"/>
        <v>0.33557797216562918</v>
      </c>
      <c r="W49" s="93">
        <f t="shared" si="4"/>
        <v>0.33700501202068228</v>
      </c>
      <c r="X49" s="93">
        <f t="shared" si="4"/>
        <v>0.33831120233549761</v>
      </c>
      <c r="Y49" s="93">
        <f t="shared" si="4"/>
        <v>0.33948403515544234</v>
      </c>
      <c r="Z49" s="93">
        <f t="shared" si="4"/>
        <v>0.34054613399530093</v>
      </c>
      <c r="AA49" s="93">
        <f t="shared" si="4"/>
        <v>0.34151244263593483</v>
      </c>
      <c r="AB49" s="93">
        <f t="shared" si="4"/>
        <v>0.34239528536459996</v>
      </c>
      <c r="AC49" s="93">
        <f t="shared" si="4"/>
        <v>0.34320533862597524</v>
      </c>
      <c r="AD49" s="93">
        <f t="shared" si="4"/>
        <v>0.34394983200362517</v>
      </c>
      <c r="AE49" s="93">
        <f t="shared" si="4"/>
        <v>0.3446382982604993</v>
      </c>
      <c r="AF49" s="93">
        <f t="shared" si="4"/>
        <v>0.34527745491096146</v>
      </c>
      <c r="AG49" s="93">
        <f t="shared" si="4"/>
        <v>0.34587264812953394</v>
      </c>
      <c r="AH49" s="92"/>
      <c r="AI49" s="92"/>
      <c r="AJ49" s="92"/>
      <c r="AK49" s="92"/>
    </row>
    <row r="50" spans="1:37" s="87" customFormat="1" x14ac:dyDescent="0.25"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</row>
    <row r="52" spans="1:37" x14ac:dyDescent="0.25">
      <c r="A52" s="80" t="s">
        <v>548</v>
      </c>
    </row>
    <row r="53" spans="1:37" x14ac:dyDescent="0.25">
      <c r="B53" s="81" t="s">
        <v>539</v>
      </c>
      <c r="C53" s="81">
        <v>2019</v>
      </c>
      <c r="D53" s="81">
        <v>2020</v>
      </c>
      <c r="E53" s="81">
        <v>2021</v>
      </c>
      <c r="F53" s="81">
        <v>2022</v>
      </c>
      <c r="G53" s="81">
        <v>2023</v>
      </c>
      <c r="H53" s="81">
        <v>2024</v>
      </c>
      <c r="I53" s="81">
        <v>2025</v>
      </c>
      <c r="J53" s="81">
        <v>2026</v>
      </c>
      <c r="K53" s="81">
        <v>2027</v>
      </c>
      <c r="L53" s="81">
        <v>2028</v>
      </c>
      <c r="M53" s="81">
        <v>2029</v>
      </c>
      <c r="N53" s="81">
        <v>2030</v>
      </c>
      <c r="O53" s="81">
        <v>2031</v>
      </c>
      <c r="P53" s="81">
        <v>2032</v>
      </c>
      <c r="Q53" s="81">
        <v>2033</v>
      </c>
      <c r="R53" s="81">
        <v>2034</v>
      </c>
      <c r="S53" s="81">
        <v>2035</v>
      </c>
      <c r="T53" s="81">
        <v>2036</v>
      </c>
      <c r="U53" s="81">
        <v>2037</v>
      </c>
      <c r="V53" s="81">
        <v>2038</v>
      </c>
      <c r="W53" s="81">
        <v>2039</v>
      </c>
      <c r="X53" s="81">
        <v>2040</v>
      </c>
      <c r="Y53" s="81">
        <v>2041</v>
      </c>
      <c r="Z53" s="81">
        <v>2042</v>
      </c>
      <c r="AA53" s="81">
        <v>2043</v>
      </c>
      <c r="AB53" s="81">
        <v>2044</v>
      </c>
      <c r="AC53" s="81">
        <v>2045</v>
      </c>
      <c r="AD53" s="81">
        <v>2046</v>
      </c>
      <c r="AE53" s="81">
        <v>2047</v>
      </c>
      <c r="AF53" s="81">
        <v>2048</v>
      </c>
      <c r="AG53" s="81">
        <v>2049</v>
      </c>
      <c r="AH53" s="81">
        <v>2050</v>
      </c>
    </row>
    <row r="54" spans="1:37" x14ac:dyDescent="0.25">
      <c r="A54" s="81" t="s">
        <v>547</v>
      </c>
      <c r="B54" s="83" t="s">
        <v>540</v>
      </c>
      <c r="C54" s="83">
        <v>485083.31539200002</v>
      </c>
      <c r="D54" s="83">
        <v>485083.31539200002</v>
      </c>
      <c r="E54" s="83">
        <v>470795.57295388804</v>
      </c>
      <c r="F54" s="83">
        <v>453641.528887872</v>
      </c>
      <c r="G54" s="83">
        <v>441312.82930924802</v>
      </c>
      <c r="H54" s="83">
        <v>431649.75647040003</v>
      </c>
      <c r="I54" s="83">
        <v>424497.37134479999</v>
      </c>
      <c r="J54" s="83">
        <v>418434.20335392002</v>
      </c>
      <c r="K54" s="83">
        <v>413130.67284278403</v>
      </c>
      <c r="L54" s="83">
        <v>408571.29998131201</v>
      </c>
      <c r="M54" s="83">
        <v>404593.82800512004</v>
      </c>
      <c r="N54" s="83">
        <v>401083.70617161598</v>
      </c>
      <c r="O54" s="83">
        <v>397974.51193718403</v>
      </c>
      <c r="P54" s="83">
        <v>395250.90619747201</v>
      </c>
      <c r="Q54" s="83">
        <v>392896.14259084803</v>
      </c>
      <c r="R54" s="83">
        <v>390848.30179699202</v>
      </c>
      <c r="S54" s="83">
        <v>389058.27053683199</v>
      </c>
      <c r="T54" s="83">
        <v>387458.219009472</v>
      </c>
      <c r="U54" s="83">
        <v>386055.464952768</v>
      </c>
      <c r="V54" s="83">
        <v>384813.98258035199</v>
      </c>
      <c r="W54" s="83">
        <v>383699.85699177603</v>
      </c>
      <c r="X54" s="83">
        <v>382688.320458912</v>
      </c>
      <c r="Y54" s="83">
        <v>381786.69071961602</v>
      </c>
      <c r="Z54" s="83">
        <v>380975.54762342398</v>
      </c>
      <c r="AA54" s="83">
        <v>380241.94440336002</v>
      </c>
      <c r="AB54" s="83">
        <v>379575.32662982401</v>
      </c>
      <c r="AC54" s="83">
        <v>378966.68785622402</v>
      </c>
      <c r="AD54" s="83">
        <v>378409.83615052799</v>
      </c>
      <c r="AE54" s="83">
        <v>377897.03159769601</v>
      </c>
      <c r="AF54" s="83">
        <v>377422.785894336</v>
      </c>
      <c r="AG54" s="83">
        <v>376982.73654288001</v>
      </c>
      <c r="AH54" s="83">
        <v>376573.08394867199</v>
      </c>
    </row>
    <row r="55" spans="1:37" x14ac:dyDescent="0.25">
      <c r="A55" s="81" t="s">
        <v>547</v>
      </c>
      <c r="B55" s="81" t="s">
        <v>541</v>
      </c>
      <c r="C55" s="81">
        <v>393020</v>
      </c>
      <c r="D55" s="81">
        <v>393020</v>
      </c>
      <c r="E55" s="81">
        <v>393020</v>
      </c>
      <c r="F55" s="81">
        <v>393020</v>
      </c>
      <c r="G55" s="81">
        <v>393020</v>
      </c>
      <c r="H55" s="81">
        <v>393020</v>
      </c>
      <c r="I55" s="81">
        <v>393020</v>
      </c>
      <c r="J55" s="81">
        <v>393020</v>
      </c>
      <c r="K55" s="81">
        <v>393020</v>
      </c>
      <c r="L55" s="81">
        <v>393020</v>
      </c>
      <c r="M55" s="81">
        <v>393020</v>
      </c>
      <c r="N55" s="81">
        <v>393020</v>
      </c>
      <c r="O55" s="81">
        <v>393020</v>
      </c>
      <c r="P55" s="81">
        <v>393020</v>
      </c>
      <c r="Q55" s="81">
        <v>393020</v>
      </c>
      <c r="R55" s="81">
        <v>393020</v>
      </c>
      <c r="S55" s="81">
        <v>393020</v>
      </c>
      <c r="T55" s="81">
        <v>393020</v>
      </c>
      <c r="U55" s="81">
        <v>393020</v>
      </c>
      <c r="V55" s="81">
        <v>393020</v>
      </c>
      <c r="W55" s="81">
        <v>393020</v>
      </c>
      <c r="X55" s="81">
        <v>393020</v>
      </c>
      <c r="Y55" s="81">
        <v>393020</v>
      </c>
      <c r="Z55" s="81">
        <v>393020</v>
      </c>
      <c r="AA55" s="81">
        <v>393020</v>
      </c>
      <c r="AB55" s="81">
        <v>393020</v>
      </c>
      <c r="AC55" s="81">
        <v>393020</v>
      </c>
      <c r="AD55" s="81">
        <v>393020</v>
      </c>
      <c r="AE55" s="81">
        <v>393020</v>
      </c>
      <c r="AF55" s="81">
        <v>393020</v>
      </c>
      <c r="AG55" s="81">
        <v>393020</v>
      </c>
      <c r="AH55" s="81">
        <v>393020</v>
      </c>
    </row>
    <row r="56" spans="1:37" x14ac:dyDescent="0.25">
      <c r="A56" s="81" t="s">
        <v>547</v>
      </c>
      <c r="B56" s="81" t="s">
        <v>542</v>
      </c>
      <c r="C56" s="81">
        <v>353718</v>
      </c>
      <c r="D56" s="81">
        <v>353718</v>
      </c>
      <c r="E56" s="81">
        <v>353718</v>
      </c>
      <c r="F56" s="81">
        <v>353718</v>
      </c>
      <c r="G56" s="81">
        <v>353718</v>
      </c>
      <c r="H56" s="81">
        <v>353718</v>
      </c>
      <c r="I56" s="81">
        <v>353718</v>
      </c>
      <c r="J56" s="81">
        <v>353718</v>
      </c>
      <c r="K56" s="81">
        <v>353718</v>
      </c>
      <c r="L56" s="81">
        <v>353718</v>
      </c>
      <c r="M56" s="81">
        <v>353718</v>
      </c>
      <c r="N56" s="81">
        <v>353718</v>
      </c>
      <c r="O56" s="81">
        <v>353718</v>
      </c>
      <c r="P56" s="81">
        <v>353718</v>
      </c>
      <c r="Q56" s="81">
        <v>353718</v>
      </c>
      <c r="R56" s="81">
        <v>353718</v>
      </c>
      <c r="S56" s="81">
        <v>353718</v>
      </c>
      <c r="T56" s="81">
        <v>353718</v>
      </c>
      <c r="U56" s="81">
        <v>353718</v>
      </c>
      <c r="V56" s="81">
        <v>353718</v>
      </c>
      <c r="W56" s="81">
        <v>353718</v>
      </c>
      <c r="X56" s="81">
        <v>353718</v>
      </c>
      <c r="Y56" s="81">
        <v>353718</v>
      </c>
      <c r="Z56" s="81">
        <v>353718</v>
      </c>
      <c r="AA56" s="81">
        <v>353718</v>
      </c>
      <c r="AB56" s="81">
        <v>353718</v>
      </c>
      <c r="AC56" s="81">
        <v>353718</v>
      </c>
      <c r="AD56" s="81">
        <v>353718</v>
      </c>
      <c r="AE56" s="81">
        <v>353718</v>
      </c>
      <c r="AF56" s="81">
        <v>353718</v>
      </c>
      <c r="AG56" s="81">
        <v>353718</v>
      </c>
      <c r="AH56" s="81">
        <v>353718</v>
      </c>
    </row>
    <row r="57" spans="1:37" x14ac:dyDescent="0.25">
      <c r="A57" s="81" t="s">
        <v>547</v>
      </c>
      <c r="B57" s="81" t="s">
        <v>543</v>
      </c>
      <c r="C57" s="81">
        <v>393020</v>
      </c>
      <c r="D57" s="81">
        <v>393020</v>
      </c>
      <c r="E57" s="81">
        <v>393020</v>
      </c>
      <c r="F57" s="81">
        <v>393020</v>
      </c>
      <c r="G57" s="81">
        <v>395042</v>
      </c>
      <c r="H57" s="81">
        <v>397064</v>
      </c>
      <c r="I57" s="81">
        <v>399086</v>
      </c>
      <c r="J57" s="81">
        <v>401108</v>
      </c>
      <c r="K57" s="81">
        <v>403770</v>
      </c>
      <c r="L57" s="81">
        <v>403770</v>
      </c>
      <c r="M57" s="81">
        <v>403770</v>
      </c>
      <c r="N57" s="81">
        <v>403770</v>
      </c>
      <c r="O57" s="81">
        <v>403770</v>
      </c>
      <c r="P57" s="81">
        <v>403770</v>
      </c>
      <c r="Q57" s="81">
        <v>403770</v>
      </c>
      <c r="R57" s="81">
        <v>403770</v>
      </c>
      <c r="S57" s="81">
        <v>403770</v>
      </c>
      <c r="T57" s="81">
        <v>403770</v>
      </c>
      <c r="U57" s="81">
        <v>403770</v>
      </c>
      <c r="V57" s="81">
        <v>403770</v>
      </c>
      <c r="W57" s="81">
        <v>403770</v>
      </c>
      <c r="X57" s="81">
        <v>403770</v>
      </c>
      <c r="Y57" s="81">
        <v>403770</v>
      </c>
      <c r="Z57" s="81">
        <v>403770</v>
      </c>
      <c r="AA57" s="81">
        <v>403770</v>
      </c>
      <c r="AB57" s="81">
        <v>403770</v>
      </c>
      <c r="AC57" s="81">
        <v>403770</v>
      </c>
      <c r="AD57" s="81">
        <v>403770</v>
      </c>
      <c r="AE57" s="81">
        <v>403770</v>
      </c>
      <c r="AF57" s="81">
        <v>403770</v>
      </c>
      <c r="AG57" s="81">
        <v>403770</v>
      </c>
      <c r="AH57" s="81">
        <v>403770</v>
      </c>
    </row>
    <row r="58" spans="1:37" x14ac:dyDescent="0.25">
      <c r="A58" s="81" t="s">
        <v>547</v>
      </c>
      <c r="B58" s="81" t="s">
        <v>544</v>
      </c>
      <c r="C58" s="81">
        <v>999999</v>
      </c>
      <c r="D58" s="81">
        <v>999999</v>
      </c>
      <c r="E58" s="81">
        <v>999999</v>
      </c>
      <c r="F58" s="81">
        <v>999999</v>
      </c>
      <c r="G58" s="81">
        <v>999999</v>
      </c>
      <c r="H58" s="81">
        <v>999999</v>
      </c>
      <c r="I58" s="81">
        <v>999999</v>
      </c>
      <c r="J58" s="81">
        <v>999999</v>
      </c>
      <c r="K58" s="81">
        <v>999999</v>
      </c>
      <c r="L58" s="81">
        <v>999999</v>
      </c>
      <c r="M58" s="81">
        <v>999999</v>
      </c>
      <c r="N58" s="81">
        <v>999999</v>
      </c>
      <c r="O58" s="81">
        <v>999999</v>
      </c>
      <c r="P58" s="81">
        <v>999999</v>
      </c>
      <c r="Q58" s="81">
        <v>999999</v>
      </c>
      <c r="R58" s="81">
        <v>999999</v>
      </c>
      <c r="S58" s="81">
        <v>999999</v>
      </c>
      <c r="T58" s="81">
        <v>999999</v>
      </c>
      <c r="U58" s="81">
        <v>999999</v>
      </c>
      <c r="V58" s="81">
        <v>999999</v>
      </c>
      <c r="W58" s="81">
        <v>999999</v>
      </c>
      <c r="X58" s="81">
        <v>999999</v>
      </c>
      <c r="Y58" s="81">
        <v>999999</v>
      </c>
      <c r="Z58" s="81">
        <v>999999</v>
      </c>
      <c r="AA58" s="81">
        <v>999999</v>
      </c>
      <c r="AB58" s="81">
        <v>999999</v>
      </c>
      <c r="AC58" s="81">
        <v>999999</v>
      </c>
      <c r="AD58" s="81">
        <v>999999</v>
      </c>
      <c r="AE58" s="81">
        <v>999999</v>
      </c>
      <c r="AF58" s="81">
        <v>999999</v>
      </c>
      <c r="AG58" s="81">
        <v>999999</v>
      </c>
      <c r="AH58" s="81">
        <v>999999</v>
      </c>
    </row>
    <row r="59" spans="1:37" x14ac:dyDescent="0.25">
      <c r="A59" s="81" t="s">
        <v>547</v>
      </c>
      <c r="B59" s="81" t="s">
        <v>545</v>
      </c>
      <c r="C59" s="81">
        <v>999999</v>
      </c>
      <c r="D59" s="81">
        <v>999999</v>
      </c>
      <c r="E59" s="81">
        <v>999999</v>
      </c>
      <c r="F59" s="81">
        <v>999999</v>
      </c>
      <c r="G59" s="81">
        <v>999999</v>
      </c>
      <c r="H59" s="81">
        <v>999999</v>
      </c>
      <c r="I59" s="81">
        <v>999999</v>
      </c>
      <c r="J59" s="81">
        <v>999999</v>
      </c>
      <c r="K59" s="81">
        <v>999999</v>
      </c>
      <c r="L59" s="81">
        <v>999999</v>
      </c>
      <c r="M59" s="81">
        <v>999999</v>
      </c>
      <c r="N59" s="81">
        <v>999999</v>
      </c>
      <c r="O59" s="81">
        <v>999999</v>
      </c>
      <c r="P59" s="81">
        <v>999999</v>
      </c>
      <c r="Q59" s="81">
        <v>999999</v>
      </c>
      <c r="R59" s="81">
        <v>999999</v>
      </c>
      <c r="S59" s="81">
        <v>999999</v>
      </c>
      <c r="T59" s="81">
        <v>999999</v>
      </c>
      <c r="U59" s="81">
        <v>999999</v>
      </c>
      <c r="V59" s="81">
        <v>999999</v>
      </c>
      <c r="W59" s="81">
        <v>999999</v>
      </c>
      <c r="X59" s="81">
        <v>999999</v>
      </c>
      <c r="Y59" s="81">
        <v>999999</v>
      </c>
      <c r="Z59" s="81">
        <v>999999</v>
      </c>
      <c r="AA59" s="81">
        <v>999999</v>
      </c>
      <c r="AB59" s="81">
        <v>999999</v>
      </c>
      <c r="AC59" s="81">
        <v>999999</v>
      </c>
      <c r="AD59" s="81">
        <v>999999</v>
      </c>
      <c r="AE59" s="81">
        <v>999999</v>
      </c>
      <c r="AF59" s="81">
        <v>999999</v>
      </c>
      <c r="AG59" s="81">
        <v>999999</v>
      </c>
      <c r="AH59" s="81">
        <v>999999</v>
      </c>
    </row>
    <row r="60" spans="1:37" x14ac:dyDescent="0.25">
      <c r="A60" s="81" t="s">
        <v>547</v>
      </c>
      <c r="B60" s="81" t="s">
        <v>546</v>
      </c>
      <c r="C60" s="81">
        <v>623678.54836114298</v>
      </c>
      <c r="D60" s="81">
        <v>623678.54836114298</v>
      </c>
      <c r="E60" s="81">
        <v>584423.43386101827</v>
      </c>
      <c r="F60" s="81">
        <v>551357.32015407702</v>
      </c>
      <c r="G60" s="81">
        <v>528247.68195916875</v>
      </c>
      <c r="H60" s="81">
        <v>510516.59540987568</v>
      </c>
      <c r="I60" s="81">
        <v>497104.11476092576</v>
      </c>
      <c r="J60" s="81">
        <v>485875.76965044241</v>
      </c>
      <c r="K60" s="81">
        <v>476186.818612631</v>
      </c>
      <c r="L60" s="81">
        <v>467851.69139638834</v>
      </c>
      <c r="M60" s="81">
        <v>460568.9146847644</v>
      </c>
      <c r="N60" s="81">
        <v>454126.62051845412</v>
      </c>
      <c r="O60" s="81">
        <v>448610.19476889784</v>
      </c>
      <c r="P60" s="81">
        <v>443129.08335180115</v>
      </c>
      <c r="Q60" s="81">
        <v>438092.47055330058</v>
      </c>
      <c r="R60" s="81">
        <v>433424.94229161303</v>
      </c>
      <c r="S60" s="81">
        <v>429066.71821825748</v>
      </c>
      <c r="T60" s="81">
        <v>424938.6892695463</v>
      </c>
      <c r="U60" s="81">
        <v>421045.3598774377</v>
      </c>
      <c r="V60" s="81">
        <v>417344.04837713821</v>
      </c>
      <c r="W60" s="81">
        <v>413795.22856420348</v>
      </c>
      <c r="X60" s="81">
        <v>410370.01056898286</v>
      </c>
      <c r="Y60" s="81">
        <v>407074.31948543777</v>
      </c>
      <c r="Z60" s="81">
        <v>403885.55608475651</v>
      </c>
      <c r="AA60" s="81">
        <v>400788.41815273621</v>
      </c>
      <c r="AB60" s="81">
        <v>397770.42638365203</v>
      </c>
      <c r="AC60" s="81">
        <v>394820.97173733788</v>
      </c>
      <c r="AD60" s="81">
        <v>391932.58001880866</v>
      </c>
      <c r="AE60" s="81">
        <v>389096.33425373101</v>
      </c>
      <c r="AF60" s="81">
        <v>386305.81092269474</v>
      </c>
      <c r="AG60" s="81">
        <v>383555.86585318128</v>
      </c>
      <c r="AH60" s="81">
        <v>380842.03059917147</v>
      </c>
    </row>
    <row r="62" spans="1:37" x14ac:dyDescent="0.25">
      <c r="B62" s="81" t="s">
        <v>539</v>
      </c>
      <c r="C62" s="81">
        <v>2019</v>
      </c>
      <c r="D62" s="81">
        <v>2020</v>
      </c>
      <c r="E62" s="81">
        <v>2021</v>
      </c>
      <c r="F62" s="81">
        <v>2022</v>
      </c>
      <c r="G62" s="81">
        <v>2023</v>
      </c>
      <c r="H62" s="81">
        <v>2024</v>
      </c>
      <c r="I62" s="81">
        <v>2025</v>
      </c>
      <c r="J62" s="81">
        <v>2026</v>
      </c>
      <c r="K62" s="81">
        <v>2027</v>
      </c>
      <c r="L62" s="81">
        <v>2028</v>
      </c>
      <c r="M62" s="81">
        <v>2029</v>
      </c>
      <c r="N62" s="81">
        <v>2030</v>
      </c>
      <c r="O62" s="81">
        <v>2031</v>
      </c>
      <c r="P62" s="81">
        <v>2032</v>
      </c>
      <c r="Q62" s="81">
        <v>2033</v>
      </c>
      <c r="R62" s="81">
        <v>2034</v>
      </c>
      <c r="S62" s="81">
        <v>2035</v>
      </c>
      <c r="T62" s="81">
        <v>2036</v>
      </c>
      <c r="U62" s="81">
        <v>2037</v>
      </c>
      <c r="V62" s="81">
        <v>2038</v>
      </c>
      <c r="W62" s="81">
        <v>2039</v>
      </c>
      <c r="X62" s="81">
        <v>2040</v>
      </c>
      <c r="Y62" s="81">
        <v>2041</v>
      </c>
      <c r="Z62" s="81">
        <v>2042</v>
      </c>
      <c r="AA62" s="81">
        <v>2043</v>
      </c>
      <c r="AB62" s="81">
        <v>2044</v>
      </c>
      <c r="AC62" s="81">
        <v>2045</v>
      </c>
      <c r="AD62" s="81">
        <v>2046</v>
      </c>
      <c r="AE62" s="81">
        <v>2047</v>
      </c>
      <c r="AF62" s="81">
        <v>2048</v>
      </c>
      <c r="AG62" s="81">
        <v>2049</v>
      </c>
      <c r="AH62" s="81">
        <v>2050</v>
      </c>
    </row>
    <row r="63" spans="1:37" x14ac:dyDescent="0.25">
      <c r="A63" s="81" t="s">
        <v>549</v>
      </c>
      <c r="B63" s="83" t="s">
        <v>540</v>
      </c>
      <c r="C63" s="83">
        <v>57533.449619128398</v>
      </c>
      <c r="D63" s="83">
        <v>57533.449619128398</v>
      </c>
      <c r="E63" s="83">
        <v>54944.043953458269</v>
      </c>
      <c r="F63" s="83">
        <v>53260.886775484774</v>
      </c>
      <c r="G63" s="83">
        <v>52051.19306646895</v>
      </c>
      <c r="H63" s="83">
        <v>51103.051022097658</v>
      </c>
      <c r="I63" s="83">
        <v>50401.258003643525</v>
      </c>
      <c r="J63" s="83">
        <v>49806.339121201891</v>
      </c>
      <c r="K63" s="83">
        <v>49285.955973410826</v>
      </c>
      <c r="L63" s="83">
        <v>48838.589677200398</v>
      </c>
      <c r="M63" s="83">
        <v>48448.319576391987</v>
      </c>
      <c r="N63" s="83">
        <v>48103.905936267998</v>
      </c>
      <c r="O63" s="83">
        <v>47798.831367655599</v>
      </c>
      <c r="P63" s="83">
        <v>47531.590795512733</v>
      </c>
      <c r="Q63" s="83">
        <v>47300.541064518278</v>
      </c>
      <c r="R63" s="83">
        <v>47099.606642392464</v>
      </c>
      <c r="S63" s="83">
        <v>46923.968527395191</v>
      </c>
      <c r="T63" s="83">
        <v>46766.971250074515</v>
      </c>
      <c r="U63" s="83">
        <v>46629.332827881677</v>
      </c>
      <c r="V63" s="83">
        <v>46507.518405672097</v>
      </c>
      <c r="W63" s="83">
        <v>46398.200248719782</v>
      </c>
      <c r="X63" s="83">
        <v>46298.94814411283</v>
      </c>
      <c r="Y63" s="83">
        <v>46210.480109302487</v>
      </c>
      <c r="Z63" s="83">
        <v>46130.890636437369</v>
      </c>
      <c r="AA63" s="83">
        <v>46058.909386949883</v>
      </c>
      <c r="AB63" s="83">
        <v>45993.500758746894</v>
      </c>
      <c r="AC63" s="83">
        <v>45933.781038042238</v>
      </c>
      <c r="AD63" s="83">
        <v>45879.142671607944</v>
      </c>
      <c r="AE63" s="83">
        <v>45828.826217909038</v>
      </c>
      <c r="AF63" s="83">
        <v>45782.293163857088</v>
      </c>
      <c r="AG63" s="83">
        <v>45739.115460586923</v>
      </c>
      <c r="AH63" s="83">
        <v>45698.920291345014</v>
      </c>
    </row>
    <row r="64" spans="1:37" x14ac:dyDescent="0.25">
      <c r="A64" s="81" t="s">
        <v>549</v>
      </c>
      <c r="B64" s="81" t="s">
        <v>541</v>
      </c>
      <c r="C64" s="81">
        <v>52508.216124604602</v>
      </c>
      <c r="D64" s="81">
        <v>52508.216124604602</v>
      </c>
      <c r="E64" s="81">
        <v>52508.216124604602</v>
      </c>
      <c r="F64" s="81">
        <v>52508.216124604602</v>
      </c>
      <c r="G64" s="81">
        <v>53065.107962919996</v>
      </c>
      <c r="H64" s="81">
        <v>53621.999801235383</v>
      </c>
      <c r="I64" s="81">
        <v>54178.891639550777</v>
      </c>
      <c r="J64" s="81">
        <v>54735.783477866171</v>
      </c>
      <c r="K64" s="81">
        <v>55292.675316181558</v>
      </c>
      <c r="L64" s="81">
        <v>55292.675316181558</v>
      </c>
      <c r="M64" s="81">
        <v>55292.675316181558</v>
      </c>
      <c r="N64" s="81">
        <v>55292.675316181558</v>
      </c>
      <c r="O64" s="81">
        <v>55292.675316181558</v>
      </c>
      <c r="P64" s="81">
        <v>55292.675316181558</v>
      </c>
      <c r="Q64" s="81">
        <v>55292.675316181558</v>
      </c>
      <c r="R64" s="81">
        <v>55292.675316181558</v>
      </c>
      <c r="S64" s="81">
        <v>55292.675316181558</v>
      </c>
      <c r="T64" s="81">
        <v>55292.675316181558</v>
      </c>
      <c r="U64" s="81">
        <v>55292.675316181558</v>
      </c>
      <c r="V64" s="81">
        <v>55292.675316181558</v>
      </c>
      <c r="W64" s="81">
        <v>55292.675316181558</v>
      </c>
      <c r="X64" s="81">
        <v>55292.675316181558</v>
      </c>
      <c r="Y64" s="81">
        <v>55292.675316181558</v>
      </c>
      <c r="Z64" s="81">
        <v>55292.675316181558</v>
      </c>
      <c r="AA64" s="81">
        <v>55292.675316181558</v>
      </c>
      <c r="AB64" s="81">
        <v>55292.675316181558</v>
      </c>
      <c r="AC64" s="81">
        <v>55292.675316181558</v>
      </c>
      <c r="AD64" s="81">
        <v>55292.675316181558</v>
      </c>
      <c r="AE64" s="81">
        <v>55292.675316181558</v>
      </c>
      <c r="AF64" s="81">
        <v>55292.675316181558</v>
      </c>
      <c r="AG64" s="81">
        <v>55292.675316181558</v>
      </c>
      <c r="AH64" s="81">
        <v>55292.675316181558</v>
      </c>
    </row>
    <row r="65" spans="1:34" x14ac:dyDescent="0.25">
      <c r="A65" s="81" t="s">
        <v>549</v>
      </c>
      <c r="B65" s="81" t="s">
        <v>542</v>
      </c>
      <c r="C65" s="81">
        <v>47031.583457405504</v>
      </c>
      <c r="D65" s="81">
        <v>47031.583457405504</v>
      </c>
      <c r="E65" s="81">
        <v>47031.583457405504</v>
      </c>
      <c r="F65" s="81">
        <v>47031.583457405504</v>
      </c>
      <c r="G65" s="81">
        <v>47588.475295720898</v>
      </c>
      <c r="H65" s="81">
        <v>48145.367134036285</v>
      </c>
      <c r="I65" s="81">
        <v>48702.258972351679</v>
      </c>
      <c r="J65" s="81">
        <v>49259.150810667074</v>
      </c>
      <c r="K65" s="81">
        <v>49816.04264898246</v>
      </c>
      <c r="L65" s="81">
        <v>49816.04264898246</v>
      </c>
      <c r="M65" s="81">
        <v>49816.04264898246</v>
      </c>
      <c r="N65" s="81">
        <v>49816.04264898246</v>
      </c>
      <c r="O65" s="81">
        <v>49816.04264898246</v>
      </c>
      <c r="P65" s="81">
        <v>49816.04264898246</v>
      </c>
      <c r="Q65" s="81">
        <v>49816.04264898246</v>
      </c>
      <c r="R65" s="81">
        <v>49816.04264898246</v>
      </c>
      <c r="S65" s="81">
        <v>49816.04264898246</v>
      </c>
      <c r="T65" s="81">
        <v>49816.04264898246</v>
      </c>
      <c r="U65" s="81">
        <v>49816.04264898246</v>
      </c>
      <c r="V65" s="81">
        <v>49816.04264898246</v>
      </c>
      <c r="W65" s="81">
        <v>49816.04264898246</v>
      </c>
      <c r="X65" s="81">
        <v>49816.04264898246</v>
      </c>
      <c r="Y65" s="81">
        <v>49816.04264898246</v>
      </c>
      <c r="Z65" s="81">
        <v>49816.04264898246</v>
      </c>
      <c r="AA65" s="81">
        <v>49816.04264898246</v>
      </c>
      <c r="AB65" s="81">
        <v>49816.04264898246</v>
      </c>
      <c r="AC65" s="81">
        <v>49816.04264898246</v>
      </c>
      <c r="AD65" s="81">
        <v>49816.04264898246</v>
      </c>
      <c r="AE65" s="81">
        <v>49816.04264898246</v>
      </c>
      <c r="AF65" s="81">
        <v>49816.04264898246</v>
      </c>
      <c r="AG65" s="81">
        <v>49816.04264898246</v>
      </c>
      <c r="AH65" s="81">
        <v>49816.04264898246</v>
      </c>
    </row>
    <row r="66" spans="1:34" x14ac:dyDescent="0.25">
      <c r="A66" s="81" t="s">
        <v>549</v>
      </c>
      <c r="B66" s="81" t="s">
        <v>543</v>
      </c>
      <c r="C66" s="81">
        <v>52508.216124604602</v>
      </c>
      <c r="D66" s="81">
        <v>52508.216124604602</v>
      </c>
      <c r="E66" s="81">
        <v>52508.216124604602</v>
      </c>
      <c r="F66" s="81">
        <v>52508.216124604602</v>
      </c>
      <c r="G66" s="81">
        <v>53065.107962919996</v>
      </c>
      <c r="H66" s="81">
        <v>53621.999801235383</v>
      </c>
      <c r="I66" s="81">
        <v>54178.891639550777</v>
      </c>
      <c r="J66" s="81">
        <v>54735.783477866171</v>
      </c>
      <c r="K66" s="81">
        <v>55292.675316181558</v>
      </c>
      <c r="L66" s="81">
        <v>55292.675316181558</v>
      </c>
      <c r="M66" s="81">
        <v>55292.675316181558</v>
      </c>
      <c r="N66" s="81">
        <v>55292.675316181558</v>
      </c>
      <c r="O66" s="81">
        <v>55292.675316181558</v>
      </c>
      <c r="P66" s="81">
        <v>55292.675316181558</v>
      </c>
      <c r="Q66" s="81">
        <v>55292.675316181558</v>
      </c>
      <c r="R66" s="81">
        <v>55292.675316181558</v>
      </c>
      <c r="S66" s="81">
        <v>55292.675316181558</v>
      </c>
      <c r="T66" s="81">
        <v>55292.675316181558</v>
      </c>
      <c r="U66" s="81">
        <v>55292.675316181558</v>
      </c>
      <c r="V66" s="81">
        <v>55292.675316181558</v>
      </c>
      <c r="W66" s="81">
        <v>55292.675316181558</v>
      </c>
      <c r="X66" s="81">
        <v>55292.675316181558</v>
      </c>
      <c r="Y66" s="81">
        <v>55292.675316181558</v>
      </c>
      <c r="Z66" s="81">
        <v>55292.675316181558</v>
      </c>
      <c r="AA66" s="81">
        <v>55292.675316181558</v>
      </c>
      <c r="AB66" s="81">
        <v>55292.675316181558</v>
      </c>
      <c r="AC66" s="81">
        <v>55292.675316181558</v>
      </c>
      <c r="AD66" s="81">
        <v>55292.675316181558</v>
      </c>
      <c r="AE66" s="81">
        <v>55292.675316181558</v>
      </c>
      <c r="AF66" s="81">
        <v>55292.675316181558</v>
      </c>
      <c r="AG66" s="81">
        <v>55292.675316181558</v>
      </c>
      <c r="AH66" s="81">
        <v>55292.675316181558</v>
      </c>
    </row>
    <row r="67" spans="1:34" x14ac:dyDescent="0.25">
      <c r="A67" s="81" t="s">
        <v>549</v>
      </c>
      <c r="B67" s="81" t="s">
        <v>544</v>
      </c>
      <c r="C67" s="81">
        <v>999999</v>
      </c>
      <c r="D67" s="81">
        <v>999999</v>
      </c>
      <c r="E67" s="81">
        <v>999999</v>
      </c>
      <c r="F67" s="81">
        <v>999999</v>
      </c>
      <c r="G67" s="81">
        <v>999999</v>
      </c>
      <c r="H67" s="81">
        <v>999999</v>
      </c>
      <c r="I67" s="81">
        <v>999999</v>
      </c>
      <c r="J67" s="81">
        <v>999999</v>
      </c>
      <c r="K67" s="81">
        <v>999999</v>
      </c>
      <c r="L67" s="81">
        <v>999999</v>
      </c>
      <c r="M67" s="81">
        <v>999999</v>
      </c>
      <c r="N67" s="81">
        <v>999999</v>
      </c>
      <c r="O67" s="81">
        <v>999999</v>
      </c>
      <c r="P67" s="81">
        <v>999999</v>
      </c>
      <c r="Q67" s="81">
        <v>999999</v>
      </c>
      <c r="R67" s="81">
        <v>999999</v>
      </c>
      <c r="S67" s="81">
        <v>999999</v>
      </c>
      <c r="T67" s="81">
        <v>999999</v>
      </c>
      <c r="U67" s="81">
        <v>999999</v>
      </c>
      <c r="V67" s="81">
        <v>999999</v>
      </c>
      <c r="W67" s="81">
        <v>999999</v>
      </c>
      <c r="X67" s="81">
        <v>999999</v>
      </c>
      <c r="Y67" s="81">
        <v>999999</v>
      </c>
      <c r="Z67" s="81">
        <v>999999</v>
      </c>
      <c r="AA67" s="81">
        <v>999999</v>
      </c>
      <c r="AB67" s="81">
        <v>999999</v>
      </c>
      <c r="AC67" s="81">
        <v>999999</v>
      </c>
      <c r="AD67" s="81">
        <v>999999</v>
      </c>
      <c r="AE67" s="81">
        <v>999999</v>
      </c>
      <c r="AF67" s="81">
        <v>999999</v>
      </c>
      <c r="AG67" s="81">
        <v>999999</v>
      </c>
      <c r="AH67" s="81">
        <v>999999</v>
      </c>
    </row>
    <row r="68" spans="1:34" x14ac:dyDescent="0.25">
      <c r="A68" s="81" t="s">
        <v>549</v>
      </c>
      <c r="B68" s="81" t="s">
        <v>545</v>
      </c>
      <c r="C68" s="81">
        <v>999999</v>
      </c>
      <c r="D68" s="81">
        <v>999999</v>
      </c>
      <c r="E68" s="81">
        <v>999999</v>
      </c>
      <c r="F68" s="81">
        <v>999999</v>
      </c>
      <c r="G68" s="81">
        <v>999999</v>
      </c>
      <c r="H68" s="81">
        <v>999999</v>
      </c>
      <c r="I68" s="81">
        <v>999999</v>
      </c>
      <c r="J68" s="81">
        <v>999999</v>
      </c>
      <c r="K68" s="81">
        <v>999999</v>
      </c>
      <c r="L68" s="81">
        <v>999999</v>
      </c>
      <c r="M68" s="81">
        <v>999999</v>
      </c>
      <c r="N68" s="81">
        <v>999999</v>
      </c>
      <c r="O68" s="81">
        <v>999999</v>
      </c>
      <c r="P68" s="81">
        <v>999999</v>
      </c>
      <c r="Q68" s="81">
        <v>999999</v>
      </c>
      <c r="R68" s="81">
        <v>999999</v>
      </c>
      <c r="S68" s="81">
        <v>999999</v>
      </c>
      <c r="T68" s="81">
        <v>999999</v>
      </c>
      <c r="U68" s="81">
        <v>999999</v>
      </c>
      <c r="V68" s="81">
        <v>999999</v>
      </c>
      <c r="W68" s="81">
        <v>999999</v>
      </c>
      <c r="X68" s="81">
        <v>999999</v>
      </c>
      <c r="Y68" s="81">
        <v>999999</v>
      </c>
      <c r="Z68" s="81">
        <v>999999</v>
      </c>
      <c r="AA68" s="81">
        <v>999999</v>
      </c>
      <c r="AB68" s="81">
        <v>999999</v>
      </c>
      <c r="AC68" s="81">
        <v>999999</v>
      </c>
      <c r="AD68" s="81">
        <v>999999</v>
      </c>
      <c r="AE68" s="81">
        <v>999999</v>
      </c>
      <c r="AF68" s="81">
        <v>999999</v>
      </c>
      <c r="AG68" s="81">
        <v>999999</v>
      </c>
      <c r="AH68" s="81">
        <v>999999</v>
      </c>
    </row>
    <row r="69" spans="1:34" x14ac:dyDescent="0.25">
      <c r="A69" s="81" t="s">
        <v>549</v>
      </c>
      <c r="B69" s="81" t="s">
        <v>546</v>
      </c>
      <c r="C69" s="81">
        <v>73971.578081736516</v>
      </c>
      <c r="D69" s="81">
        <v>73971.578081736516</v>
      </c>
      <c r="E69" s="81">
        <v>68204.946439961248</v>
      </c>
      <c r="F69" s="81">
        <v>64733.446855169728</v>
      </c>
      <c r="G69" s="81">
        <v>62304.832886024553</v>
      </c>
      <c r="H69" s="81">
        <v>60440.102726311838</v>
      </c>
      <c r="I69" s="81">
        <v>59021.97383075775</v>
      </c>
      <c r="J69" s="81">
        <v>57833.927437132385</v>
      </c>
      <c r="K69" s="81">
        <v>56808.472766658742</v>
      </c>
      <c r="L69" s="81">
        <v>55924.674070199042</v>
      </c>
      <c r="M69" s="81">
        <v>55151.088378236716</v>
      </c>
      <c r="N69" s="81">
        <v>54465.598827462272</v>
      </c>
      <c r="O69" s="81">
        <v>53880.443109769389</v>
      </c>
      <c r="P69" s="81">
        <v>53289.264943380869</v>
      </c>
      <c r="Q69" s="81">
        <v>52741.701042970097</v>
      </c>
      <c r="R69" s="81">
        <v>52230.351768394808</v>
      </c>
      <c r="S69" s="81">
        <v>51749.351463588078</v>
      </c>
      <c r="T69" s="81">
        <v>51290.937936271759</v>
      </c>
      <c r="U69" s="81">
        <v>50855.553161933021</v>
      </c>
      <c r="V69" s="81">
        <v>50439.009209714946</v>
      </c>
      <c r="W69" s="81">
        <v>50037.427762966799</v>
      </c>
      <c r="X69" s="81">
        <v>49647.97414367996</v>
      </c>
      <c r="Y69" s="81">
        <v>49271.229722893964</v>
      </c>
      <c r="Z69" s="81">
        <v>48904.977061149963</v>
      </c>
      <c r="AA69" s="81">
        <v>48547.714703072445</v>
      </c>
      <c r="AB69" s="81">
        <v>48198.218177456503</v>
      </c>
      <c r="AC69" s="81">
        <v>47855.44652381268</v>
      </c>
      <c r="AD69" s="81">
        <v>47518.666373094566</v>
      </c>
      <c r="AE69" s="81">
        <v>47187.002790546409</v>
      </c>
      <c r="AF69" s="81">
        <v>46859.825499554638</v>
      </c>
      <c r="AG69" s="81">
        <v>46536.629753199741</v>
      </c>
      <c r="AH69" s="81">
        <v>46216.977106939863</v>
      </c>
    </row>
    <row r="71" spans="1:34" x14ac:dyDescent="0.25">
      <c r="B71" s="81" t="s">
        <v>539</v>
      </c>
      <c r="C71" s="81">
        <v>2019</v>
      </c>
      <c r="D71" s="81">
        <v>2020</v>
      </c>
      <c r="E71" s="81">
        <v>2021</v>
      </c>
      <c r="F71" s="81">
        <v>2022</v>
      </c>
      <c r="G71" s="81">
        <v>2023</v>
      </c>
      <c r="H71" s="81">
        <v>2024</v>
      </c>
      <c r="I71" s="81">
        <v>2025</v>
      </c>
      <c r="J71" s="81">
        <v>2026</v>
      </c>
      <c r="K71" s="81">
        <v>2027</v>
      </c>
      <c r="L71" s="81">
        <v>2028</v>
      </c>
      <c r="M71" s="81">
        <v>2029</v>
      </c>
      <c r="N71" s="81">
        <v>2030</v>
      </c>
      <c r="O71" s="81">
        <v>2031</v>
      </c>
      <c r="P71" s="81">
        <v>2032</v>
      </c>
      <c r="Q71" s="81">
        <v>2033</v>
      </c>
      <c r="R71" s="81">
        <v>2034</v>
      </c>
      <c r="S71" s="81">
        <v>2035</v>
      </c>
      <c r="T71" s="81">
        <v>2036</v>
      </c>
      <c r="U71" s="81">
        <v>2037</v>
      </c>
      <c r="V71" s="81">
        <v>2038</v>
      </c>
      <c r="W71" s="81">
        <v>2039</v>
      </c>
      <c r="X71" s="81">
        <v>2040</v>
      </c>
      <c r="Y71" s="81">
        <v>2041</v>
      </c>
      <c r="Z71" s="81">
        <v>2042</v>
      </c>
      <c r="AA71" s="81">
        <v>2043</v>
      </c>
      <c r="AB71" s="81">
        <v>2044</v>
      </c>
      <c r="AC71" s="81">
        <v>2045</v>
      </c>
      <c r="AD71" s="81">
        <v>2046</v>
      </c>
      <c r="AE71" s="81">
        <v>2047</v>
      </c>
      <c r="AF71" s="81">
        <v>2048</v>
      </c>
      <c r="AG71" s="81">
        <v>2049</v>
      </c>
      <c r="AH71" s="81">
        <v>2050</v>
      </c>
    </row>
    <row r="72" spans="1:34" x14ac:dyDescent="0.25">
      <c r="A72" s="81" t="s">
        <v>550</v>
      </c>
      <c r="B72" s="83" t="s">
        <v>540</v>
      </c>
      <c r="C72" s="83">
        <v>170105.71381451821</v>
      </c>
      <c r="D72" s="83">
        <v>170105.71381451821</v>
      </c>
      <c r="E72" s="83">
        <v>158150.03934815663</v>
      </c>
      <c r="F72" s="83">
        <v>150378.65012075135</v>
      </c>
      <c r="G72" s="83">
        <v>144793.31276680075</v>
      </c>
      <c r="H72" s="83">
        <v>140415.59869107281</v>
      </c>
      <c r="I72" s="83">
        <v>137175.31502959738</v>
      </c>
      <c r="J72" s="83">
        <v>134428.4852892202</v>
      </c>
      <c r="K72" s="83">
        <v>132025.79821888031</v>
      </c>
      <c r="L72" s="83">
        <v>129960.24090755433</v>
      </c>
      <c r="M72" s="83">
        <v>128158.30529697014</v>
      </c>
      <c r="N72" s="83">
        <v>126568.09584555485</v>
      </c>
      <c r="O72" s="83">
        <v>125159.52078964461</v>
      </c>
      <c r="P72" s="83">
        <v>123925.6309719526</v>
      </c>
      <c r="Q72" s="83">
        <v>122858.83969782633</v>
      </c>
      <c r="R72" s="83">
        <v>121931.0953231723</v>
      </c>
      <c r="S72" s="83">
        <v>121120.14779392551</v>
      </c>
      <c r="T72" s="83">
        <v>120395.26780905634</v>
      </c>
      <c r="U72" s="83">
        <v>119759.77056286675</v>
      </c>
      <c r="V72" s="83">
        <v>119197.33509879321</v>
      </c>
      <c r="W72" s="83">
        <v>118692.59676632099</v>
      </c>
      <c r="X72" s="83">
        <v>118234.33490781266</v>
      </c>
      <c r="Y72" s="83">
        <v>117825.86471757021</v>
      </c>
      <c r="Z72" s="83">
        <v>117458.38817994612</v>
      </c>
      <c r="AA72" s="83">
        <v>117126.03995117541</v>
      </c>
      <c r="AB72" s="83">
        <v>116824.03850101487</v>
      </c>
      <c r="AC72" s="83">
        <v>116548.30359032366</v>
      </c>
      <c r="AD72" s="83">
        <v>116296.03005469241</v>
      </c>
      <c r="AE72" s="83">
        <v>116063.71143860943</v>
      </c>
      <c r="AF72" s="83">
        <v>115848.86134634829</v>
      </c>
      <c r="AG72" s="83">
        <v>115649.50341207514</v>
      </c>
      <c r="AH72" s="83">
        <v>115463.91628490237</v>
      </c>
    </row>
    <row r="73" spans="1:34" x14ac:dyDescent="0.25">
      <c r="A73" s="81" t="s">
        <v>550</v>
      </c>
      <c r="B73" s="81" t="s">
        <v>541</v>
      </c>
      <c r="C73" s="81">
        <v>99455.829058567353</v>
      </c>
      <c r="D73" s="81">
        <v>99455.829058567353</v>
      </c>
      <c r="E73" s="81">
        <v>99455.829058567353</v>
      </c>
      <c r="F73" s="81">
        <v>99455.829058567353</v>
      </c>
      <c r="G73" s="81">
        <v>108042.18230062367</v>
      </c>
      <c r="H73" s="81">
        <v>116628.53554267999</v>
      </c>
      <c r="I73" s="81">
        <v>125214.88878473631</v>
      </c>
      <c r="J73" s="81">
        <v>133801.24202679261</v>
      </c>
      <c r="K73" s="81">
        <v>142387.59526884893</v>
      </c>
      <c r="L73" s="81">
        <v>142387.59526884893</v>
      </c>
      <c r="M73" s="81">
        <v>142387.59526884893</v>
      </c>
      <c r="N73" s="81">
        <v>142387.59526884893</v>
      </c>
      <c r="O73" s="81">
        <v>142387.59526884893</v>
      </c>
      <c r="P73" s="81">
        <v>142387.59526884893</v>
      </c>
      <c r="Q73" s="81">
        <v>142387.59526884893</v>
      </c>
      <c r="R73" s="81">
        <v>142387.59526884893</v>
      </c>
      <c r="S73" s="81">
        <v>142387.59526884893</v>
      </c>
      <c r="T73" s="81">
        <v>142387.59526884893</v>
      </c>
      <c r="U73" s="81">
        <v>142387.59526884893</v>
      </c>
      <c r="V73" s="81">
        <v>142387.59526884893</v>
      </c>
      <c r="W73" s="81">
        <v>142387.59526884893</v>
      </c>
      <c r="X73" s="81">
        <v>142387.59526884893</v>
      </c>
      <c r="Y73" s="81">
        <v>142387.59526884893</v>
      </c>
      <c r="Z73" s="81">
        <v>142387.59526884893</v>
      </c>
      <c r="AA73" s="81">
        <v>142387.59526884893</v>
      </c>
      <c r="AB73" s="81">
        <v>142387.59526884893</v>
      </c>
      <c r="AC73" s="81">
        <v>142387.59526884893</v>
      </c>
      <c r="AD73" s="81">
        <v>142387.59526884893</v>
      </c>
      <c r="AE73" s="81">
        <v>142387.59526884893</v>
      </c>
      <c r="AF73" s="81">
        <v>142387.59526884893</v>
      </c>
      <c r="AG73" s="81">
        <v>142387.59526884893</v>
      </c>
      <c r="AH73" s="81">
        <v>142387.59526884893</v>
      </c>
    </row>
    <row r="74" spans="1:34" x14ac:dyDescent="0.25">
      <c r="A74" s="81" t="s">
        <v>550</v>
      </c>
      <c r="B74" s="81" t="s">
        <v>542</v>
      </c>
      <c r="C74" s="81">
        <v>999999</v>
      </c>
      <c r="D74" s="81">
        <v>999999</v>
      </c>
      <c r="E74" s="81">
        <v>999999</v>
      </c>
      <c r="F74" s="81">
        <v>999999</v>
      </c>
      <c r="G74" s="81">
        <v>999999</v>
      </c>
      <c r="H74" s="81">
        <v>999999</v>
      </c>
      <c r="I74" s="81">
        <v>999999</v>
      </c>
      <c r="J74" s="81">
        <v>999999</v>
      </c>
      <c r="K74" s="81">
        <v>999999</v>
      </c>
      <c r="L74" s="81">
        <v>999999</v>
      </c>
      <c r="M74" s="81">
        <v>999999</v>
      </c>
      <c r="N74" s="81">
        <v>999999</v>
      </c>
      <c r="O74" s="81">
        <v>999999</v>
      </c>
      <c r="P74" s="81">
        <v>999999</v>
      </c>
      <c r="Q74" s="81">
        <v>999999</v>
      </c>
      <c r="R74" s="81">
        <v>999999</v>
      </c>
      <c r="S74" s="81">
        <v>999999</v>
      </c>
      <c r="T74" s="81">
        <v>999999</v>
      </c>
      <c r="U74" s="81">
        <v>999999</v>
      </c>
      <c r="V74" s="81">
        <v>999999</v>
      </c>
      <c r="W74" s="81">
        <v>999999</v>
      </c>
      <c r="X74" s="81">
        <v>999999</v>
      </c>
      <c r="Y74" s="81">
        <v>999999</v>
      </c>
      <c r="Z74" s="81">
        <v>999999</v>
      </c>
      <c r="AA74" s="81">
        <v>999999</v>
      </c>
      <c r="AB74" s="81">
        <v>999999</v>
      </c>
      <c r="AC74" s="81">
        <v>999999</v>
      </c>
      <c r="AD74" s="81">
        <v>999999</v>
      </c>
      <c r="AE74" s="81">
        <v>999999</v>
      </c>
      <c r="AF74" s="81">
        <v>999999</v>
      </c>
      <c r="AG74" s="81">
        <v>999999</v>
      </c>
      <c r="AH74" s="81">
        <v>999999</v>
      </c>
    </row>
    <row r="75" spans="1:34" x14ac:dyDescent="0.25">
      <c r="A75" s="81" t="s">
        <v>550</v>
      </c>
      <c r="B75" s="81" t="s">
        <v>543</v>
      </c>
      <c r="C75" s="81">
        <v>99455.829058567353</v>
      </c>
      <c r="D75" s="81">
        <v>99455.829058567353</v>
      </c>
      <c r="E75" s="81">
        <v>99455.829058567353</v>
      </c>
      <c r="F75" s="81">
        <v>99455.829058567353</v>
      </c>
      <c r="G75" s="81">
        <v>108042.18230062367</v>
      </c>
      <c r="H75" s="81">
        <v>116628.53554267999</v>
      </c>
      <c r="I75" s="81">
        <v>125214.88878473631</v>
      </c>
      <c r="J75" s="81">
        <v>133801.24202679261</v>
      </c>
      <c r="K75" s="81">
        <v>142387.59526884893</v>
      </c>
      <c r="L75" s="81">
        <v>142387.59526884893</v>
      </c>
      <c r="M75" s="81">
        <v>142387.59526884893</v>
      </c>
      <c r="N75" s="81">
        <v>142387.59526884893</v>
      </c>
      <c r="O75" s="81">
        <v>142387.59526884893</v>
      </c>
      <c r="P75" s="81">
        <v>142387.59526884893</v>
      </c>
      <c r="Q75" s="81">
        <v>142387.59526884893</v>
      </c>
      <c r="R75" s="81">
        <v>142387.59526884893</v>
      </c>
      <c r="S75" s="81">
        <v>142387.59526884893</v>
      </c>
      <c r="T75" s="81">
        <v>142387.59526884893</v>
      </c>
      <c r="U75" s="81">
        <v>142387.59526884893</v>
      </c>
      <c r="V75" s="81">
        <v>142387.59526884893</v>
      </c>
      <c r="W75" s="81">
        <v>142387.59526884893</v>
      </c>
      <c r="X75" s="81">
        <v>142387.59526884893</v>
      </c>
      <c r="Y75" s="81">
        <v>142387.59526884893</v>
      </c>
      <c r="Z75" s="81">
        <v>142387.59526884893</v>
      </c>
      <c r="AA75" s="81">
        <v>142387.59526884893</v>
      </c>
      <c r="AB75" s="81">
        <v>142387.59526884893</v>
      </c>
      <c r="AC75" s="81">
        <v>142387.59526884893</v>
      </c>
      <c r="AD75" s="81">
        <v>142387.59526884893</v>
      </c>
      <c r="AE75" s="81">
        <v>142387.59526884893</v>
      </c>
      <c r="AF75" s="81">
        <v>142387.59526884893</v>
      </c>
      <c r="AG75" s="81">
        <v>142387.59526884893</v>
      </c>
      <c r="AH75" s="81">
        <v>142387.59526884893</v>
      </c>
    </row>
    <row r="76" spans="1:34" x14ac:dyDescent="0.25">
      <c r="A76" s="81" t="s">
        <v>550</v>
      </c>
      <c r="B76" s="81" t="s">
        <v>544</v>
      </c>
      <c r="C76" s="81">
        <v>999999</v>
      </c>
      <c r="D76" s="81">
        <v>999999</v>
      </c>
      <c r="E76" s="81">
        <v>999999</v>
      </c>
      <c r="F76" s="81">
        <v>999999</v>
      </c>
      <c r="G76" s="81">
        <v>999999</v>
      </c>
      <c r="H76" s="81">
        <v>999999</v>
      </c>
      <c r="I76" s="81">
        <v>999999</v>
      </c>
      <c r="J76" s="81">
        <v>999999</v>
      </c>
      <c r="K76" s="81">
        <v>999999</v>
      </c>
      <c r="L76" s="81">
        <v>999999</v>
      </c>
      <c r="M76" s="81">
        <v>999999</v>
      </c>
      <c r="N76" s="81">
        <v>999999</v>
      </c>
      <c r="O76" s="81">
        <v>999999</v>
      </c>
      <c r="P76" s="81">
        <v>999999</v>
      </c>
      <c r="Q76" s="81">
        <v>999999</v>
      </c>
      <c r="R76" s="81">
        <v>999999</v>
      </c>
      <c r="S76" s="81">
        <v>999999</v>
      </c>
      <c r="T76" s="81">
        <v>999999</v>
      </c>
      <c r="U76" s="81">
        <v>999999</v>
      </c>
      <c r="V76" s="81">
        <v>999999</v>
      </c>
      <c r="W76" s="81">
        <v>999999</v>
      </c>
      <c r="X76" s="81">
        <v>999999</v>
      </c>
      <c r="Y76" s="81">
        <v>999999</v>
      </c>
      <c r="Z76" s="81">
        <v>999999</v>
      </c>
      <c r="AA76" s="81">
        <v>999999</v>
      </c>
      <c r="AB76" s="81">
        <v>999999</v>
      </c>
      <c r="AC76" s="81">
        <v>999999</v>
      </c>
      <c r="AD76" s="81">
        <v>999999</v>
      </c>
      <c r="AE76" s="81">
        <v>999999</v>
      </c>
      <c r="AF76" s="81">
        <v>999999</v>
      </c>
      <c r="AG76" s="81">
        <v>999999</v>
      </c>
      <c r="AH76" s="81">
        <v>999999</v>
      </c>
    </row>
    <row r="77" spans="1:34" x14ac:dyDescent="0.25">
      <c r="A77" s="81" t="s">
        <v>550</v>
      </c>
      <c r="B77" s="81" t="s">
        <v>545</v>
      </c>
      <c r="C77" s="81">
        <v>999999</v>
      </c>
      <c r="D77" s="81">
        <v>999999</v>
      </c>
      <c r="E77" s="81">
        <v>999999</v>
      </c>
      <c r="F77" s="81">
        <v>999999</v>
      </c>
      <c r="G77" s="81">
        <v>999999</v>
      </c>
      <c r="H77" s="81">
        <v>999999</v>
      </c>
      <c r="I77" s="81">
        <v>999999</v>
      </c>
      <c r="J77" s="81">
        <v>999999</v>
      </c>
      <c r="K77" s="81">
        <v>999999</v>
      </c>
      <c r="L77" s="81">
        <v>999999</v>
      </c>
      <c r="M77" s="81">
        <v>999999</v>
      </c>
      <c r="N77" s="81">
        <v>999999</v>
      </c>
      <c r="O77" s="81">
        <v>999999</v>
      </c>
      <c r="P77" s="81">
        <v>999999</v>
      </c>
      <c r="Q77" s="81">
        <v>999999</v>
      </c>
      <c r="R77" s="81">
        <v>999999</v>
      </c>
      <c r="S77" s="81">
        <v>999999</v>
      </c>
      <c r="T77" s="81">
        <v>999999</v>
      </c>
      <c r="U77" s="81">
        <v>999999</v>
      </c>
      <c r="V77" s="81">
        <v>999999</v>
      </c>
      <c r="W77" s="81">
        <v>999999</v>
      </c>
      <c r="X77" s="81">
        <v>999999</v>
      </c>
      <c r="Y77" s="81">
        <v>999999</v>
      </c>
      <c r="Z77" s="81">
        <v>999999</v>
      </c>
      <c r="AA77" s="81">
        <v>999999</v>
      </c>
      <c r="AB77" s="81">
        <v>999999</v>
      </c>
      <c r="AC77" s="81">
        <v>999999</v>
      </c>
      <c r="AD77" s="81">
        <v>999999</v>
      </c>
      <c r="AE77" s="81">
        <v>999999</v>
      </c>
      <c r="AF77" s="81">
        <v>999999</v>
      </c>
      <c r="AG77" s="81">
        <v>999999</v>
      </c>
      <c r="AH77" s="81">
        <v>999999</v>
      </c>
    </row>
    <row r="78" spans="1:34" x14ac:dyDescent="0.25">
      <c r="A78" s="81" t="s">
        <v>550</v>
      </c>
      <c r="B78" s="81" t="s">
        <v>546</v>
      </c>
      <c r="C78" s="81">
        <v>218707.346332952</v>
      </c>
      <c r="D78" s="81">
        <v>218707.346332952</v>
      </c>
      <c r="E78" s="81">
        <v>196320.00462790579</v>
      </c>
      <c r="F78" s="81">
        <v>182770.67741621763</v>
      </c>
      <c r="G78" s="81">
        <v>173316.35690711741</v>
      </c>
      <c r="H78" s="81">
        <v>166070.96914028164</v>
      </c>
      <c r="I78" s="81">
        <v>160638.01132339906</v>
      </c>
      <c r="J78" s="81">
        <v>156095.13569711187</v>
      </c>
      <c r="K78" s="81">
        <v>152176.89937190025</v>
      </c>
      <c r="L78" s="81">
        <v>148816.42084420141</v>
      </c>
      <c r="M78" s="81">
        <v>145888.85814075559</v>
      </c>
      <c r="N78" s="81">
        <v>143306.5984665154</v>
      </c>
      <c r="O78" s="81">
        <v>141084.00240336676</v>
      </c>
      <c r="P78" s="81">
        <v>138937.19254108105</v>
      </c>
      <c r="Q78" s="81">
        <v>136991.75628859026</v>
      </c>
      <c r="R78" s="81">
        <v>135213.52839713384</v>
      </c>
      <c r="S78" s="81">
        <v>133575.42625258261</v>
      </c>
      <c r="T78" s="81">
        <v>132041.61064856828</v>
      </c>
      <c r="U78" s="81">
        <v>130614.12225222809</v>
      </c>
      <c r="V78" s="81">
        <v>129273.62475844887</v>
      </c>
      <c r="W78" s="81">
        <v>128002.21139736133</v>
      </c>
      <c r="X78" s="81">
        <v>126786.7940352916</v>
      </c>
      <c r="Y78" s="81">
        <v>125630.05694955667</v>
      </c>
      <c r="Z78" s="81">
        <v>124521.76188947604</v>
      </c>
      <c r="AA78" s="81">
        <v>123454.9764103062</v>
      </c>
      <c r="AB78" s="81">
        <v>122424.0469447776</v>
      </c>
      <c r="AC78" s="81">
        <v>121424.16722212727</v>
      </c>
      <c r="AD78" s="81">
        <v>120451.95116743509</v>
      </c>
      <c r="AE78" s="81">
        <v>119503.35907566069</v>
      </c>
      <c r="AF78" s="81">
        <v>118575.48086511412</v>
      </c>
      <c r="AG78" s="81">
        <v>117665.98604353704</v>
      </c>
      <c r="AH78" s="81">
        <v>116772.85024669656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J2" sqref="J2"/>
    </sheetView>
    <sheetView workbookViewId="1">
      <selection activeCell="S3" sqref="S3"/>
    </sheetView>
  </sheetViews>
  <sheetFormatPr defaultColWidth="12.625" defaultRowHeight="15" customHeight="1" x14ac:dyDescent="0.2"/>
  <cols>
    <col min="1" max="1" width="13.5" customWidth="1"/>
    <col min="2" max="36" width="7.625" customWidth="1"/>
  </cols>
  <sheetData>
    <row r="1" spans="1:36" ht="48" customHeight="1" x14ac:dyDescent="0.2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5">
      <c r="A2" s="8" t="s">
        <v>270</v>
      </c>
      <c r="B2" s="38">
        <f>C2</f>
        <v>0.10131740487679083</v>
      </c>
      <c r="C2" s="38">
        <f>D2</f>
        <v>0.10131740487679083</v>
      </c>
      <c r="D2" s="38">
        <f>E2</f>
        <v>0.10131740487679083</v>
      </c>
      <c r="E2" s="39">
        <f>'LDV psg calculations'!A32</f>
        <v>0.10131740487679083</v>
      </c>
      <c r="F2" s="39">
        <f>'LDV psg calculations'!B32</f>
        <v>0.10406884306341027</v>
      </c>
      <c r="G2" s="39">
        <f>'LDV psg calculations'!C32</f>
        <v>0.10640410321032427</v>
      </c>
      <c r="H2" s="39">
        <f>'LDV psg calculations'!D32</f>
        <v>9.1285383958375099E-2</v>
      </c>
      <c r="I2" s="39">
        <f>'LDV psg calculations'!E32</f>
        <v>8.4949942311859553E-2</v>
      </c>
      <c r="J2" s="39">
        <f>'LDV psg calculations'!F32</f>
        <v>5.6613638701271986E-2</v>
      </c>
      <c r="K2" s="39">
        <f>'LDV psg calculations'!G32</f>
        <v>5.4283265089442284E-2</v>
      </c>
      <c r="L2" s="39">
        <f>'LDV psg calculations'!H32</f>
        <v>5.0252697387433293E-2</v>
      </c>
      <c r="M2" s="39">
        <f>'LDV psg calculations'!I32</f>
        <v>4.5653427247252527E-2</v>
      </c>
      <c r="N2" s="39">
        <f>'LDV psg calculations'!J32</f>
        <v>4.1855195946083452E-2</v>
      </c>
      <c r="O2" s="39">
        <f>'LDV psg calculations'!K32</f>
        <v>4.9566861535155202E-2</v>
      </c>
      <c r="P2" s="39">
        <f>'LDV psg calculations'!L32</f>
        <v>5.7627369189336509E-2</v>
      </c>
      <c r="Q2" s="66">
        <v>0</v>
      </c>
      <c r="R2" s="66">
        <v>0</v>
      </c>
      <c r="S2" s="66">
        <v>0</v>
      </c>
      <c r="T2" s="66">
        <v>0</v>
      </c>
      <c r="U2" s="66">
        <v>0</v>
      </c>
      <c r="V2" s="66">
        <v>0</v>
      </c>
      <c r="W2" s="66">
        <v>0</v>
      </c>
      <c r="X2" s="66">
        <v>0</v>
      </c>
      <c r="Y2" s="66">
        <v>0</v>
      </c>
      <c r="Z2" s="66">
        <v>0</v>
      </c>
      <c r="AA2" s="66">
        <v>0</v>
      </c>
      <c r="AB2" s="39">
        <f>'LDV psg calculations'!X32</f>
        <v>0</v>
      </c>
      <c r="AC2" s="39">
        <f>'LDV psg calculations'!Y32</f>
        <v>0</v>
      </c>
      <c r="AD2" s="39">
        <f>'LDV psg calculations'!Z32</f>
        <v>0</v>
      </c>
      <c r="AE2" s="39">
        <f>'LDV psg calculations'!AA32</f>
        <v>0</v>
      </c>
      <c r="AF2" s="39">
        <f>'LDV psg calculations'!AB32</f>
        <v>0</v>
      </c>
      <c r="AG2" s="39">
        <f>'LDV psg calculations'!AC32</f>
        <v>0</v>
      </c>
      <c r="AH2" s="39">
        <f>'LDV psg calculations'!AD32</f>
        <v>0</v>
      </c>
      <c r="AI2" s="39">
        <f>'LDV psg calculations'!AE32</f>
        <v>0</v>
      </c>
      <c r="AJ2" s="39">
        <f>'LDV psg calculations'!AF32</f>
        <v>0</v>
      </c>
    </row>
    <row r="3" spans="1:36" x14ac:dyDescent="0.25">
      <c r="A3" s="8" t="s">
        <v>271</v>
      </c>
      <c r="B3" s="65">
        <f t="shared" ref="B3:D3" si="0">C3</f>
        <v>0.18445172056012252</v>
      </c>
      <c r="C3" s="65">
        <f t="shared" si="0"/>
        <v>0.18445172056012252</v>
      </c>
      <c r="D3" s="65">
        <f t="shared" si="0"/>
        <v>0.18445172056012252</v>
      </c>
      <c r="E3" s="65">
        <f>F3</f>
        <v>0.18445172056012252</v>
      </c>
      <c r="F3" s="65">
        <f>'HDV+LDV frt'!B5</f>
        <v>0.18445172056012252</v>
      </c>
      <c r="G3" s="12">
        <f>'HDV+LDV frt'!C5</f>
        <v>0.18859073795835876</v>
      </c>
      <c r="H3" s="12">
        <f>'HDV+LDV frt'!D5</f>
        <v>0.16662847762884456</v>
      </c>
      <c r="I3" s="12">
        <f>'HDV+LDV frt'!E5+IRA_EV!F47</f>
        <v>0.25099282803904654</v>
      </c>
      <c r="J3" s="12">
        <f>'HDV+LDV frt'!F5+IRA_EV!G47</f>
        <v>0.20280815638673882</v>
      </c>
      <c r="K3" s="12">
        <f>'HDV+LDV frt'!G5+IRA_EV!H47</f>
        <v>0.20267371403648399</v>
      </c>
      <c r="L3" s="12">
        <f>'HDV+LDV frt'!H5+IRA_EV!I47</f>
        <v>0.19791152190181333</v>
      </c>
      <c r="M3" s="12">
        <f>'HDV+LDV frt'!I5+IRA_EV!J47</f>
        <v>0.19132609708827963</v>
      </c>
      <c r="N3" s="12">
        <f>'HDV+LDV frt'!J5+IRA_EV!K47</f>
        <v>0.18587726054254608</v>
      </c>
      <c r="O3" s="12">
        <f>'HDV+LDV frt'!K5+IRA_EV!L47</f>
        <v>0.20411651154364546</v>
      </c>
      <c r="P3" s="12">
        <f>'HDV+LDV frt'!L5+IRA_EV!M47</f>
        <v>0.22318231379168774</v>
      </c>
      <c r="Q3" s="12">
        <f>'HDV+LDV frt'!M5+IRA_EV!N47</f>
        <v>0.10197372610918201</v>
      </c>
      <c r="R3" s="12">
        <f>'HDV+LDV frt'!N5+IRA_EV!O47</f>
        <v>0.10277040054880605</v>
      </c>
      <c r="S3" s="12">
        <f>'HDV+LDV frt'!O5+IRA_EV!P47</f>
        <v>0.10347857363182332</v>
      </c>
      <c r="T3" s="12">
        <f>'HDV+LDV frt'!P5+IRA_EV!Q47</f>
        <v>0.10409875681215891</v>
      </c>
      <c r="U3" s="12">
        <f>'HDV+LDV frt'!Q5+IRA_EV!R47</f>
        <v>0.10464417988246398</v>
      </c>
      <c r="V3" s="12">
        <f>'HDV+LDV frt'!R5+IRA_EV!S47</f>
        <v>0.10512564080327914</v>
      </c>
      <c r="W3" s="12">
        <f>'HDV+LDV frt'!S5+IRA_EV!T47</f>
        <v>0.10555976875277005</v>
      </c>
      <c r="X3" s="12">
        <f>'HDV+LDV frt'!T5+IRA_EV!U47</f>
        <v>0.10594332605809353</v>
      </c>
      <c r="Y3" s="12">
        <f>'HDV+LDV frt'!U5+IRA_EV!V47</f>
        <v>0.10628511917822471</v>
      </c>
      <c r="Z3" s="12">
        <f>'HDV+LDV frt'!V5+IRA_EV!W47</f>
        <v>0.10659373271769716</v>
      </c>
      <c r="AA3" s="12">
        <f>'HDV+LDV frt'!W5+IRA_EV!X47</f>
        <v>0.10687548538443388</v>
      </c>
      <c r="AB3" s="12">
        <f>'HDV+LDV frt'!X5+IRA_EV!Y47</f>
        <v>0.10712788317190695</v>
      </c>
      <c r="AC3" s="12">
        <f>'HDV+LDV frt'!Y5+IRA_EV!Z47</f>
        <v>0.10735597141375511</v>
      </c>
      <c r="AD3" s="12">
        <f>'HDV+LDV frt'!Z5+IRA_EV!AA47</f>
        <v>0.10756309397737918</v>
      </c>
      <c r="AE3" s="12">
        <f>'HDV+LDV frt'!AA5+IRA_EV!AB47</f>
        <v>0.10775199843241445</v>
      </c>
      <c r="AF3" s="12">
        <f>'HDV+LDV frt'!AB5+IRA_EV!AC47</f>
        <v>0.10792505333745069</v>
      </c>
      <c r="AG3" s="12">
        <f>'HDV+LDV frt'!AC5+IRA_EV!AD47</f>
        <v>0.10808387122297305</v>
      </c>
      <c r="AH3" s="12">
        <f>'HDV+LDV frt'!AD5+IRA_EV!AE47</f>
        <v>0.10823054054455124</v>
      </c>
      <c r="AI3" s="12">
        <f>'HDV+LDV frt'!AE5+IRA_EV!AF47</f>
        <v>0.10836653622563859</v>
      </c>
      <c r="AJ3" s="12">
        <f>'HDV+LDV frt'!AF5+IRA_EV!AG47</f>
        <v>0.10849303173687323</v>
      </c>
    </row>
    <row r="4" spans="1:36" x14ac:dyDescent="0.25">
      <c r="A4" s="8" t="s">
        <v>272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8" t="s">
        <v>273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5">
      <c r="A6" s="8" t="s">
        <v>274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5">
      <c r="A7" s="8" t="s">
        <v>275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>
      <selection activeCell="G2" sqref="G2"/>
    </sheetView>
    <sheetView tabSelected="1" workbookViewId="1">
      <selection activeCell="A3" sqref="A3"/>
    </sheetView>
  </sheetViews>
  <sheetFormatPr defaultColWidth="12.625" defaultRowHeight="15" customHeight="1" x14ac:dyDescent="0.2"/>
  <cols>
    <col min="1" max="1" width="14.625" customWidth="1"/>
    <col min="2" max="36" width="7.625" customWidth="1"/>
  </cols>
  <sheetData>
    <row r="1" spans="1:36" ht="48" customHeight="1" x14ac:dyDescent="0.25">
      <c r="A1" s="17" t="s">
        <v>269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5">
      <c r="A2" s="8" t="s">
        <v>270</v>
      </c>
      <c r="B2" s="8">
        <f t="shared" ref="B2:D2" si="0">C2</f>
        <v>0.20799538723185915</v>
      </c>
      <c r="C2" s="8">
        <f t="shared" si="0"/>
        <v>0.20799538723185915</v>
      </c>
      <c r="D2" s="8">
        <f t="shared" si="0"/>
        <v>0.20799538723185915</v>
      </c>
      <c r="E2" s="8">
        <f>F2</f>
        <v>0.20799538723185915</v>
      </c>
      <c r="F2" s="8">
        <f>'HDV+LDV frt'!B2</f>
        <v>0.20799538723185915</v>
      </c>
      <c r="G2" s="8">
        <f>'HDV+LDV frt'!C2</f>
        <v>0.22268509349512455</v>
      </c>
      <c r="H2" s="8">
        <f>'HDV+LDV frt'!D2</f>
        <v>0.18377793244565779</v>
      </c>
      <c r="I2" s="94">
        <f>'HDV+LDV frt'!E2+IRA_EV!F48</f>
        <v>0.37197546308900159</v>
      </c>
      <c r="J2" s="94">
        <f>'HDV+LDV frt'!F2+IRA_EV!G48</f>
        <v>0.33207481746524981</v>
      </c>
      <c r="K2" s="94">
        <f>'HDV+LDV frt'!G2+IRA_EV!H48</f>
        <v>0.28924137685160245</v>
      </c>
      <c r="L2" s="94">
        <f>'HDV+LDV frt'!H2+IRA_EV!I48</f>
        <v>0.24404152767597245</v>
      </c>
      <c r="M2" s="94">
        <f>'HDV+LDV frt'!I2+IRA_EV!J48</f>
        <v>0.2469565163195071</v>
      </c>
      <c r="N2" s="94">
        <f>'HDV+LDV frt'!J2+IRA_EV!K48</f>
        <v>0.24956399357731238</v>
      </c>
      <c r="O2" s="94">
        <f>'HDV+LDV frt'!K2+IRA_EV!L48</f>
        <v>0.25185002436182308</v>
      </c>
      <c r="P2" s="94">
        <f>'HDV+LDV frt'!L2+IRA_EV!M48</f>
        <v>0.25387877448681573</v>
      </c>
      <c r="Q2" s="94">
        <f>'HDV+LDV frt'!M2+IRA_EV!N48</f>
        <v>0.2556964920124376</v>
      </c>
      <c r="R2" s="94">
        <f>'HDV+LDV frt'!N2+IRA_EV!O48</f>
        <v>0.2573284669951813</v>
      </c>
      <c r="S2" s="94">
        <f>'HDV+LDV frt'!O2+IRA_EV!P48</f>
        <v>0.25877526491625846</v>
      </c>
      <c r="T2" s="94">
        <f>'HDV+LDV frt'!P2+IRA_EV!Q48</f>
        <v>0.26003930870944397</v>
      </c>
      <c r="U2" s="94">
        <f>'HDV+LDV frt'!Q2+IRA_EV!R48</f>
        <v>0.26114867780932299</v>
      </c>
      <c r="V2" s="94">
        <f>'HDV+LDV frt'!R2+IRA_EV!S48</f>
        <v>0.26212616677591971</v>
      </c>
      <c r="W2" s="94">
        <f>'HDV+LDV frt'!S2+IRA_EV!T48</f>
        <v>0.26300612742759993</v>
      </c>
      <c r="X2" s="94">
        <f>'HDV+LDV frt'!T2+IRA_EV!U48</f>
        <v>0.26378245739440009</v>
      </c>
      <c r="Y2" s="94">
        <f>'HDV+LDV frt'!U2+IRA_EV!V48</f>
        <v>0.26447336735343596</v>
      </c>
      <c r="Z2" s="94">
        <f>'HDV+LDV frt'!V2+IRA_EV!W48</f>
        <v>0.2650964893910811</v>
      </c>
      <c r="AA2" s="94">
        <f>'HDV+LDV frt'!W2+IRA_EV!X48</f>
        <v>0.26566478274440053</v>
      </c>
      <c r="AB2" s="94">
        <f>'HDV+LDV frt'!X2+IRA_EV!Y48</f>
        <v>0.26617338687904968</v>
      </c>
      <c r="AC2" s="94">
        <f>'HDV+LDV frt'!Y2+IRA_EV!Z48</f>
        <v>0.26663261494207113</v>
      </c>
      <c r="AD2" s="94">
        <f>'HDV+LDV frt'!Z2+IRA_EV!AA48</f>
        <v>0.26704931062664339</v>
      </c>
      <c r="AE2" s="94">
        <f>'HDV+LDV frt'!AA2+IRA_EV!AB48</f>
        <v>0.2674290888297044</v>
      </c>
      <c r="AF2" s="94">
        <f>'HDV+LDV frt'!AB2+IRA_EV!AC48</f>
        <v>0.2677767804442916</v>
      </c>
      <c r="AG2" s="94">
        <f>'HDV+LDV frt'!AC2+IRA_EV!AD48</f>
        <v>0.26809568103834225</v>
      </c>
      <c r="AH2" s="94">
        <f>'HDV+LDV frt'!AD2+IRA_EV!AE48</f>
        <v>0.2683900290510472</v>
      </c>
      <c r="AI2" s="94">
        <f>'HDV+LDV frt'!AE2+IRA_EV!AF48</f>
        <v>0.26866282027371791</v>
      </c>
      <c r="AJ2" s="94">
        <f>'HDV+LDV frt'!AF2+IRA_EV!AG48</f>
        <v>0.26891643784844999</v>
      </c>
    </row>
    <row r="3" spans="1:36" x14ac:dyDescent="0.25">
      <c r="A3" s="8" t="s">
        <v>271</v>
      </c>
      <c r="B3" s="8">
        <f t="shared" ref="B3:D3" si="1">C3</f>
        <v>0.24850730661261336</v>
      </c>
      <c r="C3" s="8">
        <f t="shared" si="1"/>
        <v>0.24850730661261336</v>
      </c>
      <c r="D3" s="8">
        <f t="shared" si="1"/>
        <v>0.24850730661261336</v>
      </c>
      <c r="E3" s="8">
        <f>F3</f>
        <v>0.24850730661261336</v>
      </c>
      <c r="F3" s="8">
        <f>'HDV+LDV frt'!B3</f>
        <v>0.24850730661261336</v>
      </c>
      <c r="G3" s="8">
        <f>'HDV+LDV frt'!C3</f>
        <v>0.25408370385377205</v>
      </c>
      <c r="H3" s="8">
        <f>'HDV+LDV frt'!D3</f>
        <v>0.2425387530368506</v>
      </c>
      <c r="I3" s="94">
        <f>'HDV+LDV frt'!E3+IRA_EV!F49</f>
        <v>0.50953539512744217</v>
      </c>
      <c r="J3" s="94">
        <f>'HDV+LDV frt'!F3+IRA_EV!G49</f>
        <v>0.44833160177044529</v>
      </c>
      <c r="K3" s="94">
        <f>'HDV+LDV frt'!G3+IRA_EV!H49</f>
        <v>0.45803292806460183</v>
      </c>
      <c r="L3" s="94">
        <f>'HDV+LDV frt'!H3+IRA_EV!I49</f>
        <v>0.4580047085136611</v>
      </c>
      <c r="M3" s="94">
        <f>'HDV+LDV frt'!I3+IRA_EV!J49</f>
        <v>0.45377236075087957</v>
      </c>
      <c r="N3" s="94">
        <f>'HDV+LDV frt'!J3+IRA_EV!K49</f>
        <v>0.4504921260562752</v>
      </c>
      <c r="O3" s="94">
        <f>'HDV+LDV frt'!K3+IRA_EV!L49</f>
        <v>0.4871179304188904</v>
      </c>
      <c r="P3" s="94">
        <f>'HDV+LDV frt'!L3+IRA_EV!M49</f>
        <v>0.5255428955728344</v>
      </c>
      <c r="Q3" s="94">
        <f>'HDV+LDV frt'!M3+IRA_EV!N49</f>
        <v>0.31603540949853692</v>
      </c>
      <c r="R3" s="94">
        <f>'HDV+LDV frt'!N3+IRA_EV!O49</f>
        <v>0.31959214726643076</v>
      </c>
      <c r="S3" s="94">
        <f>'HDV+LDV frt'!O3+IRA_EV!P49</f>
        <v>0.32277422907818787</v>
      </c>
      <c r="T3" s="94">
        <f>'HDV+LDV frt'!P3+IRA_EV!Q49</f>
        <v>0.32557689864547612</v>
      </c>
      <c r="U3" s="94">
        <f>'HDV+LDV frt'!Q3+IRA_EV!R49</f>
        <v>0.32805413495205626</v>
      </c>
      <c r="V3" s="94">
        <f>'HDV+LDV frt'!R3+IRA_EV!S49</f>
        <v>0.33025058777220301</v>
      </c>
      <c r="W3" s="94">
        <f>'HDV+LDV frt'!S3+IRA_EV!T49</f>
        <v>0.33223897191240875</v>
      </c>
      <c r="X3" s="94">
        <f>'HDV+LDV frt'!T3+IRA_EV!U49</f>
        <v>0.3340019758889099</v>
      </c>
      <c r="Y3" s="94">
        <f>'HDV+LDV frt'!U3+IRA_EV!V49</f>
        <v>0.33557797216562918</v>
      </c>
      <c r="Z3" s="94">
        <f>'HDV+LDV frt'!V3+IRA_EV!W49</f>
        <v>0.33700501202068228</v>
      </c>
      <c r="AA3" s="94">
        <f>'HDV+LDV frt'!W3+IRA_EV!X49</f>
        <v>0.33831120233549761</v>
      </c>
      <c r="AB3" s="94">
        <f>'HDV+LDV frt'!X3+IRA_EV!Y49</f>
        <v>0.33948403515544234</v>
      </c>
      <c r="AC3" s="94">
        <f>'HDV+LDV frt'!Y3+IRA_EV!Z49</f>
        <v>0.34054613399530093</v>
      </c>
      <c r="AD3" s="94">
        <f>'HDV+LDV frt'!Z3+IRA_EV!AA49</f>
        <v>0.34151244263593483</v>
      </c>
      <c r="AE3" s="94">
        <f>'HDV+LDV frt'!AA3+IRA_EV!AB49</f>
        <v>0.34239528536459996</v>
      </c>
      <c r="AF3" s="94">
        <f>'HDV+LDV frt'!AB3+IRA_EV!AC49</f>
        <v>0.34320533862597524</v>
      </c>
      <c r="AG3" s="94">
        <f>'HDV+LDV frt'!AC3+IRA_EV!AD49</f>
        <v>0.34394983200362517</v>
      </c>
      <c r="AH3" s="94">
        <f>'HDV+LDV frt'!AD3+IRA_EV!AE49</f>
        <v>0.3446382982604993</v>
      </c>
      <c r="AI3" s="94">
        <f>'HDV+LDV frt'!AE3+IRA_EV!AF49</f>
        <v>0.34527745491096146</v>
      </c>
      <c r="AJ3" s="94">
        <f>'HDV+LDV frt'!AF3+IRA_EV!AG49</f>
        <v>0.34587264812953394</v>
      </c>
    </row>
    <row r="4" spans="1:36" x14ac:dyDescent="0.25">
      <c r="A4" s="8" t="s">
        <v>272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8" t="s">
        <v>273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5">
      <c r="A6" s="8" t="s">
        <v>274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5">
      <c r="A7" s="8" t="s">
        <v>275</v>
      </c>
      <c r="B7" s="8">
        <f t="shared" ref="B7:D7" si="2">C7</f>
        <v>0.32724464646819634</v>
      </c>
      <c r="C7" s="8">
        <f t="shared" si="2"/>
        <v>0.32724464646819634</v>
      </c>
      <c r="D7" s="8">
        <f t="shared" si="2"/>
        <v>0.32724464646819634</v>
      </c>
      <c r="E7" s="8">
        <f>F7</f>
        <v>0.32724464646819634</v>
      </c>
      <c r="F7" s="8">
        <f>'HDV+LDV frt'!B4</f>
        <v>0.32724464646819634</v>
      </c>
      <c r="G7" s="8">
        <f>'HDV+LDV frt'!C4</f>
        <v>0.33458787580267163</v>
      </c>
      <c r="H7" s="8">
        <f>'HDV+LDV frt'!D4</f>
        <v>0.31938500953658822</v>
      </c>
      <c r="I7" s="8">
        <f>'HDV+LDV frt'!E4</f>
        <v>0.32070374193366413</v>
      </c>
      <c r="J7" s="8">
        <f>'HDV+LDV frt'!F4</f>
        <v>0.22659642739255517</v>
      </c>
      <c r="K7" s="8">
        <f>'HDV+LDV frt'!G4</f>
        <v>0.22802986551341914</v>
      </c>
      <c r="L7" s="8">
        <f>'HDV+LDV frt'!H4</f>
        <v>0.21913165686807942</v>
      </c>
      <c r="M7" s="8">
        <f>'HDV+LDV frt'!I4</f>
        <v>0.20571215474331306</v>
      </c>
      <c r="N7" s="8">
        <f>'HDV+LDV frt'!J4</f>
        <v>0.19426177014773011</v>
      </c>
      <c r="O7" s="8">
        <f>'HDV+LDV frt'!K4</f>
        <v>0.23615108427555084</v>
      </c>
      <c r="P7" s="8">
        <f>'HDV+LDV frt'!L4</f>
        <v>0.28105196482128403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HDV+LDV frt</vt:lpstr>
      <vt:lpstr>CARB HVIP</vt:lpstr>
      <vt:lpstr>BAU LDV psg</vt:lpstr>
      <vt:lpstr>LDV psg sales</vt:lpstr>
      <vt:lpstr>LDV psg manufacturers</vt:lpstr>
      <vt:lpstr>LDV psg calculations</vt:lpstr>
      <vt:lpstr>IRA_EV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2017-06-20T00:56:40Z</dcterms:created>
  <dcterms:modified xsi:type="dcterms:W3CDTF">2022-09-27T20:59:06Z</dcterms:modified>
</cp:coreProperties>
</file>