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fuels\BCTR\"/>
    </mc:Choice>
  </mc:AlternateContent>
  <xr:revisionPtr revIDLastSave="0" documentId="13_ncr:1_{ABB630F9-DD3C-4E70-8610-A7D0CE7CDA3D}" xr6:coauthVersionLast="47" xr6:coauthVersionMax="47" xr10:uidLastSave="{00000000-0000-0000-0000-000000000000}"/>
  <bookViews>
    <workbookView xWindow="2025" yWindow="435" windowWidth="14565" windowHeight="15810" activeTab="1" xr2:uid="{A875A243-FD0C-4B21-82AE-BAE80D34FF17}"/>
  </bookViews>
  <sheets>
    <sheet name="About" sheetId="1" r:id="rId1"/>
    <sheet name="BCTR" sheetId="2" r:id="rId2"/>
    <sheet name="Projection" sheetId="4" r:id="rId3"/>
    <sheet name="Auction results summary" sheetId="5" r:id="rId4"/>
    <sheet name="2016-2018 prices" sheetId="7" r:id="rId5"/>
    <sheet name="2019" sheetId="8" r:id="rId6"/>
    <sheet name="2020-2021" sheetId="9" r:id="rId7"/>
    <sheet name="May 21 (latest) auction results" sheetId="10" r:id="rId8"/>
    <sheet name="cpi" sheetId="13" r:id="rId9"/>
  </sheets>
  <externalReferences>
    <externalReference r:id="rId10"/>
  </externalReferences>
  <definedNames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4" l="1"/>
  <c r="C13" i="4"/>
  <c r="B1" i="5"/>
  <c r="A2" i="5"/>
  <c r="B2" i="5"/>
  <c r="C2" i="5"/>
  <c r="A3" i="5"/>
  <c r="B3" i="5"/>
  <c r="C3" i="5"/>
  <c r="A4" i="5"/>
  <c r="B4" i="5"/>
  <c r="D4" i="5" s="1"/>
  <c r="C4" i="5"/>
  <c r="A5" i="5"/>
  <c r="B5" i="5"/>
  <c r="B5" i="4" s="1"/>
  <c r="C5" i="5"/>
  <c r="A6" i="5"/>
  <c r="B6" i="5"/>
  <c r="C5" i="4" s="1"/>
  <c r="C6" i="5"/>
  <c r="F6" i="5" s="1"/>
  <c r="A7" i="5"/>
  <c r="B7" i="5"/>
  <c r="C7" i="5"/>
  <c r="C14" i="4" s="1"/>
  <c r="D7" i="5"/>
  <c r="D14" i="4" s="1"/>
  <c r="D1" i="4"/>
  <c r="F1" i="4"/>
  <c r="G1" i="4" s="1"/>
  <c r="H1" i="4" s="1"/>
  <c r="I1" i="4" s="1"/>
  <c r="J1" i="4" s="1"/>
  <c r="K1" i="4" s="1"/>
  <c r="L1" i="4" s="1"/>
  <c r="M1" i="4" s="1"/>
  <c r="H58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D3" i="5" l="1"/>
  <c r="B13" i="4"/>
  <c r="D2" i="5"/>
  <c r="D5" i="5"/>
  <c r="D6" i="5"/>
  <c r="D13" i="4" s="1"/>
  <c r="B7" i="10"/>
  <c r="H8" i="9"/>
  <c r="G8" i="9"/>
  <c r="H4" i="9"/>
  <c r="G4" i="9"/>
  <c r="D7" i="8"/>
  <c r="D6" i="8"/>
  <c r="B2" i="8" s="1"/>
  <c r="C2" i="8"/>
  <c r="G11" i="7"/>
  <c r="F11" i="7"/>
  <c r="D11" i="7"/>
  <c r="D10" i="7"/>
  <c r="D9" i="7"/>
  <c r="G7" i="7"/>
  <c r="F7" i="7"/>
  <c r="C6" i="7"/>
  <c r="C5" i="7"/>
  <c r="C4" i="7"/>
  <c r="G3" i="7"/>
  <c r="C3" i="7"/>
  <c r="C19" i="4"/>
  <c r="B7" i="4"/>
  <c r="C2" i="4"/>
  <c r="A13" i="4"/>
  <c r="A21" i="4"/>
  <c r="A22" i="4" s="1"/>
  <c r="A23" i="4" s="1"/>
  <c r="A24" i="4" s="1"/>
  <c r="A25" i="4" s="1"/>
  <c r="A26" i="4" s="1"/>
  <c r="A27" i="4" s="1"/>
  <c r="A28" i="4" s="1"/>
  <c r="B20" i="4"/>
  <c r="B21" i="4" s="1"/>
  <c r="D19" i="4"/>
  <c r="D10" i="4" s="1"/>
  <c r="D18" i="4"/>
  <c r="C7" i="4" l="1"/>
  <c r="D7" i="4" s="1"/>
  <c r="E7" i="4" s="1"/>
  <c r="F7" i="4" s="1"/>
  <c r="G7" i="4" s="1"/>
  <c r="H7" i="4" s="1"/>
  <c r="I7" i="4" s="1"/>
  <c r="J7" i="4" s="1"/>
  <c r="K7" i="4" s="1"/>
  <c r="L7" i="4" s="1"/>
  <c r="M7" i="4" s="1"/>
  <c r="C3" i="2"/>
  <c r="C7" i="2"/>
  <c r="C6" i="2"/>
  <c r="C4" i="2"/>
  <c r="C8" i="2"/>
  <c r="C5" i="2"/>
  <c r="C9" i="2"/>
  <c r="C2" i="2"/>
  <c r="C18" i="4"/>
  <c r="B22" i="4"/>
  <c r="D21" i="4"/>
  <c r="F10" i="4" s="1"/>
  <c r="B2" i="4"/>
  <c r="D20" i="4"/>
  <c r="E10" i="4" s="1"/>
  <c r="D6" i="4" l="1"/>
  <c r="D2" i="4" s="1"/>
  <c r="E6" i="4"/>
  <c r="E2" i="4" s="1"/>
  <c r="B3" i="2"/>
  <c r="B7" i="2"/>
  <c r="B4" i="2"/>
  <c r="B8" i="2"/>
  <c r="B2" i="2"/>
  <c r="B5" i="2"/>
  <c r="B9" i="2"/>
  <c r="B6" i="2"/>
  <c r="F6" i="4"/>
  <c r="F2" i="4" s="1"/>
  <c r="E8" i="2"/>
  <c r="B23" i="4"/>
  <c r="D22" i="4"/>
  <c r="G10" i="4" s="1"/>
  <c r="G6" i="4" s="1"/>
  <c r="G2" i="4" s="1"/>
  <c r="D2" i="2" l="1"/>
  <c r="D6" i="2"/>
  <c r="E6" i="2"/>
  <c r="E4" i="2"/>
  <c r="D9" i="2"/>
  <c r="E7" i="2"/>
  <c r="D8" i="2"/>
  <c r="E3" i="2"/>
  <c r="D3" i="2"/>
  <c r="D5" i="2"/>
  <c r="E2" i="2"/>
  <c r="E5" i="2"/>
  <c r="F5" i="2"/>
  <c r="E9" i="2"/>
  <c r="F7" i="2"/>
  <c r="F8" i="2"/>
  <c r="F2" i="2"/>
  <c r="D4" i="2"/>
  <c r="D7" i="2"/>
  <c r="F6" i="2"/>
  <c r="F3" i="2"/>
  <c r="F4" i="2"/>
  <c r="F9" i="2"/>
  <c r="G3" i="2"/>
  <c r="G6" i="2"/>
  <c r="G2" i="2"/>
  <c r="G8" i="2"/>
  <c r="G5" i="2"/>
  <c r="G7" i="2"/>
  <c r="G4" i="2"/>
  <c r="G9" i="2"/>
  <c r="B24" i="4"/>
  <c r="D23" i="4"/>
  <c r="H10" i="4" s="1"/>
  <c r="H6" i="4" s="1"/>
  <c r="H2" i="4" s="1"/>
  <c r="H9" i="2" l="1"/>
  <c r="H3" i="2"/>
  <c r="H6" i="2"/>
  <c r="H2" i="2"/>
  <c r="H8" i="2"/>
  <c r="H5" i="2"/>
  <c r="H7" i="2"/>
  <c r="H4" i="2"/>
  <c r="D24" i="4"/>
  <c r="I10" i="4" s="1"/>
  <c r="I6" i="4" s="1"/>
  <c r="I2" i="4" s="1"/>
  <c r="B25" i="4"/>
  <c r="I7" i="2" l="1"/>
  <c r="I9" i="2"/>
  <c r="I3" i="2"/>
  <c r="I4" i="2"/>
  <c r="I6" i="2"/>
  <c r="I2" i="2"/>
  <c r="I8" i="2"/>
  <c r="I5" i="2"/>
  <c r="D25" i="4"/>
  <c r="J10" i="4" s="1"/>
  <c r="B26" i="4"/>
  <c r="J6" i="4" l="1"/>
  <c r="J2" i="4" s="1"/>
  <c r="B27" i="4"/>
  <c r="D26" i="4"/>
  <c r="K10" i="4" s="1"/>
  <c r="J7" i="2" l="1"/>
  <c r="J4" i="2"/>
  <c r="J9" i="2"/>
  <c r="J3" i="2"/>
  <c r="J6" i="2"/>
  <c r="J2" i="2"/>
  <c r="J8" i="2"/>
  <c r="J5" i="2"/>
  <c r="K6" i="4"/>
  <c r="K2" i="4" s="1"/>
  <c r="D27" i="4"/>
  <c r="L10" i="4" s="1"/>
  <c r="B28" i="4"/>
  <c r="D28" i="4" s="1"/>
  <c r="M10" i="4" s="1"/>
  <c r="M6" i="4" s="1"/>
  <c r="M2" i="4" s="1"/>
  <c r="M8" i="2" l="1"/>
  <c r="M5" i="2"/>
  <c r="M7" i="2"/>
  <c r="M4" i="2"/>
  <c r="M2" i="2"/>
  <c r="M9" i="2"/>
  <c r="M3" i="2"/>
  <c r="M6" i="2"/>
  <c r="K7" i="2"/>
  <c r="K4" i="2"/>
  <c r="K8" i="2"/>
  <c r="K9" i="2"/>
  <c r="K3" i="2"/>
  <c r="K5" i="2"/>
  <c r="K6" i="2"/>
  <c r="K2" i="2"/>
  <c r="L6" i="4"/>
  <c r="L2" i="4" s="1"/>
  <c r="O2" i="2" l="1"/>
  <c r="W2" i="2"/>
  <c r="AE2" i="2"/>
  <c r="T3" i="2"/>
  <c r="AB3" i="2"/>
  <c r="Q4" i="2"/>
  <c r="Y4" i="2"/>
  <c r="AG4" i="2"/>
  <c r="V5" i="2"/>
  <c r="AD5" i="2"/>
  <c r="S6" i="2"/>
  <c r="AA6" i="2"/>
  <c r="P7" i="2"/>
  <c r="X7" i="2"/>
  <c r="AF7" i="2"/>
  <c r="U8" i="2"/>
  <c r="AC8" i="2"/>
  <c r="R9" i="2"/>
  <c r="Z9" i="2"/>
  <c r="N3" i="2"/>
  <c r="P4" i="2"/>
  <c r="O7" i="2"/>
  <c r="Y9" i="2"/>
  <c r="P2" i="2"/>
  <c r="X2" i="2"/>
  <c r="AF2" i="2"/>
  <c r="U3" i="2"/>
  <c r="AC3" i="2"/>
  <c r="R4" i="2"/>
  <c r="Z4" i="2"/>
  <c r="O5" i="2"/>
  <c r="W5" i="2"/>
  <c r="AE5" i="2"/>
  <c r="T6" i="2"/>
  <c r="AB6" i="2"/>
  <c r="Q7" i="2"/>
  <c r="Y7" i="2"/>
  <c r="AG7" i="2"/>
  <c r="V8" i="2"/>
  <c r="AD8" i="2"/>
  <c r="S9" i="2"/>
  <c r="AA9" i="2"/>
  <c r="N4" i="2"/>
  <c r="X4" i="2"/>
  <c r="Z6" i="2"/>
  <c r="Q9" i="2"/>
  <c r="Q2" i="2"/>
  <c r="Y2" i="2"/>
  <c r="AG2" i="2"/>
  <c r="V3" i="2"/>
  <c r="AD3" i="2"/>
  <c r="S4" i="2"/>
  <c r="AA4" i="2"/>
  <c r="P5" i="2"/>
  <c r="X5" i="2"/>
  <c r="AF5" i="2"/>
  <c r="U6" i="2"/>
  <c r="AC6" i="2"/>
  <c r="R7" i="2"/>
  <c r="Z7" i="2"/>
  <c r="O8" i="2"/>
  <c r="W8" i="2"/>
  <c r="AE8" i="2"/>
  <c r="T9" i="2"/>
  <c r="AB9" i="2"/>
  <c r="N5" i="2"/>
  <c r="AB8" i="2"/>
  <c r="R2" i="2"/>
  <c r="Z2" i="2"/>
  <c r="O3" i="2"/>
  <c r="W3" i="2"/>
  <c r="AE3" i="2"/>
  <c r="T4" i="2"/>
  <c r="AB4" i="2"/>
  <c r="Q5" i="2"/>
  <c r="Y5" i="2"/>
  <c r="AG5" i="2"/>
  <c r="V6" i="2"/>
  <c r="AD6" i="2"/>
  <c r="S7" i="2"/>
  <c r="AA7" i="2"/>
  <c r="P8" i="2"/>
  <c r="X8" i="2"/>
  <c r="AF8" i="2"/>
  <c r="U9" i="2"/>
  <c r="AC9" i="2"/>
  <c r="N6" i="2"/>
  <c r="AA3" i="2"/>
  <c r="S2" i="2"/>
  <c r="AA2" i="2"/>
  <c r="P3" i="2"/>
  <c r="X3" i="2"/>
  <c r="AF3" i="2"/>
  <c r="U4" i="2"/>
  <c r="AC4" i="2"/>
  <c r="R5" i="2"/>
  <c r="Z5" i="2"/>
  <c r="O6" i="2"/>
  <c r="W6" i="2"/>
  <c r="AE6" i="2"/>
  <c r="T7" i="2"/>
  <c r="AB7" i="2"/>
  <c r="Q8" i="2"/>
  <c r="Y8" i="2"/>
  <c r="AG8" i="2"/>
  <c r="V9" i="2"/>
  <c r="AD9" i="2"/>
  <c r="N7" i="2"/>
  <c r="AD2" i="2"/>
  <c r="U5" i="2"/>
  <c r="R6" i="2"/>
  <c r="T8" i="2"/>
  <c r="N2" i="2"/>
  <c r="T2" i="2"/>
  <c r="AB2" i="2"/>
  <c r="Q3" i="2"/>
  <c r="Y3" i="2"/>
  <c r="AG3" i="2"/>
  <c r="V4" i="2"/>
  <c r="AD4" i="2"/>
  <c r="S5" i="2"/>
  <c r="AA5" i="2"/>
  <c r="P6" i="2"/>
  <c r="X6" i="2"/>
  <c r="AF6" i="2"/>
  <c r="U7" i="2"/>
  <c r="AC7" i="2"/>
  <c r="R8" i="2"/>
  <c r="Z8" i="2"/>
  <c r="O9" i="2"/>
  <c r="W9" i="2"/>
  <c r="AE9" i="2"/>
  <c r="N8" i="2"/>
  <c r="S3" i="2"/>
  <c r="AF4" i="2"/>
  <c r="AC5" i="2"/>
  <c r="W7" i="2"/>
  <c r="AG9" i="2"/>
  <c r="U2" i="2"/>
  <c r="AC2" i="2"/>
  <c r="R3" i="2"/>
  <c r="Z3" i="2"/>
  <c r="O4" i="2"/>
  <c r="W4" i="2"/>
  <c r="AE4" i="2"/>
  <c r="T5" i="2"/>
  <c r="AB5" i="2"/>
  <c r="Q6" i="2"/>
  <c r="Y6" i="2"/>
  <c r="AG6" i="2"/>
  <c r="V7" i="2"/>
  <c r="AD7" i="2"/>
  <c r="S8" i="2"/>
  <c r="AA8" i="2"/>
  <c r="P9" i="2"/>
  <c r="X9" i="2"/>
  <c r="AF9" i="2"/>
  <c r="N9" i="2"/>
  <c r="V2" i="2"/>
  <c r="AE7" i="2"/>
  <c r="L8" i="2"/>
  <c r="L5" i="2"/>
  <c r="L7" i="2"/>
  <c r="L4" i="2"/>
  <c r="L9" i="2"/>
  <c r="L3" i="2"/>
  <c r="L6" i="2"/>
  <c r="L2" i="2"/>
</calcChain>
</file>

<file path=xl/sharedStrings.xml><?xml version="1.0" encoding="utf-8"?>
<sst xmlns="http://schemas.openxmlformats.org/spreadsheetml/2006/main" count="169" uniqueCount="128">
  <si>
    <t>BCTR BAU Carbon Tax Rate</t>
  </si>
  <si>
    <t>Source: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</si>
  <si>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</si>
  <si>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</si>
  <si>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</si>
  <si>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</si>
  <si>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</si>
  <si>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</si>
  <si>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</si>
  <si>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</si>
  <si>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</si>
  <si>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</si>
  <si>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https://www.arb.ca.gov/cc/capandtrade/auction/results_summary.pdf</t>
  </si>
  <si>
    <t>https://www.arb.ca.gov/cc/capandtrade/auction/auction_archive.htm</t>
  </si>
  <si>
    <t>§ 95911, (3) A, p. 221</t>
  </si>
  <si>
    <t>https://www.arb.ca.gov/cc/capandtrade/capandtrade/unofficial_ct_100217.pdf</t>
  </si>
  <si>
    <t>parameter 1</t>
  </si>
  <si>
    <t>parameter 2</t>
  </si>
  <si>
    <t>Quarterly auctions</t>
  </si>
  <si>
    <t>Settlement price at auction</t>
  </si>
  <si>
    <t>Floor price</t>
  </si>
  <si>
    <t>Difference</t>
  </si>
  <si>
    <t>Average annual auction prices (nominal)</t>
  </si>
  <si>
    <t>Auction reserve price</t>
  </si>
  <si>
    <t>avg price</t>
  </si>
  <si>
    <t>floor</t>
  </si>
  <si>
    <t>Q4</t>
  </si>
  <si>
    <t xml:space="preserve">Average auction price </t>
  </si>
  <si>
    <t>(2019 $s)</t>
  </si>
  <si>
    <t>2017 $s</t>
  </si>
  <si>
    <t>Q1</t>
  </si>
  <si>
    <t>Q2</t>
  </si>
  <si>
    <t>Q3</t>
  </si>
  <si>
    <t>https://ww2.arb.ca.gov/sites/default/files/2020-08/results_summary.pdf</t>
  </si>
  <si>
    <t>latest settlement price (May 2021)</t>
  </si>
  <si>
    <t>Ratio of last settlment/auction reserve</t>
  </si>
  <si>
    <t>California Air Resources Board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</si>
  <si>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</si>
  <si>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</si>
  <si>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</si>
  <si>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</si>
  <si>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</si>
  <si>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</si>
  <si>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</si>
  <si>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</si>
  <si>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</si>
  <si>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</si>
  <si>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1968............................................................................. .</t>
  </si>
  <si>
    <t>–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</si>
  <si>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</si>
  <si>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</si>
  <si>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</si>
  <si>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</si>
  <si>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</si>
  <si>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</si>
  <si>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</si>
  <si>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</si>
  <si>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</si>
  <si>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</si>
  <si>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</si>
  <si>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</si>
  <si>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</si>
  <si>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</si>
  <si>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</si>
  <si>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</si>
  <si>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</si>
  <si>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</si>
  <si>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</si>
  <si>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</si>
  <si>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</si>
  <si>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</si>
  <si>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</si>
  <si>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</si>
  <si>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</si>
  <si>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</si>
  <si>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</si>
  <si>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</si>
  <si>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</si>
  <si>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</si>
  <si>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</si>
  <si>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</si>
  <si>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</si>
  <si>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</si>
  <si>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</si>
  <si>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</si>
  <si>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</si>
  <si>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</si>
  <si>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</si>
  <si>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</si>
  <si>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</si>
  <si>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</si>
  <si>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</si>
  <si>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</si>
  <si>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</si>
  <si>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</si>
  <si>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</si>
  <si>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</si>
  <si>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</si>
  <si>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</si>
  <si>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</si>
  <si>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</si>
  <si>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Floor price in 2019 $s</t>
  </si>
  <si>
    <t>Projected price (2019$s)</t>
  </si>
  <si>
    <t>Auction reserve price (nominal)</t>
  </si>
  <si>
    <t>More detail available here:</t>
  </si>
  <si>
    <t>Cap-and-trade regulation for documentation regarding price floor trend</t>
  </si>
  <si>
    <t>Noting current year as 2019$s. Standard consumer price index adjustment made for prices in other years ("cpi" tab).</t>
  </si>
  <si>
    <t xml:space="preserve">"The Auction Reserve Price in U.S. dollars shall be the U.S. dollar Auction Reserve Price for </t>
  </si>
  <si>
    <t xml:space="preserve">the previous calendar year increased annually by 5 percent plus the rate of inflation as measured </t>
  </si>
  <si>
    <t>by the most recently available twelve months of the Consumer Price Index for All Urban Consumers."</t>
  </si>
  <si>
    <t>Here is the specific language regarding the annual rate of escalation for the price floor (i.e. Auction Reserve Price) as in § 95911, (3) A, p. 221:</t>
  </si>
  <si>
    <t>California Legislature</t>
  </si>
  <si>
    <t>Assembly Bill 398</t>
  </si>
  <si>
    <t>https://leginfo.legislature.ca.gov/faces/billNavClient.xhtml?bill_id=201720180AB398</t>
  </si>
  <si>
    <t>Seeing as Assembly Bill 398 extends authority for caps to 2030, the price is taken as constant in 2031 and later.</t>
  </si>
  <si>
    <t>Percent above floor price per trend analysis</t>
  </si>
  <si>
    <t>Trend analysis</t>
  </si>
  <si>
    <t>Annual count (X axis value)</t>
  </si>
  <si>
    <t>Empirical data</t>
  </si>
  <si>
    <t>% above floor price per trend analysis</t>
  </si>
  <si>
    <t>Average for the year</t>
  </si>
  <si>
    <t>2021 (half year)</t>
  </si>
  <si>
    <t>Price floor</t>
  </si>
  <si>
    <t>Auction reserve price in 2019 $s</t>
  </si>
  <si>
    <t>Time series</t>
  </si>
  <si>
    <t>Empirical</t>
  </si>
  <si>
    <t>Summary of Auction Settlement Prices and Results</t>
  </si>
  <si>
    <t xml:space="preserve">As detailed on the "Projection" sheet, an exponential curve is fit to recent empirical data to project forward expected prices.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</si>
</sst>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2" applyNumberFormat="1" applyFont="1"/>
    <xf numFmtId="8" fontId="0" fillId="0" borderId="0" xfId="0" applyNumberFormat="1"/>
    <xf numFmtId="0" fontId="0" fillId="2" borderId="0" xfId="0" applyFill="1"/>
    <xf numFmtId="44" fontId="0" fillId="0" borderId="0" xfId="1" applyFont="1"/>
    <xf numFmtId="9" fontId="0" fillId="0" borderId="0" xfId="2" applyFont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/>
    <xf numFmtId="44" fontId="0" fillId="0" borderId="0" xfId="1" applyNumberFormat="1" applyFont="1"/>
    <xf numFmtId="44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0" borderId="0" xfId="3" applyNumberFormat="1" applyFont="1"/>
    <xf numFmtId="0" fontId="0" fillId="0" borderId="0" xfId="3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Projection!$B$18:$B$19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Projection!$C$18:$C$19</c:f>
              <c:numCache>
                <c:formatCode>0.0%</c:formatCode>
                <c:ptCount val="2"/>
                <c:pt idx="0">
                  <c:v>2.0233812949640217E-2</c:v>
                </c:pt>
                <c:pt idx="1">
                  <c:v>3.3314511575381234E-2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A-4B92-A502-CBCA7BE5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86536"/>
        <c:axId val="582986864"/>
      </c:scatterChart>
      <c:valAx>
        <c:axId val="5829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6864"/>
        <c:crosses val="autoZero"/>
        <c:crossBetween val="midCat"/>
      </c:valAx>
      <c:valAx>
        <c:axId val="58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441325</xdr:colOff>
      <xdr:row>13</xdr:row>
      <xdr:rowOff>31750</xdr:rowOff>
    </xdr:from>
    <xdr:to>
      <xdr:col>16</xdr:col>
      <xdr:colOff>136525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A13FF-67B7-4C3F-85E3-112660D80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477593</xdr:colOff>
      <xdr:row>44</xdr:row>
      <xdr:rowOff>162873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9E98A-57D3-453E-8ED3-A4CE2800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51300"/>
          <a:ext cx="9621593" cy="6792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6</xdr:col>
      <xdr:colOff>544277</xdr:colOff>
      <xdr:row>63</xdr:row>
      <xdr:rowOff>51244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5AA0D-F343-420D-9491-7A4F4BA1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0"/>
          <a:ext cx="9688277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9</xdr:col>
      <xdr:colOff>125374</xdr:colOff>
      <xdr:row>100</xdr:row>
      <xdr:rowOff>67610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B5E4B7-8F26-4FD4-A877-EC7C9759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363700"/>
          <a:ext cx="11098174" cy="6697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13</xdr:row>
      <xdr:rowOff>69411</xdr:rowOff>
    </xdr:from>
    <xdr:to>
      <xdr:col>7</xdr:col>
      <xdr:colOff>447675</xdr:colOff>
      <xdr:row>19</xdr:row>
      <xdr:rowOff>19061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BBD6C-61B9-4FE8-B6FC-3ACD70E2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463361"/>
          <a:ext cx="4638675" cy="1054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19</xdr:row>
      <xdr:rowOff>25675</xdr:rowOff>
    </xdr:from>
    <xdr:to>
      <xdr:col>7</xdr:col>
      <xdr:colOff>381001</xdr:colOff>
      <xdr:row>27</xdr:row>
      <xdr:rowOff>14307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D7D5F-6BFF-4606-8B39-45170B06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1" y="3524525"/>
          <a:ext cx="3943350" cy="1461832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23</xdr:row>
      <xdr:rowOff>114300</xdr:rowOff>
    </xdr:from>
    <xdr:to>
      <xdr:col>21</xdr:col>
      <xdr:colOff>176259</xdr:colOff>
      <xdr:row>37</xdr:row>
      <xdr:rowOff>100032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A85E22-F336-43BA-BCD7-3598B2CE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349750"/>
          <a:ext cx="6348459" cy="2563832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10</xdr:row>
      <xdr:rowOff>23955</xdr:rowOff>
    </xdr:from>
    <xdr:to>
      <xdr:col>21</xdr:col>
      <xdr:colOff>433438</xdr:colOff>
      <xdr:row>22</xdr:row>
      <xdr:rowOff>176234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116BBD-15B2-4031-BE2C-6CFEE0D9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1865455"/>
          <a:ext cx="5595988" cy="23620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15</xdr:col>
      <xdr:colOff>176245</xdr:colOff>
      <xdr:row>18</xdr:row>
      <xdr:rowOff>4782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1B0F50-0C60-40EE-9FE8-0E4079F0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736600"/>
          <a:ext cx="4443445" cy="25828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22</xdr:col>
      <xdr:colOff>220977</xdr:colOff>
      <xdr:row>21</xdr:row>
      <xdr:rowOff>85968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3070BC-3C74-4755-809F-6670DD33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09800"/>
          <a:ext cx="13632177" cy="1743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2152650</xdr:colOff>
      <xdr:row>11</xdr:row>
      <xdr:rowOff>90914</xdr:rowOff>
    </xdr:from>
    <xdr:to>
      <xdr:col>8</xdr:col>
      <xdr:colOff>268628</xdr:colOff>
      <xdr:row>24</xdr:row>
      <xdr:rowOff>146635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FDC10-13A5-4C47-A208-03A3878C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2116564"/>
          <a:ext cx="8072778" cy="24496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2632</xdr:rowOff>
    </xdr:from>
    <xdr:to>
      <xdr:col>7</xdr:col>
      <xdr:colOff>95250</xdr:colOff>
      <xdr:row>35</xdr:row>
      <xdr:rowOff>77379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B4D4B-0F3F-43F8-B0B4-24582222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7332"/>
          <a:ext cx="6019800" cy="3205297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7</xdr:row>
      <xdr:rowOff>152400</xdr:rowOff>
    </xdr:from>
    <xdr:to>
      <xdr:col>4</xdr:col>
      <xdr:colOff>218034</xdr:colOff>
      <xdr:row>19</xdr:row>
      <xdr:rowOff>40727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09C3D-3FCF-4142-B17A-5D69E6DB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1441450"/>
          <a:ext cx="4224884" cy="20981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C28"/>
  <sheetViews>
    <sheetView workbookViewId="0">
      <selection activeCell="I30" sqref="I30"/>
    </sheetView>
  </sheetViews>
  <sheetFormatPr defaultColWidth="8.85546875" defaultRowHeight="15" x14ac:dyDescent="0.25"/>
  <sheetData>
    <row r="1" spans="1:3" x14ac:dyDescent="0.25">
      <c r="A1" s="1" t="s">
        <v>0</v>
      </c>
      <c r="C1" s="3"/>
    </row>
    <row r="3" spans="1:3" x14ac:dyDescent="0.25">
      <c r="A3" t="s">
        <v>1</v>
      </c>
      <c r="B3" t="s">
        <v>36</v>
      </c>
    </row>
    <row r="4" spans="1:3" x14ac:dyDescent="0.25">
      <c r="B4" t="s">
        <v>126</v>
      </c>
    </row>
    <row r="5" spans="1:3" x14ac:dyDescent="0.25">
      <c r="B5" t="s">
        <v>12</v>
      </c>
    </row>
    <row r="6" spans="1:3" x14ac:dyDescent="0.25">
      <c r="B6" t="s">
        <v>104</v>
      </c>
    </row>
    <row r="7" spans="1:3" x14ac:dyDescent="0.25">
      <c r="B7" t="s">
        <v>13</v>
      </c>
    </row>
    <row r="9" spans="1:3" x14ac:dyDescent="0.25">
      <c r="B9" t="s">
        <v>36</v>
      </c>
    </row>
    <row r="10" spans="1:3" x14ac:dyDescent="0.25">
      <c r="B10" t="s">
        <v>105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A13" s="1"/>
    </row>
    <row r="14" spans="1:3" x14ac:dyDescent="0.25">
      <c r="A14" s="1"/>
      <c r="B14" t="s">
        <v>111</v>
      </c>
    </row>
    <row r="15" spans="1:3" x14ac:dyDescent="0.25">
      <c r="A15" s="1"/>
      <c r="B15" t="s">
        <v>112</v>
      </c>
    </row>
    <row r="16" spans="1:3" x14ac:dyDescent="0.25">
      <c r="B16" t="s">
        <v>113</v>
      </c>
    </row>
    <row r="17" spans="1:2" x14ac:dyDescent="0.25">
      <c r="A17" s="1"/>
    </row>
    <row r="18" spans="1:2" x14ac:dyDescent="0.25">
      <c r="A18" s="1" t="s">
        <v>2</v>
      </c>
    </row>
    <row r="19" spans="1:2" x14ac:dyDescent="0.25">
      <c r="A19" s="9" t="s">
        <v>127</v>
      </c>
    </row>
    <row r="20" spans="1:2" x14ac:dyDescent="0.25">
      <c r="A20" s="1"/>
    </row>
    <row r="21" spans="1:2" x14ac:dyDescent="0.25">
      <c r="A21" t="s">
        <v>106</v>
      </c>
    </row>
    <row r="23" spans="1:2" x14ac:dyDescent="0.25">
      <c r="A23" s="9" t="s">
        <v>110</v>
      </c>
    </row>
    <row r="24" spans="1:2" x14ac:dyDescent="0.25">
      <c r="B24" t="s">
        <v>107</v>
      </c>
    </row>
    <row r="25" spans="1:2" x14ac:dyDescent="0.25">
      <c r="B25" t="s">
        <v>108</v>
      </c>
    </row>
    <row r="26" spans="1:2" x14ac:dyDescent="0.25">
      <c r="B26" t="s">
        <v>109</v>
      </c>
    </row>
    <row r="28" spans="1:2" x14ac:dyDescent="0.25">
      <c r="A28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48" customWidth="1"/>
  </cols>
  <sheetData>
    <row r="1" spans="1:33" x14ac:dyDescent="0.25">
      <c r="A1" s="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t="s">
        <v>4</v>
      </c>
      <c r="B2" s="19">
        <f>Projection!$B$2</f>
        <v>16.835000000000001</v>
      </c>
      <c r="C2" s="19">
        <f>Projection!$C$2</f>
        <v>17.227442207723623</v>
      </c>
      <c r="D2" s="19">
        <f>Projection!D6</f>
        <v>17.878404548930305</v>
      </c>
      <c r="E2" s="19">
        <f>Projection!E6</f>
        <v>19.010294056975361</v>
      </c>
      <c r="F2" s="19">
        <f>Projection!F6</f>
        <v>20.210676504452607</v>
      </c>
      <c r="G2" s="19">
        <f>Projection!G6</f>
        <v>21.483571461535131</v>
      </c>
      <c r="H2" s="19">
        <f>Projection!H6</f>
        <v>22.83322922306478</v>
      </c>
      <c r="I2" s="19">
        <f>Projection!I6</f>
        <v>24.264143832093552</v>
      </c>
      <c r="J2" s="19">
        <f>Projection!J6</f>
        <v>25.781066828967546</v>
      </c>
      <c r="K2" s="19">
        <f>Projection!K6</f>
        <v>27.389021765948701</v>
      </c>
      <c r="L2" s="19">
        <f>Projection!L6</f>
        <v>29.093319529555554</v>
      </c>
      <c r="M2" s="19">
        <f>Projection!M6</f>
        <v>30.89957451510822</v>
      </c>
      <c r="N2" s="19">
        <f>$M$2</f>
        <v>30.89957451510822</v>
      </c>
      <c r="O2" s="19">
        <f t="shared" ref="O2:AG9" si="0">$M$2</f>
        <v>30.89957451510822</v>
      </c>
      <c r="P2" s="19">
        <f t="shared" si="0"/>
        <v>30.89957451510822</v>
      </c>
      <c r="Q2" s="19">
        <f t="shared" si="0"/>
        <v>30.89957451510822</v>
      </c>
      <c r="R2" s="19">
        <f t="shared" si="0"/>
        <v>30.89957451510822</v>
      </c>
      <c r="S2" s="19">
        <f t="shared" si="0"/>
        <v>30.89957451510822</v>
      </c>
      <c r="T2" s="19">
        <f t="shared" si="0"/>
        <v>30.89957451510822</v>
      </c>
      <c r="U2" s="19">
        <f t="shared" si="0"/>
        <v>30.89957451510822</v>
      </c>
      <c r="V2" s="19">
        <f t="shared" si="0"/>
        <v>30.89957451510822</v>
      </c>
      <c r="W2" s="19">
        <f t="shared" si="0"/>
        <v>30.89957451510822</v>
      </c>
      <c r="X2" s="19">
        <f t="shared" si="0"/>
        <v>30.89957451510822</v>
      </c>
      <c r="Y2" s="19">
        <f t="shared" si="0"/>
        <v>30.89957451510822</v>
      </c>
      <c r="Z2" s="19">
        <f t="shared" si="0"/>
        <v>30.89957451510822</v>
      </c>
      <c r="AA2" s="19">
        <f t="shared" si="0"/>
        <v>30.89957451510822</v>
      </c>
      <c r="AB2" s="19">
        <f t="shared" si="0"/>
        <v>30.89957451510822</v>
      </c>
      <c r="AC2" s="19">
        <f t="shared" si="0"/>
        <v>30.89957451510822</v>
      </c>
      <c r="AD2" s="19">
        <f t="shared" si="0"/>
        <v>30.89957451510822</v>
      </c>
      <c r="AE2" s="19">
        <f t="shared" si="0"/>
        <v>30.89957451510822</v>
      </c>
      <c r="AF2" s="19">
        <f t="shared" si="0"/>
        <v>30.89957451510822</v>
      </c>
      <c r="AG2" s="19">
        <f t="shared" si="0"/>
        <v>30.89957451510822</v>
      </c>
    </row>
    <row r="3" spans="1:33" x14ac:dyDescent="0.25">
      <c r="A3" t="s">
        <v>5</v>
      </c>
      <c r="B3" s="19">
        <f>Projection!$B$2</f>
        <v>16.835000000000001</v>
      </c>
      <c r="C3" s="19">
        <f>Projection!$C$2</f>
        <v>17.227442207723623</v>
      </c>
      <c r="D3" s="19">
        <f>Projection!D6</f>
        <v>17.878404548930305</v>
      </c>
      <c r="E3" s="19">
        <f>Projection!E6</f>
        <v>19.010294056975361</v>
      </c>
      <c r="F3" s="19">
        <f>Projection!F6</f>
        <v>20.210676504452607</v>
      </c>
      <c r="G3" s="19">
        <f>Projection!G6</f>
        <v>21.483571461535131</v>
      </c>
      <c r="H3" s="19">
        <f>Projection!H6</f>
        <v>22.83322922306478</v>
      </c>
      <c r="I3" s="19">
        <f>Projection!I6</f>
        <v>24.264143832093552</v>
      </c>
      <c r="J3" s="19">
        <f>Projection!J6</f>
        <v>25.781066828967546</v>
      </c>
      <c r="K3" s="19">
        <f>Projection!K6</f>
        <v>27.389021765948701</v>
      </c>
      <c r="L3" s="19">
        <f>Projection!L6</f>
        <v>29.093319529555554</v>
      </c>
      <c r="M3" s="19">
        <f>Projection!M6</f>
        <v>30.89957451510822</v>
      </c>
      <c r="N3" s="19">
        <f t="shared" ref="N3:AC9" si="1">$M$2</f>
        <v>30.89957451510822</v>
      </c>
      <c r="O3" s="19">
        <f t="shared" si="1"/>
        <v>30.89957451510822</v>
      </c>
      <c r="P3" s="19">
        <f t="shared" si="1"/>
        <v>30.89957451510822</v>
      </c>
      <c r="Q3" s="19">
        <f t="shared" si="1"/>
        <v>30.89957451510822</v>
      </c>
      <c r="R3" s="19">
        <f t="shared" si="1"/>
        <v>30.89957451510822</v>
      </c>
      <c r="S3" s="19">
        <f t="shared" si="1"/>
        <v>30.89957451510822</v>
      </c>
      <c r="T3" s="19">
        <f t="shared" si="1"/>
        <v>30.89957451510822</v>
      </c>
      <c r="U3" s="19">
        <f t="shared" si="1"/>
        <v>30.89957451510822</v>
      </c>
      <c r="V3" s="19">
        <f t="shared" si="1"/>
        <v>30.89957451510822</v>
      </c>
      <c r="W3" s="19">
        <f t="shared" si="1"/>
        <v>30.89957451510822</v>
      </c>
      <c r="X3" s="19">
        <f t="shared" si="1"/>
        <v>30.89957451510822</v>
      </c>
      <c r="Y3" s="19">
        <f t="shared" si="1"/>
        <v>30.89957451510822</v>
      </c>
      <c r="Z3" s="19">
        <f t="shared" si="1"/>
        <v>30.89957451510822</v>
      </c>
      <c r="AA3" s="19">
        <f t="shared" si="1"/>
        <v>30.89957451510822</v>
      </c>
      <c r="AB3" s="19">
        <f t="shared" si="1"/>
        <v>30.89957451510822</v>
      </c>
      <c r="AC3" s="19">
        <f t="shared" si="1"/>
        <v>30.89957451510822</v>
      </c>
      <c r="AD3" s="19">
        <f t="shared" si="0"/>
        <v>30.89957451510822</v>
      </c>
      <c r="AE3" s="19">
        <f t="shared" si="0"/>
        <v>30.89957451510822</v>
      </c>
      <c r="AF3" s="19">
        <f t="shared" si="0"/>
        <v>30.89957451510822</v>
      </c>
      <c r="AG3" s="19">
        <f t="shared" si="0"/>
        <v>30.89957451510822</v>
      </c>
    </row>
    <row r="4" spans="1:33" x14ac:dyDescent="0.25">
      <c r="A4" t="s">
        <v>6</v>
      </c>
      <c r="B4" s="19">
        <f>Projection!$B$2</f>
        <v>16.835000000000001</v>
      </c>
      <c r="C4" s="19">
        <f>Projection!$C$2</f>
        <v>17.227442207723623</v>
      </c>
      <c r="D4" s="19">
        <f>Projection!D6</f>
        <v>17.878404548930305</v>
      </c>
      <c r="E4" s="19">
        <f>Projection!E6</f>
        <v>19.010294056975361</v>
      </c>
      <c r="F4" s="19">
        <f>Projection!F6</f>
        <v>20.210676504452607</v>
      </c>
      <c r="G4" s="19">
        <f>Projection!G6</f>
        <v>21.483571461535131</v>
      </c>
      <c r="H4" s="19">
        <f>Projection!H6</f>
        <v>22.83322922306478</v>
      </c>
      <c r="I4" s="19">
        <f>Projection!I6</f>
        <v>24.264143832093552</v>
      </c>
      <c r="J4" s="19">
        <f>Projection!J6</f>
        <v>25.781066828967546</v>
      </c>
      <c r="K4" s="19">
        <f>Projection!K6</f>
        <v>27.389021765948701</v>
      </c>
      <c r="L4" s="19">
        <f>Projection!L6</f>
        <v>29.093319529555554</v>
      </c>
      <c r="M4" s="19">
        <f>Projection!M6</f>
        <v>30.89957451510822</v>
      </c>
      <c r="N4" s="19">
        <f t="shared" si="1"/>
        <v>30.89957451510822</v>
      </c>
      <c r="O4" s="19">
        <f t="shared" si="0"/>
        <v>30.89957451510822</v>
      </c>
      <c r="P4" s="19">
        <f t="shared" si="0"/>
        <v>30.89957451510822</v>
      </c>
      <c r="Q4" s="19">
        <f t="shared" si="0"/>
        <v>30.89957451510822</v>
      </c>
      <c r="R4" s="19">
        <f t="shared" si="0"/>
        <v>30.89957451510822</v>
      </c>
      <c r="S4" s="19">
        <f t="shared" si="0"/>
        <v>30.89957451510822</v>
      </c>
      <c r="T4" s="19">
        <f t="shared" si="0"/>
        <v>30.89957451510822</v>
      </c>
      <c r="U4" s="19">
        <f t="shared" si="0"/>
        <v>30.89957451510822</v>
      </c>
      <c r="V4" s="19">
        <f t="shared" si="0"/>
        <v>30.89957451510822</v>
      </c>
      <c r="W4" s="19">
        <f t="shared" si="0"/>
        <v>30.89957451510822</v>
      </c>
      <c r="X4" s="19">
        <f t="shared" si="0"/>
        <v>30.89957451510822</v>
      </c>
      <c r="Y4" s="19">
        <f t="shared" si="0"/>
        <v>30.89957451510822</v>
      </c>
      <c r="Z4" s="19">
        <f t="shared" si="0"/>
        <v>30.89957451510822</v>
      </c>
      <c r="AA4" s="19">
        <f t="shared" si="0"/>
        <v>30.89957451510822</v>
      </c>
      <c r="AB4" s="19">
        <f t="shared" si="0"/>
        <v>30.89957451510822</v>
      </c>
      <c r="AC4" s="19">
        <f t="shared" si="0"/>
        <v>30.89957451510822</v>
      </c>
      <c r="AD4" s="19">
        <f t="shared" si="0"/>
        <v>30.89957451510822</v>
      </c>
      <c r="AE4" s="19">
        <f t="shared" si="0"/>
        <v>30.89957451510822</v>
      </c>
      <c r="AF4" s="19">
        <f t="shared" si="0"/>
        <v>30.89957451510822</v>
      </c>
      <c r="AG4" s="19">
        <f t="shared" si="0"/>
        <v>30.89957451510822</v>
      </c>
    </row>
    <row r="5" spans="1:33" x14ac:dyDescent="0.25">
      <c r="A5" t="s">
        <v>7</v>
      </c>
      <c r="B5" s="19">
        <f>Projection!$B$2</f>
        <v>16.835000000000001</v>
      </c>
      <c r="C5" s="19">
        <f>Projection!$C$2</f>
        <v>17.227442207723623</v>
      </c>
      <c r="D5" s="19">
        <f>Projection!D6</f>
        <v>17.878404548930305</v>
      </c>
      <c r="E5" s="19">
        <f>Projection!E6</f>
        <v>19.010294056975361</v>
      </c>
      <c r="F5" s="19">
        <f>Projection!F6</f>
        <v>20.210676504452607</v>
      </c>
      <c r="G5" s="19">
        <f>Projection!G6</f>
        <v>21.483571461535131</v>
      </c>
      <c r="H5" s="19">
        <f>Projection!H6</f>
        <v>22.83322922306478</v>
      </c>
      <c r="I5" s="19">
        <f>Projection!I6</f>
        <v>24.264143832093552</v>
      </c>
      <c r="J5" s="19">
        <f>Projection!J6</f>
        <v>25.781066828967546</v>
      </c>
      <c r="K5" s="19">
        <f>Projection!K6</f>
        <v>27.389021765948701</v>
      </c>
      <c r="L5" s="19">
        <f>Projection!L6</f>
        <v>29.093319529555554</v>
      </c>
      <c r="M5" s="19">
        <f>Projection!M6</f>
        <v>30.89957451510822</v>
      </c>
      <c r="N5" s="19">
        <f t="shared" si="1"/>
        <v>30.89957451510822</v>
      </c>
      <c r="O5" s="19">
        <f t="shared" si="0"/>
        <v>30.89957451510822</v>
      </c>
      <c r="P5" s="19">
        <f t="shared" si="0"/>
        <v>30.89957451510822</v>
      </c>
      <c r="Q5" s="19">
        <f t="shared" si="0"/>
        <v>30.89957451510822</v>
      </c>
      <c r="R5" s="19">
        <f t="shared" si="0"/>
        <v>30.89957451510822</v>
      </c>
      <c r="S5" s="19">
        <f t="shared" si="0"/>
        <v>30.89957451510822</v>
      </c>
      <c r="T5" s="19">
        <f t="shared" si="0"/>
        <v>30.89957451510822</v>
      </c>
      <c r="U5" s="19">
        <f t="shared" si="0"/>
        <v>30.89957451510822</v>
      </c>
      <c r="V5" s="19">
        <f t="shared" si="0"/>
        <v>30.89957451510822</v>
      </c>
      <c r="W5" s="19">
        <f t="shared" si="0"/>
        <v>30.89957451510822</v>
      </c>
      <c r="X5" s="19">
        <f t="shared" si="0"/>
        <v>30.89957451510822</v>
      </c>
      <c r="Y5" s="19">
        <f t="shared" si="0"/>
        <v>30.89957451510822</v>
      </c>
      <c r="Z5" s="19">
        <f t="shared" si="0"/>
        <v>30.89957451510822</v>
      </c>
      <c r="AA5" s="19">
        <f t="shared" si="0"/>
        <v>30.89957451510822</v>
      </c>
      <c r="AB5" s="19">
        <f t="shared" si="0"/>
        <v>30.89957451510822</v>
      </c>
      <c r="AC5" s="19">
        <f t="shared" si="0"/>
        <v>30.89957451510822</v>
      </c>
      <c r="AD5" s="19">
        <f t="shared" si="0"/>
        <v>30.89957451510822</v>
      </c>
      <c r="AE5" s="19">
        <f t="shared" si="0"/>
        <v>30.89957451510822</v>
      </c>
      <c r="AF5" s="19">
        <f t="shared" si="0"/>
        <v>30.89957451510822</v>
      </c>
      <c r="AG5" s="19">
        <f t="shared" si="0"/>
        <v>30.89957451510822</v>
      </c>
    </row>
    <row r="6" spans="1:33" x14ac:dyDescent="0.25">
      <c r="A6" t="s">
        <v>8</v>
      </c>
      <c r="B6" s="19">
        <f>Projection!$B$2</f>
        <v>16.835000000000001</v>
      </c>
      <c r="C6" s="19">
        <f>Projection!$C$2</f>
        <v>17.227442207723623</v>
      </c>
      <c r="D6" s="19">
        <f>Projection!D6</f>
        <v>17.878404548930305</v>
      </c>
      <c r="E6" s="19">
        <f>Projection!E6</f>
        <v>19.010294056975361</v>
      </c>
      <c r="F6" s="19">
        <f>Projection!F6</f>
        <v>20.210676504452607</v>
      </c>
      <c r="G6" s="19">
        <f>Projection!G6</f>
        <v>21.483571461535131</v>
      </c>
      <c r="H6" s="19">
        <f>Projection!H6</f>
        <v>22.83322922306478</v>
      </c>
      <c r="I6" s="19">
        <f>Projection!I6</f>
        <v>24.264143832093552</v>
      </c>
      <c r="J6" s="19">
        <f>Projection!J6</f>
        <v>25.781066828967546</v>
      </c>
      <c r="K6" s="19">
        <f>Projection!K6</f>
        <v>27.389021765948701</v>
      </c>
      <c r="L6" s="19">
        <f>Projection!L6</f>
        <v>29.093319529555554</v>
      </c>
      <c r="M6" s="19">
        <f>Projection!M6</f>
        <v>30.89957451510822</v>
      </c>
      <c r="N6" s="19">
        <f t="shared" si="1"/>
        <v>30.89957451510822</v>
      </c>
      <c r="O6" s="19">
        <f t="shared" si="0"/>
        <v>30.89957451510822</v>
      </c>
      <c r="P6" s="19">
        <f t="shared" si="0"/>
        <v>30.89957451510822</v>
      </c>
      <c r="Q6" s="19">
        <f t="shared" si="0"/>
        <v>30.89957451510822</v>
      </c>
      <c r="R6" s="19">
        <f t="shared" si="0"/>
        <v>30.89957451510822</v>
      </c>
      <c r="S6" s="19">
        <f t="shared" si="0"/>
        <v>30.89957451510822</v>
      </c>
      <c r="T6" s="19">
        <f t="shared" si="0"/>
        <v>30.89957451510822</v>
      </c>
      <c r="U6" s="19">
        <f t="shared" si="0"/>
        <v>30.89957451510822</v>
      </c>
      <c r="V6" s="19">
        <f t="shared" si="0"/>
        <v>30.89957451510822</v>
      </c>
      <c r="W6" s="19">
        <f t="shared" si="0"/>
        <v>30.89957451510822</v>
      </c>
      <c r="X6" s="19">
        <f t="shared" si="0"/>
        <v>30.89957451510822</v>
      </c>
      <c r="Y6" s="19">
        <f t="shared" si="0"/>
        <v>30.89957451510822</v>
      </c>
      <c r="Z6" s="19">
        <f t="shared" si="0"/>
        <v>30.89957451510822</v>
      </c>
      <c r="AA6" s="19">
        <f t="shared" si="0"/>
        <v>30.89957451510822</v>
      </c>
      <c r="AB6" s="19">
        <f t="shared" si="0"/>
        <v>30.89957451510822</v>
      </c>
      <c r="AC6" s="19">
        <f t="shared" si="0"/>
        <v>30.89957451510822</v>
      </c>
      <c r="AD6" s="19">
        <f t="shared" si="0"/>
        <v>30.89957451510822</v>
      </c>
      <c r="AE6" s="19">
        <f t="shared" si="0"/>
        <v>30.89957451510822</v>
      </c>
      <c r="AF6" s="19">
        <f t="shared" si="0"/>
        <v>30.89957451510822</v>
      </c>
      <c r="AG6" s="19">
        <f t="shared" si="0"/>
        <v>30.89957451510822</v>
      </c>
    </row>
    <row r="7" spans="1:33" x14ac:dyDescent="0.25">
      <c r="A7" t="s">
        <v>9</v>
      </c>
      <c r="B7" s="19">
        <f>Projection!$B$2</f>
        <v>16.835000000000001</v>
      </c>
      <c r="C7" s="19">
        <f>Projection!$C$2</f>
        <v>17.227442207723623</v>
      </c>
      <c r="D7" s="19">
        <f>Projection!D6</f>
        <v>17.878404548930305</v>
      </c>
      <c r="E7" s="19">
        <f>Projection!E6</f>
        <v>19.010294056975361</v>
      </c>
      <c r="F7" s="19">
        <f>Projection!F6</f>
        <v>20.210676504452607</v>
      </c>
      <c r="G7" s="19">
        <f>Projection!G6</f>
        <v>21.483571461535131</v>
      </c>
      <c r="H7" s="19">
        <f>Projection!H6</f>
        <v>22.83322922306478</v>
      </c>
      <c r="I7" s="19">
        <f>Projection!I6</f>
        <v>24.264143832093552</v>
      </c>
      <c r="J7" s="19">
        <f>Projection!J6</f>
        <v>25.781066828967546</v>
      </c>
      <c r="K7" s="19">
        <f>Projection!K6</f>
        <v>27.389021765948701</v>
      </c>
      <c r="L7" s="19">
        <f>Projection!L6</f>
        <v>29.093319529555554</v>
      </c>
      <c r="M7" s="19">
        <f>Projection!M6</f>
        <v>30.89957451510822</v>
      </c>
      <c r="N7" s="19">
        <f t="shared" si="1"/>
        <v>30.89957451510822</v>
      </c>
      <c r="O7" s="19">
        <f t="shared" si="0"/>
        <v>30.89957451510822</v>
      </c>
      <c r="P7" s="19">
        <f t="shared" si="0"/>
        <v>30.89957451510822</v>
      </c>
      <c r="Q7" s="19">
        <f t="shared" si="0"/>
        <v>30.89957451510822</v>
      </c>
      <c r="R7" s="19">
        <f t="shared" si="0"/>
        <v>30.89957451510822</v>
      </c>
      <c r="S7" s="19">
        <f t="shared" si="0"/>
        <v>30.89957451510822</v>
      </c>
      <c r="T7" s="19">
        <f t="shared" si="0"/>
        <v>30.89957451510822</v>
      </c>
      <c r="U7" s="19">
        <f t="shared" si="0"/>
        <v>30.89957451510822</v>
      </c>
      <c r="V7" s="19">
        <f t="shared" si="0"/>
        <v>30.89957451510822</v>
      </c>
      <c r="W7" s="19">
        <f t="shared" si="0"/>
        <v>30.89957451510822</v>
      </c>
      <c r="X7" s="19">
        <f t="shared" si="0"/>
        <v>30.89957451510822</v>
      </c>
      <c r="Y7" s="19">
        <f t="shared" si="0"/>
        <v>30.89957451510822</v>
      </c>
      <c r="Z7" s="19">
        <f t="shared" si="0"/>
        <v>30.89957451510822</v>
      </c>
      <c r="AA7" s="19">
        <f t="shared" si="0"/>
        <v>30.89957451510822</v>
      </c>
      <c r="AB7" s="19">
        <f t="shared" si="0"/>
        <v>30.89957451510822</v>
      </c>
      <c r="AC7" s="19">
        <f t="shared" si="0"/>
        <v>30.89957451510822</v>
      </c>
      <c r="AD7" s="19">
        <f t="shared" si="0"/>
        <v>30.89957451510822</v>
      </c>
      <c r="AE7" s="19">
        <f t="shared" si="0"/>
        <v>30.89957451510822</v>
      </c>
      <c r="AF7" s="19">
        <f t="shared" si="0"/>
        <v>30.89957451510822</v>
      </c>
      <c r="AG7" s="19">
        <f t="shared" si="0"/>
        <v>30.89957451510822</v>
      </c>
    </row>
    <row r="8" spans="1:33" s="18" customFormat="1" x14ac:dyDescent="0.25">
      <c r="A8" s="18" t="s">
        <v>10</v>
      </c>
      <c r="B8" s="20">
        <f>Projection!$B$2</f>
        <v>16.835000000000001</v>
      </c>
      <c r="C8" s="20">
        <f>Projection!$C$2</f>
        <v>17.227442207723623</v>
      </c>
      <c r="D8" s="20">
        <f>Projection!D6</f>
        <v>17.878404548930305</v>
      </c>
      <c r="E8" s="20">
        <f>Projection!E6</f>
        <v>19.010294056975361</v>
      </c>
      <c r="F8" s="20">
        <f>Projection!F6</f>
        <v>20.210676504452607</v>
      </c>
      <c r="G8" s="20">
        <f>Projection!G6</f>
        <v>21.483571461535131</v>
      </c>
      <c r="H8" s="20">
        <f>Projection!H6</f>
        <v>22.83322922306478</v>
      </c>
      <c r="I8" s="20">
        <f>Projection!I6</f>
        <v>24.264143832093552</v>
      </c>
      <c r="J8" s="20">
        <f>Projection!J6</f>
        <v>25.781066828967546</v>
      </c>
      <c r="K8" s="20">
        <f>Projection!K6</f>
        <v>27.389021765948701</v>
      </c>
      <c r="L8" s="20">
        <f>Projection!L6</f>
        <v>29.093319529555554</v>
      </c>
      <c r="M8" s="20">
        <f>Projection!M6</f>
        <v>30.89957451510822</v>
      </c>
      <c r="N8" s="20">
        <f t="shared" si="1"/>
        <v>30.89957451510822</v>
      </c>
      <c r="O8" s="20">
        <f t="shared" si="0"/>
        <v>30.89957451510822</v>
      </c>
      <c r="P8" s="20">
        <f t="shared" si="0"/>
        <v>30.89957451510822</v>
      </c>
      <c r="Q8" s="20">
        <f t="shared" si="0"/>
        <v>30.89957451510822</v>
      </c>
      <c r="R8" s="20">
        <f t="shared" si="0"/>
        <v>30.89957451510822</v>
      </c>
      <c r="S8" s="20">
        <f t="shared" si="0"/>
        <v>30.89957451510822</v>
      </c>
      <c r="T8" s="20">
        <f t="shared" si="0"/>
        <v>30.89957451510822</v>
      </c>
      <c r="U8" s="20">
        <f t="shared" si="0"/>
        <v>30.89957451510822</v>
      </c>
      <c r="V8" s="20">
        <f t="shared" si="0"/>
        <v>30.89957451510822</v>
      </c>
      <c r="W8" s="20">
        <f t="shared" si="0"/>
        <v>30.89957451510822</v>
      </c>
      <c r="X8" s="20">
        <f t="shared" si="0"/>
        <v>30.89957451510822</v>
      </c>
      <c r="Y8" s="20">
        <f t="shared" si="0"/>
        <v>30.89957451510822</v>
      </c>
      <c r="Z8" s="20">
        <f t="shared" si="0"/>
        <v>30.89957451510822</v>
      </c>
      <c r="AA8" s="20">
        <f t="shared" si="0"/>
        <v>30.89957451510822</v>
      </c>
      <c r="AB8" s="20">
        <f t="shared" si="0"/>
        <v>30.89957451510822</v>
      </c>
      <c r="AC8" s="20">
        <f t="shared" si="0"/>
        <v>30.89957451510822</v>
      </c>
      <c r="AD8" s="20">
        <f t="shared" si="0"/>
        <v>30.89957451510822</v>
      </c>
      <c r="AE8" s="20">
        <f t="shared" si="0"/>
        <v>30.89957451510822</v>
      </c>
      <c r="AF8" s="20">
        <f t="shared" si="0"/>
        <v>30.89957451510822</v>
      </c>
      <c r="AG8" s="20">
        <f t="shared" si="0"/>
        <v>30.89957451510822</v>
      </c>
    </row>
    <row r="9" spans="1:33" s="18" customFormat="1" x14ac:dyDescent="0.25">
      <c r="A9" s="18" t="s">
        <v>11</v>
      </c>
      <c r="B9" s="20">
        <f>Projection!$B$2</f>
        <v>16.835000000000001</v>
      </c>
      <c r="C9" s="20">
        <f>Projection!$C$2</f>
        <v>17.227442207723623</v>
      </c>
      <c r="D9" s="20">
        <f>Projection!D6</f>
        <v>17.878404548930305</v>
      </c>
      <c r="E9" s="20">
        <f>Projection!E6</f>
        <v>19.010294056975361</v>
      </c>
      <c r="F9" s="20">
        <f>Projection!F6</f>
        <v>20.210676504452607</v>
      </c>
      <c r="G9" s="20">
        <f>Projection!G6</f>
        <v>21.483571461535131</v>
      </c>
      <c r="H9" s="20">
        <f>Projection!H6</f>
        <v>22.83322922306478</v>
      </c>
      <c r="I9" s="20">
        <f>Projection!I6</f>
        <v>24.264143832093552</v>
      </c>
      <c r="J9" s="20">
        <f>Projection!J6</f>
        <v>25.781066828967546</v>
      </c>
      <c r="K9" s="20">
        <f>Projection!K6</f>
        <v>27.389021765948701</v>
      </c>
      <c r="L9" s="20">
        <f>Projection!L6</f>
        <v>29.093319529555554</v>
      </c>
      <c r="M9" s="20">
        <f>Projection!M6</f>
        <v>30.89957451510822</v>
      </c>
      <c r="N9" s="20">
        <f t="shared" si="1"/>
        <v>30.89957451510822</v>
      </c>
      <c r="O9" s="20">
        <f t="shared" si="0"/>
        <v>30.89957451510822</v>
      </c>
      <c r="P9" s="20">
        <f t="shared" si="0"/>
        <v>30.89957451510822</v>
      </c>
      <c r="Q9" s="20">
        <f t="shared" si="0"/>
        <v>30.89957451510822</v>
      </c>
      <c r="R9" s="20">
        <f t="shared" si="0"/>
        <v>30.89957451510822</v>
      </c>
      <c r="S9" s="20">
        <f t="shared" si="0"/>
        <v>30.89957451510822</v>
      </c>
      <c r="T9" s="20">
        <f t="shared" si="0"/>
        <v>30.89957451510822</v>
      </c>
      <c r="U9" s="20">
        <f t="shared" si="0"/>
        <v>30.89957451510822</v>
      </c>
      <c r="V9" s="20">
        <f t="shared" si="0"/>
        <v>30.89957451510822</v>
      </c>
      <c r="W9" s="20">
        <f t="shared" si="0"/>
        <v>30.89957451510822</v>
      </c>
      <c r="X9" s="20">
        <f t="shared" si="0"/>
        <v>30.89957451510822</v>
      </c>
      <c r="Y9" s="20">
        <f t="shared" si="0"/>
        <v>30.89957451510822</v>
      </c>
      <c r="Z9" s="20">
        <f t="shared" si="0"/>
        <v>30.89957451510822</v>
      </c>
      <c r="AA9" s="20">
        <f t="shared" si="0"/>
        <v>30.89957451510822</v>
      </c>
      <c r="AB9" s="20">
        <f t="shared" si="0"/>
        <v>30.89957451510822</v>
      </c>
      <c r="AC9" s="20">
        <f t="shared" si="0"/>
        <v>30.89957451510822</v>
      </c>
      <c r="AD9" s="20">
        <f t="shared" si="0"/>
        <v>30.89957451510822</v>
      </c>
      <c r="AE9" s="20">
        <f t="shared" si="0"/>
        <v>30.89957451510822</v>
      </c>
      <c r="AF9" s="20">
        <f t="shared" si="0"/>
        <v>30.89957451510822</v>
      </c>
      <c r="AG9" s="20">
        <f t="shared" si="0"/>
        <v>30.89957451510822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265-4BB4-43BC-9265-19F76933FDE1}">
  <dimension ref="A1:M38"/>
  <sheetViews>
    <sheetView workbookViewId="0">
      <selection activeCell="C6" sqref="C6"/>
    </sheetView>
  </sheetViews>
  <sheetFormatPr defaultRowHeight="15" x14ac:dyDescent="0.25"/>
  <cols>
    <col min="1" max="1" width="21.42578125" customWidth="1"/>
    <col min="2" max="2" width="24.42578125" customWidth="1"/>
    <col min="3" max="3" width="14.5703125" customWidth="1"/>
    <col min="4" max="4" width="16" customWidth="1"/>
    <col min="6" max="6" width="12.42578125" customWidth="1"/>
  </cols>
  <sheetData>
    <row r="1" spans="1:13" x14ac:dyDescent="0.25">
      <c r="B1">
        <v>2019</v>
      </c>
      <c r="C1">
        <v>2020</v>
      </c>
      <c r="D1">
        <f>2020+1</f>
        <v>2021</v>
      </c>
      <c r="E1">
        <v>2022</v>
      </c>
      <c r="F1">
        <f>E1+1</f>
        <v>2023</v>
      </c>
      <c r="G1">
        <f t="shared" ref="G1:M1" si="0">F1+1</f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 t="shared" si="0"/>
        <v>2029</v>
      </c>
      <c r="M1">
        <f t="shared" si="0"/>
        <v>2030</v>
      </c>
    </row>
    <row r="2" spans="1:13" x14ac:dyDescent="0.25">
      <c r="A2" s="1" t="s">
        <v>124</v>
      </c>
      <c r="B2">
        <f>B5</f>
        <v>16.835000000000001</v>
      </c>
      <c r="C2">
        <f>C5</f>
        <v>17.227442207723623</v>
      </c>
      <c r="D2" s="16">
        <f t="shared" ref="D2:M2" si="1">D6</f>
        <v>17.878404548930305</v>
      </c>
      <c r="E2" s="16">
        <f t="shared" si="1"/>
        <v>19.010294056975361</v>
      </c>
      <c r="F2" s="16">
        <f t="shared" si="1"/>
        <v>20.210676504452607</v>
      </c>
      <c r="G2" s="16">
        <f t="shared" si="1"/>
        <v>21.483571461535131</v>
      </c>
      <c r="H2" s="16">
        <f t="shared" si="1"/>
        <v>22.83322922306478</v>
      </c>
      <c r="I2" s="16">
        <f t="shared" si="1"/>
        <v>24.264143832093552</v>
      </c>
      <c r="J2" s="16">
        <f t="shared" si="1"/>
        <v>25.781066828967546</v>
      </c>
      <c r="K2" s="16">
        <f t="shared" si="1"/>
        <v>27.389021765948701</v>
      </c>
      <c r="L2" s="16">
        <f t="shared" si="1"/>
        <v>29.093319529555554</v>
      </c>
      <c r="M2" s="16">
        <f t="shared" si="1"/>
        <v>30.89957451510822</v>
      </c>
    </row>
    <row r="3" spans="1:13" x14ac:dyDescent="0.25">
      <c r="D3" s="16"/>
      <c r="E3" s="16"/>
      <c r="F3" s="16"/>
      <c r="G3" s="16"/>
      <c r="H3" s="16"/>
      <c r="I3" s="16"/>
      <c r="J3" s="16"/>
      <c r="K3" s="16"/>
      <c r="L3" s="16"/>
      <c r="M3" s="16"/>
    </row>
    <row r="5" spans="1:13" x14ac:dyDescent="0.25">
      <c r="A5" s="1" t="s">
        <v>125</v>
      </c>
      <c r="B5">
        <f>'Auction results summary'!B5</f>
        <v>16.835000000000001</v>
      </c>
      <c r="C5">
        <f>'Auction results summary'!B6/cpi!H58</f>
        <v>17.227442207723623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A6" s="1" t="s">
        <v>102</v>
      </c>
      <c r="D6" s="16">
        <f t="shared" ref="D6:M6" si="2">D7*(1+D10)</f>
        <v>17.878404548930305</v>
      </c>
      <c r="E6" s="16">
        <f t="shared" si="2"/>
        <v>19.010294056975361</v>
      </c>
      <c r="F6" s="16">
        <f t="shared" si="2"/>
        <v>20.210676504452607</v>
      </c>
      <c r="G6" s="16">
        <f t="shared" si="2"/>
        <v>21.483571461535131</v>
      </c>
      <c r="H6" s="16">
        <f t="shared" si="2"/>
        <v>22.83322922306478</v>
      </c>
      <c r="I6" s="16">
        <f t="shared" si="2"/>
        <v>24.264143832093552</v>
      </c>
      <c r="J6" s="16">
        <f t="shared" si="2"/>
        <v>25.781066828967546</v>
      </c>
      <c r="K6" s="16">
        <f t="shared" si="2"/>
        <v>27.389021765948701</v>
      </c>
      <c r="L6" s="16">
        <f t="shared" si="2"/>
        <v>29.093319529555554</v>
      </c>
      <c r="M6" s="16">
        <f t="shared" si="2"/>
        <v>30.89957451510822</v>
      </c>
    </row>
    <row r="7" spans="1:13" x14ac:dyDescent="0.25">
      <c r="A7" s="1" t="s">
        <v>101</v>
      </c>
      <c r="B7" s="15">
        <f>'Auction results summary'!C5</f>
        <v>15.62</v>
      </c>
      <c r="C7" s="15">
        <f>'Auction results summary'!F6</f>
        <v>16.476729196208819</v>
      </c>
      <c r="D7" s="15">
        <f>C7*1.05</f>
        <v>17.300565656019259</v>
      </c>
      <c r="E7" s="15">
        <f t="shared" ref="E7:M7" si="3">D7*1.05</f>
        <v>18.165593938820223</v>
      </c>
      <c r="F7" s="15">
        <f t="shared" si="3"/>
        <v>19.073873635761235</v>
      </c>
      <c r="G7" s="15">
        <f t="shared" si="3"/>
        <v>20.027567317549298</v>
      </c>
      <c r="H7" s="15">
        <f t="shared" si="3"/>
        <v>21.028945683426763</v>
      </c>
      <c r="I7" s="15">
        <f t="shared" si="3"/>
        <v>22.080392967598101</v>
      </c>
      <c r="J7" s="15">
        <f t="shared" si="3"/>
        <v>23.184412615978008</v>
      </c>
      <c r="K7" s="15">
        <f t="shared" si="3"/>
        <v>24.343633246776911</v>
      </c>
      <c r="L7" s="15">
        <f t="shared" si="3"/>
        <v>25.560814909115756</v>
      </c>
      <c r="M7" s="15">
        <f t="shared" si="3"/>
        <v>26.838855654571546</v>
      </c>
    </row>
    <row r="8" spans="1:13" x14ac:dyDescent="0.25">
      <c r="B8" s="15"/>
      <c r="C8" s="15"/>
      <c r="D8" s="16"/>
    </row>
    <row r="9" spans="1:13" x14ac:dyDescent="0.25">
      <c r="B9" s="15"/>
      <c r="C9" s="15"/>
      <c r="D9" s="16"/>
    </row>
    <row r="10" spans="1:13" x14ac:dyDescent="0.25">
      <c r="A10" t="s">
        <v>115</v>
      </c>
      <c r="D10" s="14">
        <f>D19</f>
        <v>3.3399999999999999E-2</v>
      </c>
      <c r="E10" s="14">
        <f>D20</f>
        <v>4.65E-2</v>
      </c>
      <c r="F10" s="14">
        <f>D21</f>
        <v>5.96E-2</v>
      </c>
      <c r="G10" s="14">
        <f>D22</f>
        <v>7.2700000000000001E-2</v>
      </c>
      <c r="H10" s="14">
        <f>D23</f>
        <v>8.5800000000000001E-2</v>
      </c>
      <c r="I10" s="14">
        <f>D24</f>
        <v>9.8900000000000002E-2</v>
      </c>
      <c r="J10" s="14">
        <f>D25</f>
        <v>0.112</v>
      </c>
      <c r="K10" s="14">
        <f>D26</f>
        <v>0.12510000000000002</v>
      </c>
      <c r="L10" s="14">
        <f>D27</f>
        <v>0.13820000000000002</v>
      </c>
      <c r="M10" s="14">
        <f>D28</f>
        <v>0.15130000000000002</v>
      </c>
    </row>
    <row r="11" spans="1:13" x14ac:dyDescent="0.25">
      <c r="D11" s="16"/>
    </row>
    <row r="12" spans="1:13" x14ac:dyDescent="0.25">
      <c r="A12" s="17" t="s">
        <v>118</v>
      </c>
      <c r="B12" t="s">
        <v>120</v>
      </c>
      <c r="C12" t="s">
        <v>122</v>
      </c>
    </row>
    <row r="13" spans="1:13" x14ac:dyDescent="0.25">
      <c r="A13" t="e">
        <f>'Auction results summary'!#REF!</f>
        <v>#REF!</v>
      </c>
      <c r="B13">
        <f>'Auction results summary'!B6</f>
        <v>17.017499999999998</v>
      </c>
      <c r="C13">
        <f>'Auction results summary'!C6</f>
        <v>16.68</v>
      </c>
      <c r="D13">
        <f>'Auction results summary'!D6</f>
        <v>2.0233812949640217E-2</v>
      </c>
    </row>
    <row r="14" spans="1:13" x14ac:dyDescent="0.25">
      <c r="A14" t="s">
        <v>121</v>
      </c>
      <c r="B14">
        <f>'Auction results summary'!B7</f>
        <v>18.3</v>
      </c>
      <c r="C14">
        <f>'Auction results summary'!C7</f>
        <v>17.71</v>
      </c>
      <c r="D14">
        <f>'Auction results summary'!D7</f>
        <v>3.3314511575381234E-2</v>
      </c>
    </row>
    <row r="17" spans="1:5" x14ac:dyDescent="0.25">
      <c r="A17" s="17" t="s">
        <v>116</v>
      </c>
      <c r="B17" s="17" t="s">
        <v>117</v>
      </c>
      <c r="C17" s="17" t="s">
        <v>118</v>
      </c>
      <c r="D17" s="17" t="s">
        <v>119</v>
      </c>
      <c r="E17" s="6"/>
    </row>
    <row r="18" spans="1:5" x14ac:dyDescent="0.25">
      <c r="A18">
        <v>2020</v>
      </c>
      <c r="B18">
        <v>1</v>
      </c>
      <c r="C18" s="4">
        <f>D13</f>
        <v>2.0233812949640217E-2</v>
      </c>
      <c r="D18" s="4">
        <f t="shared" ref="D18:D28" si="4">$B$31*B18+$B$30</f>
        <v>2.0299999999999999E-2</v>
      </c>
    </row>
    <row r="19" spans="1:5" x14ac:dyDescent="0.25">
      <c r="A19">
        <v>2021</v>
      </c>
      <c r="B19">
        <v>2</v>
      </c>
      <c r="C19" s="4">
        <f>D14</f>
        <v>3.3314511575381234E-2</v>
      </c>
      <c r="D19" s="4">
        <f t="shared" si="4"/>
        <v>3.3399999999999999E-2</v>
      </c>
    </row>
    <row r="20" spans="1:5" x14ac:dyDescent="0.25">
      <c r="A20">
        <v>2022</v>
      </c>
      <c r="B20">
        <f>B19+1</f>
        <v>3</v>
      </c>
      <c r="D20" s="4">
        <f t="shared" si="4"/>
        <v>4.65E-2</v>
      </c>
    </row>
    <row r="21" spans="1:5" x14ac:dyDescent="0.25">
      <c r="A21">
        <f>A20+1</f>
        <v>2023</v>
      </c>
      <c r="B21">
        <f>B20+1</f>
        <v>4</v>
      </c>
      <c r="D21" s="4">
        <f t="shared" si="4"/>
        <v>5.96E-2</v>
      </c>
    </row>
    <row r="22" spans="1:5" x14ac:dyDescent="0.25">
      <c r="A22">
        <f t="shared" ref="A22:B28" si="5">A21+1</f>
        <v>2024</v>
      </c>
      <c r="B22">
        <f t="shared" si="5"/>
        <v>5</v>
      </c>
      <c r="D22" s="4">
        <f t="shared" si="4"/>
        <v>7.2700000000000001E-2</v>
      </c>
    </row>
    <row r="23" spans="1:5" x14ac:dyDescent="0.25">
      <c r="A23">
        <f t="shared" si="5"/>
        <v>2025</v>
      </c>
      <c r="B23">
        <f t="shared" si="5"/>
        <v>6</v>
      </c>
      <c r="D23" s="4">
        <f t="shared" si="4"/>
        <v>8.5800000000000001E-2</v>
      </c>
    </row>
    <row r="24" spans="1:5" x14ac:dyDescent="0.25">
      <c r="A24">
        <f t="shared" si="5"/>
        <v>2026</v>
      </c>
      <c r="B24">
        <f t="shared" si="5"/>
        <v>7</v>
      </c>
      <c r="D24" s="4">
        <f t="shared" si="4"/>
        <v>9.8900000000000002E-2</v>
      </c>
    </row>
    <row r="25" spans="1:5" x14ac:dyDescent="0.25">
      <c r="A25">
        <f t="shared" si="5"/>
        <v>2027</v>
      </c>
      <c r="B25">
        <f t="shared" si="5"/>
        <v>8</v>
      </c>
      <c r="D25" s="4">
        <f t="shared" si="4"/>
        <v>0.112</v>
      </c>
    </row>
    <row r="26" spans="1:5" x14ac:dyDescent="0.25">
      <c r="A26">
        <f t="shared" si="5"/>
        <v>2028</v>
      </c>
      <c r="B26">
        <f t="shared" si="5"/>
        <v>9</v>
      </c>
      <c r="D26" s="4">
        <f t="shared" si="4"/>
        <v>0.12510000000000002</v>
      </c>
    </row>
    <row r="27" spans="1:5" x14ac:dyDescent="0.25">
      <c r="A27">
        <f t="shared" si="5"/>
        <v>2029</v>
      </c>
      <c r="B27">
        <f t="shared" si="5"/>
        <v>10</v>
      </c>
      <c r="D27" s="4">
        <f t="shared" si="4"/>
        <v>0.13820000000000002</v>
      </c>
    </row>
    <row r="28" spans="1:5" x14ac:dyDescent="0.25">
      <c r="A28">
        <f t="shared" si="5"/>
        <v>2030</v>
      </c>
      <c r="B28">
        <f t="shared" si="5"/>
        <v>11</v>
      </c>
      <c r="D28" s="4">
        <f t="shared" si="4"/>
        <v>0.15130000000000002</v>
      </c>
    </row>
    <row r="30" spans="1:5" x14ac:dyDescent="0.25">
      <c r="A30" t="s">
        <v>16</v>
      </c>
      <c r="B30">
        <v>7.1999999999999998E-3</v>
      </c>
    </row>
    <row r="31" spans="1:5" x14ac:dyDescent="0.25">
      <c r="A31" t="s">
        <v>17</v>
      </c>
      <c r="B31">
        <v>1.3100000000000001E-2</v>
      </c>
    </row>
    <row r="38" spans="2:10" x14ac:dyDescent="0.25">
      <c r="B38" s="16"/>
      <c r="C38" s="16"/>
      <c r="D38" s="16"/>
      <c r="E38" s="16"/>
      <c r="F38" s="16"/>
      <c r="G38" s="16"/>
      <c r="H38" s="16"/>
      <c r="I38" s="16"/>
      <c r="J38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517-4B6A-4361-A4CF-B82B48C4E58C}">
  <dimension ref="A1:F7"/>
  <sheetViews>
    <sheetView workbookViewId="0">
      <selection activeCell="A10" sqref="A1:XFD10"/>
    </sheetView>
  </sheetViews>
  <sheetFormatPr defaultRowHeight="15" x14ac:dyDescent="0.25"/>
  <cols>
    <col min="1" max="1" width="19.42578125" customWidth="1"/>
    <col min="2" max="2" width="34.85546875" bestFit="1" customWidth="1"/>
    <col min="3" max="3" width="18.5703125" bestFit="1" customWidth="1"/>
    <col min="4" max="4" width="22.28515625" customWidth="1"/>
    <col min="6" max="6" width="27.140625" customWidth="1"/>
  </cols>
  <sheetData>
    <row r="1" spans="1:6" x14ac:dyDescent="0.25">
      <c r="B1" t="str">
        <f>'2016-2018 prices'!F2</f>
        <v>Average annual auction prices (nominal)</v>
      </c>
      <c r="C1" t="s">
        <v>103</v>
      </c>
      <c r="F1" t="s">
        <v>123</v>
      </c>
    </row>
    <row r="2" spans="1:6" x14ac:dyDescent="0.25">
      <c r="A2">
        <f>'2016-2018 prices'!E3</f>
        <v>2016</v>
      </c>
      <c r="B2">
        <f>'2016-2018 prices'!F3</f>
        <v>12.73</v>
      </c>
      <c r="C2">
        <f>'2016-2018 prices'!G3</f>
        <v>12.73</v>
      </c>
      <c r="D2">
        <f t="shared" ref="D2:D7" si="0">B2/C2-1</f>
        <v>0</v>
      </c>
    </row>
    <row r="3" spans="1:6" x14ac:dyDescent="0.25">
      <c r="A3">
        <f>'2016-2018 prices'!E7</f>
        <v>2017</v>
      </c>
      <c r="B3">
        <f>'2016-2018 prices'!F7</f>
        <v>14.295000000000002</v>
      </c>
      <c r="C3">
        <f>'2016-2018 prices'!G7</f>
        <v>13.57</v>
      </c>
      <c r="D3">
        <f t="shared" si="0"/>
        <v>5.3426676492262404E-2</v>
      </c>
    </row>
    <row r="4" spans="1:6" x14ac:dyDescent="0.25">
      <c r="A4">
        <f>'2016-2018 prices'!E11</f>
        <v>2018</v>
      </c>
      <c r="B4">
        <f>'2016-2018 prices'!F11</f>
        <v>14.905000000000001</v>
      </c>
      <c r="C4">
        <f>'2016-2018 prices'!G11</f>
        <v>14.53</v>
      </c>
      <c r="D4">
        <f t="shared" si="0"/>
        <v>2.580867171369583E-2</v>
      </c>
    </row>
    <row r="5" spans="1:6" x14ac:dyDescent="0.25">
      <c r="A5">
        <f>'2019'!A2</f>
        <v>2019</v>
      </c>
      <c r="B5">
        <f>'2019'!B2</f>
        <v>16.835000000000001</v>
      </c>
      <c r="C5">
        <f>'2019'!C2</f>
        <v>15.62</v>
      </c>
      <c r="D5">
        <f t="shared" si="0"/>
        <v>7.7784891165173065E-2</v>
      </c>
    </row>
    <row r="6" spans="1:6" x14ac:dyDescent="0.25">
      <c r="A6">
        <f>'2020-2021'!F4</f>
        <v>2020</v>
      </c>
      <c r="B6">
        <f>'2020-2021'!G4</f>
        <v>17.017499999999998</v>
      </c>
      <c r="C6">
        <f>'2020-2021'!H4</f>
        <v>16.68</v>
      </c>
      <c r="D6">
        <f t="shared" si="0"/>
        <v>2.0233812949640217E-2</v>
      </c>
      <c r="F6">
        <f>C6*cpi!H58</f>
        <v>16.476729196208819</v>
      </c>
    </row>
    <row r="7" spans="1:6" x14ac:dyDescent="0.25">
      <c r="A7">
        <f>'2020-2021'!F8</f>
        <v>2021</v>
      </c>
      <c r="B7">
        <f>'2020-2021'!G8</f>
        <v>18.3</v>
      </c>
      <c r="C7">
        <f>'2020-2021'!H8</f>
        <v>17.71</v>
      </c>
      <c r="D7">
        <f t="shared" si="0"/>
        <v>3.3314511575381234E-2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6FA4-98EA-4873-A34C-F38FBA9B8803}">
  <dimension ref="A2:G53"/>
  <sheetViews>
    <sheetView zoomScale="130" zoomScaleNormal="130" workbookViewId="0">
      <selection activeCell="K19" sqref="K19"/>
    </sheetView>
  </sheetViews>
  <sheetFormatPr defaultColWidth="9" defaultRowHeight="15" x14ac:dyDescent="0.25"/>
  <cols>
    <col min="1" max="1" width="17" style="3" customWidth="1"/>
    <col min="2" max="2" width="12.140625" customWidth="1"/>
    <col min="6" max="6" width="23.85546875" customWidth="1"/>
    <col min="7" max="7" width="19.85546875" customWidth="1"/>
    <col min="8" max="8" width="17.85546875" bestFit="1" customWidth="1"/>
  </cols>
  <sheetData>
    <row r="2" spans="1:7" x14ac:dyDescent="0.25">
      <c r="A2" s="3" t="s">
        <v>18</v>
      </c>
      <c r="B2" t="s">
        <v>19</v>
      </c>
      <c r="C2" t="s">
        <v>20</v>
      </c>
      <c r="D2" t="s">
        <v>21</v>
      </c>
      <c r="F2" t="s">
        <v>22</v>
      </c>
      <c r="G2" t="s">
        <v>23</v>
      </c>
    </row>
    <row r="3" spans="1:7" x14ac:dyDescent="0.25">
      <c r="A3" s="3">
        <v>42417</v>
      </c>
      <c r="B3">
        <v>12.73</v>
      </c>
      <c r="C3">
        <f>B3</f>
        <v>12.73</v>
      </c>
      <c r="E3">
        <v>2016</v>
      </c>
      <c r="F3">
        <v>12.73</v>
      </c>
      <c r="G3">
        <f>C3</f>
        <v>12.73</v>
      </c>
    </row>
    <row r="4" spans="1:7" x14ac:dyDescent="0.25">
      <c r="A4" s="3">
        <v>42508</v>
      </c>
      <c r="B4">
        <v>12.73</v>
      </c>
      <c r="C4">
        <f t="shared" ref="C4:C6" si="0">B4</f>
        <v>12.73</v>
      </c>
    </row>
    <row r="5" spans="1:7" x14ac:dyDescent="0.25">
      <c r="A5" s="3">
        <v>42598</v>
      </c>
      <c r="B5">
        <v>12.73</v>
      </c>
      <c r="C5">
        <f t="shared" si="0"/>
        <v>12.73</v>
      </c>
    </row>
    <row r="6" spans="1:7" x14ac:dyDescent="0.25">
      <c r="A6" s="3">
        <v>42689</v>
      </c>
      <c r="B6">
        <v>12.73</v>
      </c>
      <c r="C6">
        <f t="shared" si="0"/>
        <v>12.73</v>
      </c>
    </row>
    <row r="7" spans="1:7" x14ac:dyDescent="0.25">
      <c r="A7" s="3">
        <v>42788</v>
      </c>
      <c r="B7">
        <v>13.57</v>
      </c>
      <c r="C7">
        <v>13.57</v>
      </c>
      <c r="E7">
        <v>2017</v>
      </c>
      <c r="F7">
        <f>(B7+B8+B9+B10)/4</f>
        <v>14.295000000000002</v>
      </c>
      <c r="G7">
        <f>C7</f>
        <v>13.57</v>
      </c>
    </row>
    <row r="8" spans="1:7" x14ac:dyDescent="0.25">
      <c r="A8" s="3">
        <v>42871</v>
      </c>
      <c r="B8">
        <v>13.8</v>
      </c>
      <c r="C8">
        <v>13.57</v>
      </c>
    </row>
    <row r="9" spans="1:7" ht="13.5" customHeight="1" x14ac:dyDescent="0.25">
      <c r="A9" s="3">
        <v>42962</v>
      </c>
      <c r="B9">
        <v>14.75</v>
      </c>
      <c r="C9">
        <v>13.57</v>
      </c>
      <c r="D9">
        <f>(B9-C9)/C9</f>
        <v>8.6956521739130418E-2</v>
      </c>
    </row>
    <row r="10" spans="1:7" ht="13.5" customHeight="1" x14ac:dyDescent="0.25">
      <c r="A10" s="3">
        <v>43040</v>
      </c>
      <c r="B10" s="5">
        <v>15.06</v>
      </c>
      <c r="C10">
        <v>13.57</v>
      </c>
      <c r="D10">
        <f>(B10-C10)/C10</f>
        <v>0.10980103168754607</v>
      </c>
    </row>
    <row r="11" spans="1:7" ht="13.5" customHeight="1" x14ac:dyDescent="0.25">
      <c r="A11" s="3">
        <v>43132</v>
      </c>
      <c r="B11">
        <v>14.61</v>
      </c>
      <c r="C11">
        <v>14.53</v>
      </c>
      <c r="D11">
        <f>(B11-C11)/C11</f>
        <v>5.5058499655884427E-3</v>
      </c>
      <c r="E11">
        <v>2018</v>
      </c>
      <c r="F11">
        <f>(B11+B12+B14+B13)/4</f>
        <v>14.905000000000001</v>
      </c>
      <c r="G11">
        <f>C11</f>
        <v>14.53</v>
      </c>
    </row>
    <row r="12" spans="1:7" ht="13.5" customHeight="1" x14ac:dyDescent="0.25">
      <c r="A12" s="3">
        <v>43221</v>
      </c>
      <c r="B12">
        <v>14.65</v>
      </c>
      <c r="C12">
        <v>14.53</v>
      </c>
    </row>
    <row r="13" spans="1:7" ht="13.5" customHeight="1" x14ac:dyDescent="0.25">
      <c r="A13" s="3">
        <v>43313</v>
      </c>
      <c r="B13" s="5">
        <v>15.05</v>
      </c>
      <c r="C13">
        <v>14.53</v>
      </c>
    </row>
    <row r="14" spans="1:7" ht="13.5" customHeight="1" x14ac:dyDescent="0.25">
      <c r="A14" s="3">
        <v>43405</v>
      </c>
      <c r="B14">
        <v>15.31</v>
      </c>
      <c r="C14">
        <v>14.53</v>
      </c>
    </row>
    <row r="15" spans="1:7" ht="13.5" customHeight="1" x14ac:dyDescent="0.25"/>
    <row r="16" spans="1:7" ht="13.5" customHeight="1" x14ac:dyDescent="0.25"/>
    <row r="17" spans="1:1" ht="13.5" customHeight="1" x14ac:dyDescent="0.25"/>
    <row r="18" spans="1:1" ht="13.5" customHeight="1" x14ac:dyDescent="0.25">
      <c r="A18"/>
    </row>
    <row r="19" spans="1:1" ht="13.5" customHeight="1" x14ac:dyDescent="0.25">
      <c r="A19"/>
    </row>
    <row r="20" spans="1:1" ht="13.5" customHeight="1" x14ac:dyDescent="0.25">
      <c r="A20"/>
    </row>
    <row r="21" spans="1:1" ht="13.5" customHeight="1" x14ac:dyDescent="0.25">
      <c r="A21"/>
    </row>
    <row r="22" spans="1:1" ht="13.5" customHeight="1" x14ac:dyDescent="0.25">
      <c r="A22"/>
    </row>
    <row r="23" spans="1:1" ht="13.5" customHeight="1" x14ac:dyDescent="0.25">
      <c r="A23"/>
    </row>
    <row r="24" spans="1:1" ht="13.5" customHeight="1" x14ac:dyDescent="0.25">
      <c r="A24"/>
    </row>
    <row r="25" spans="1:1" ht="13.5" customHeight="1" x14ac:dyDescent="0.25">
      <c r="A25"/>
    </row>
    <row r="26" spans="1:1" ht="13.5" customHeight="1" x14ac:dyDescent="0.25">
      <c r="A26"/>
    </row>
    <row r="27" spans="1:1" ht="13.5" customHeight="1" x14ac:dyDescent="0.25">
      <c r="A27"/>
    </row>
    <row r="28" spans="1:1" ht="13.5" customHeight="1" x14ac:dyDescent="0.25">
      <c r="A28"/>
    </row>
    <row r="29" spans="1:1" ht="13.5" customHeight="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B406-79B2-4282-947B-5BEA46CBEFCD}">
  <dimension ref="A1:F7"/>
  <sheetViews>
    <sheetView workbookViewId="0">
      <selection activeCell="K19" sqref="K19"/>
    </sheetView>
  </sheetViews>
  <sheetFormatPr defaultRowHeight="15" x14ac:dyDescent="0.25"/>
  <sheetData>
    <row r="1" spans="1:6" x14ac:dyDescent="0.25">
      <c r="A1">
        <v>2019</v>
      </c>
      <c r="B1" t="s">
        <v>24</v>
      </c>
      <c r="C1" t="s">
        <v>25</v>
      </c>
    </row>
    <row r="2" spans="1:6" x14ac:dyDescent="0.25">
      <c r="A2">
        <v>2019</v>
      </c>
      <c r="B2">
        <f>D6</f>
        <v>16.835000000000001</v>
      </c>
      <c r="C2">
        <f>15.62</f>
        <v>15.62</v>
      </c>
    </row>
    <row r="3" spans="1:6" x14ac:dyDescent="0.25">
      <c r="E3" t="s">
        <v>26</v>
      </c>
    </row>
    <row r="4" spans="1:6" x14ac:dyDescent="0.25">
      <c r="B4">
        <v>15.73</v>
      </c>
      <c r="C4">
        <v>17.45</v>
      </c>
      <c r="D4">
        <v>17.16</v>
      </c>
      <c r="E4">
        <v>17</v>
      </c>
    </row>
    <row r="6" spans="1:6" x14ac:dyDescent="0.25">
      <c r="A6" t="s">
        <v>27</v>
      </c>
      <c r="D6">
        <f>SUM(B4:E4)/4</f>
        <v>16.835000000000001</v>
      </c>
      <c r="F6" t="s">
        <v>28</v>
      </c>
    </row>
    <row r="7" spans="1:6" x14ac:dyDescent="0.25">
      <c r="D7">
        <f>16.15</f>
        <v>16.149999999999999</v>
      </c>
      <c r="E7" t="s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E268-5BD5-4F82-9073-C233EEFC5A7A}">
  <dimension ref="A3:H9"/>
  <sheetViews>
    <sheetView workbookViewId="0">
      <selection activeCell="K19" sqref="K19"/>
    </sheetView>
  </sheetViews>
  <sheetFormatPr defaultRowHeight="15" x14ac:dyDescent="0.25"/>
  <cols>
    <col min="3" max="3" width="34.85546875" bestFit="1" customWidth="1"/>
    <col min="4" max="4" width="18.5703125" bestFit="1" customWidth="1"/>
    <col min="5" max="5" width="10.85546875" style="6" customWidth="1"/>
    <col min="7" max="8" width="34.85546875" bestFit="1" customWidth="1"/>
    <col min="9" max="9" width="20.5703125" customWidth="1"/>
    <col min="12" max="12" width="23.42578125" bestFit="1" customWidth="1"/>
  </cols>
  <sheetData>
    <row r="3" spans="1:8" x14ac:dyDescent="0.25">
      <c r="C3" t="s">
        <v>19</v>
      </c>
      <c r="D3" t="s">
        <v>20</v>
      </c>
      <c r="G3" t="s">
        <v>22</v>
      </c>
      <c r="H3" t="s">
        <v>23</v>
      </c>
    </row>
    <row r="4" spans="1:8" x14ac:dyDescent="0.25">
      <c r="A4">
        <v>2020</v>
      </c>
      <c r="B4" t="s">
        <v>30</v>
      </c>
      <c r="C4">
        <v>17.78</v>
      </c>
      <c r="D4">
        <v>16.68</v>
      </c>
      <c r="F4">
        <v>2020</v>
      </c>
      <c r="G4">
        <f>AVERAGE(C4:C7)</f>
        <v>17.017499999999998</v>
      </c>
      <c r="H4">
        <f>D4</f>
        <v>16.68</v>
      </c>
    </row>
    <row r="5" spans="1:8" x14ac:dyDescent="0.25">
      <c r="B5" t="s">
        <v>31</v>
      </c>
      <c r="C5">
        <v>16.68</v>
      </c>
      <c r="D5">
        <v>16.68</v>
      </c>
    </row>
    <row r="6" spans="1:8" x14ac:dyDescent="0.25">
      <c r="B6" t="s">
        <v>32</v>
      </c>
      <c r="C6">
        <v>16.68</v>
      </c>
      <c r="D6">
        <v>16.68</v>
      </c>
    </row>
    <row r="7" spans="1:8" x14ac:dyDescent="0.25">
      <c r="B7" t="s">
        <v>26</v>
      </c>
      <c r="C7">
        <v>16.93</v>
      </c>
      <c r="D7">
        <v>16.68</v>
      </c>
    </row>
    <row r="8" spans="1:8" x14ac:dyDescent="0.25">
      <c r="A8">
        <v>2021</v>
      </c>
      <c r="B8" t="s">
        <v>30</v>
      </c>
      <c r="C8">
        <v>17.8</v>
      </c>
      <c r="D8">
        <v>17.71</v>
      </c>
      <c r="F8">
        <v>2021</v>
      </c>
      <c r="G8">
        <f>(C8+C9)/2</f>
        <v>18.3</v>
      </c>
      <c r="H8">
        <f>D8</f>
        <v>17.71</v>
      </c>
    </row>
    <row r="9" spans="1:8" x14ac:dyDescent="0.25">
      <c r="B9" t="s">
        <v>31</v>
      </c>
      <c r="C9">
        <v>18.8</v>
      </c>
      <c r="D9">
        <v>17.71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537-32DD-49C2-B565-DA46281E082C}">
  <dimension ref="A1:B7"/>
  <sheetViews>
    <sheetView workbookViewId="0">
      <selection activeCell="H12" sqref="H12"/>
    </sheetView>
  </sheetViews>
  <sheetFormatPr defaultRowHeight="15" x14ac:dyDescent="0.25"/>
  <cols>
    <col min="1" max="1" width="32.42578125" customWidth="1"/>
  </cols>
  <sheetData>
    <row r="1" spans="1:2" x14ac:dyDescent="0.25">
      <c r="A1" t="s">
        <v>33</v>
      </c>
    </row>
    <row r="3" spans="1:2" x14ac:dyDescent="0.25">
      <c r="A3" t="s">
        <v>34</v>
      </c>
      <c r="B3" s="7">
        <v>18.8</v>
      </c>
    </row>
    <row r="4" spans="1:2" x14ac:dyDescent="0.25">
      <c r="B4" s="7">
        <v>17.71</v>
      </c>
    </row>
    <row r="5" spans="1:2" x14ac:dyDescent="0.25">
      <c r="B5" s="8"/>
    </row>
    <row r="7" spans="1:2" x14ac:dyDescent="0.25">
      <c r="A7" t="s">
        <v>35</v>
      </c>
      <c r="B7" s="4">
        <f>B3/B4</f>
        <v>1.0615471485036703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0A8-97FB-4F54-A872-BB93DBA03CBB}">
  <dimension ref="A1:O58"/>
  <sheetViews>
    <sheetView topLeftCell="A41" workbookViewId="0">
      <selection activeCell="J50" sqref="J50"/>
    </sheetView>
  </sheetViews>
  <sheetFormatPr defaultRowHeight="15" x14ac:dyDescent="0.25"/>
  <cols>
    <col min="6" max="6" width="10.140625" customWidth="1"/>
    <col min="14" max="14" width="10.5703125" customWidth="1"/>
    <col min="15" max="15" width="28.140625" customWidth="1"/>
  </cols>
  <sheetData>
    <row r="1" spans="1:7" x14ac:dyDescent="0.25">
      <c r="A1" t="s">
        <v>37</v>
      </c>
    </row>
    <row r="2" spans="1:7" x14ac:dyDescent="0.25">
      <c r="A2" t="s">
        <v>38</v>
      </c>
    </row>
    <row r="3" spans="1:7" x14ac:dyDescent="0.25">
      <c r="A3" t="s">
        <v>39</v>
      </c>
    </row>
    <row r="4" spans="1:7" x14ac:dyDescent="0.25">
      <c r="A4" t="s">
        <v>40</v>
      </c>
      <c r="B4" t="s">
        <v>41</v>
      </c>
      <c r="D4" t="s">
        <v>42</v>
      </c>
      <c r="E4" t="s">
        <v>43</v>
      </c>
      <c r="G4" s="1"/>
    </row>
    <row r="5" spans="1:7" x14ac:dyDescent="0.25">
      <c r="B5" t="s">
        <v>44</v>
      </c>
      <c r="C5" t="s">
        <v>45</v>
      </c>
      <c r="E5" t="s">
        <v>46</v>
      </c>
      <c r="F5" t="s">
        <v>42</v>
      </c>
    </row>
    <row r="6" spans="1:7" x14ac:dyDescent="0.25">
      <c r="A6" t="s">
        <v>47</v>
      </c>
      <c r="B6" t="s">
        <v>48</v>
      </c>
      <c r="C6" t="s">
        <v>48</v>
      </c>
      <c r="D6">
        <v>34.799999999999997</v>
      </c>
      <c r="E6">
        <v>4.7</v>
      </c>
      <c r="F6">
        <v>4.2</v>
      </c>
    </row>
    <row r="7" spans="1:7" x14ac:dyDescent="0.25">
      <c r="A7" t="s">
        <v>49</v>
      </c>
      <c r="B7" t="s">
        <v>48</v>
      </c>
      <c r="C7" t="s">
        <v>48</v>
      </c>
      <c r="D7">
        <v>36.700000000000003</v>
      </c>
      <c r="E7">
        <v>6.2</v>
      </c>
      <c r="F7">
        <v>5.5</v>
      </c>
    </row>
    <row r="8" spans="1:7" x14ac:dyDescent="0.25">
      <c r="A8" t="s">
        <v>50</v>
      </c>
      <c r="B8" t="s">
        <v>48</v>
      </c>
      <c r="C8" t="s">
        <v>48</v>
      </c>
      <c r="D8">
        <v>38.799999999999997</v>
      </c>
      <c r="E8">
        <v>5.6</v>
      </c>
      <c r="F8">
        <v>5.7</v>
      </c>
    </row>
    <row r="9" spans="1:7" x14ac:dyDescent="0.25">
      <c r="A9" t="s">
        <v>51</v>
      </c>
      <c r="B9" t="s">
        <v>48</v>
      </c>
      <c r="C9" t="s">
        <v>48</v>
      </c>
      <c r="D9">
        <v>40.5</v>
      </c>
      <c r="E9">
        <v>3.3</v>
      </c>
      <c r="F9">
        <v>4.4000000000000004</v>
      </c>
    </row>
    <row r="10" spans="1:7" x14ac:dyDescent="0.25">
      <c r="A10" t="s">
        <v>52</v>
      </c>
      <c r="B10" t="s">
        <v>48</v>
      </c>
      <c r="C10" t="s">
        <v>48</v>
      </c>
      <c r="D10">
        <v>41.8</v>
      </c>
      <c r="E10">
        <v>3.4</v>
      </c>
      <c r="F10">
        <v>3.2</v>
      </c>
    </row>
    <row r="11" spans="1:7" x14ac:dyDescent="0.25">
      <c r="A11" t="s">
        <v>53</v>
      </c>
      <c r="B11" t="s">
        <v>48</v>
      </c>
      <c r="C11" t="s">
        <v>48</v>
      </c>
      <c r="D11">
        <v>44.4</v>
      </c>
      <c r="E11">
        <v>8.6999999999999993</v>
      </c>
      <c r="F11">
        <v>6.2</v>
      </c>
    </row>
    <row r="12" spans="1:7" x14ac:dyDescent="0.25">
      <c r="A12" t="s">
        <v>54</v>
      </c>
      <c r="B12" t="s">
        <v>48</v>
      </c>
      <c r="C12" t="s">
        <v>48</v>
      </c>
      <c r="D12">
        <v>49.3</v>
      </c>
      <c r="E12">
        <v>12.3</v>
      </c>
      <c r="F12">
        <v>11</v>
      </c>
    </row>
    <row r="13" spans="1:7" x14ac:dyDescent="0.25">
      <c r="A13" t="s">
        <v>55</v>
      </c>
      <c r="B13" t="s">
        <v>48</v>
      </c>
      <c r="C13" t="s">
        <v>48</v>
      </c>
      <c r="D13">
        <v>53.8</v>
      </c>
      <c r="E13">
        <v>6.9</v>
      </c>
      <c r="F13">
        <v>9.1</v>
      </c>
    </row>
    <row r="14" spans="1:7" x14ac:dyDescent="0.25">
      <c r="A14" t="s">
        <v>56</v>
      </c>
      <c r="B14" t="s">
        <v>48</v>
      </c>
      <c r="C14" t="s">
        <v>48</v>
      </c>
      <c r="D14">
        <v>56.9</v>
      </c>
      <c r="E14">
        <v>4.9000000000000004</v>
      </c>
      <c r="F14">
        <v>5.8</v>
      </c>
    </row>
    <row r="15" spans="1:7" x14ac:dyDescent="0.25">
      <c r="A15" t="s">
        <v>57</v>
      </c>
      <c r="B15" t="s">
        <v>48</v>
      </c>
      <c r="C15" t="s">
        <v>48</v>
      </c>
      <c r="D15">
        <v>60.6</v>
      </c>
      <c r="E15">
        <v>6.7</v>
      </c>
      <c r="F15">
        <v>6.5</v>
      </c>
    </row>
    <row r="16" spans="1:7" x14ac:dyDescent="0.25">
      <c r="A16" t="s">
        <v>58</v>
      </c>
      <c r="B16" t="s">
        <v>48</v>
      </c>
      <c r="C16" t="s">
        <v>48</v>
      </c>
      <c r="D16">
        <v>65.2</v>
      </c>
      <c r="E16">
        <v>9</v>
      </c>
      <c r="F16">
        <v>7.6</v>
      </c>
    </row>
    <row r="17" spans="1:15" x14ac:dyDescent="0.25">
      <c r="A17" t="s">
        <v>59</v>
      </c>
      <c r="B17" t="s">
        <v>48</v>
      </c>
      <c r="C17" t="s">
        <v>48</v>
      </c>
      <c r="D17">
        <v>72.599999999999994</v>
      </c>
      <c r="E17">
        <v>13.3</v>
      </c>
      <c r="F17">
        <v>11.3</v>
      </c>
    </row>
    <row r="18" spans="1:15" x14ac:dyDescent="0.25">
      <c r="A18" t="s">
        <v>60</v>
      </c>
      <c r="B18" t="s">
        <v>48</v>
      </c>
      <c r="C18" t="s">
        <v>48</v>
      </c>
      <c r="D18">
        <v>82.4</v>
      </c>
      <c r="E18">
        <v>12.5</v>
      </c>
      <c r="F18">
        <v>13.5</v>
      </c>
    </row>
    <row r="19" spans="1:15" x14ac:dyDescent="0.25">
      <c r="A19" t="s">
        <v>61</v>
      </c>
      <c r="B19" t="s">
        <v>48</v>
      </c>
      <c r="C19" t="s">
        <v>48</v>
      </c>
      <c r="D19">
        <v>90.9</v>
      </c>
      <c r="E19">
        <v>8.9</v>
      </c>
      <c r="F19">
        <v>10.3</v>
      </c>
    </row>
    <row r="20" spans="1:15" x14ac:dyDescent="0.25">
      <c r="A20" t="s">
        <v>62</v>
      </c>
      <c r="B20" t="s">
        <v>48</v>
      </c>
      <c r="C20" t="s">
        <v>48</v>
      </c>
      <c r="D20">
        <v>96.5</v>
      </c>
      <c r="E20">
        <v>3.8</v>
      </c>
      <c r="F20">
        <v>6.2</v>
      </c>
    </row>
    <row r="21" spans="1:15" x14ac:dyDescent="0.25">
      <c r="A21" t="s">
        <v>63</v>
      </c>
      <c r="B21" t="s">
        <v>48</v>
      </c>
      <c r="C21" t="s">
        <v>48</v>
      </c>
      <c r="D21">
        <v>99.6</v>
      </c>
      <c r="E21">
        <v>3.8</v>
      </c>
      <c r="F21">
        <v>3.2</v>
      </c>
    </row>
    <row r="22" spans="1:15" x14ac:dyDescent="0.25">
      <c r="A22" t="s">
        <v>64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65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66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67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68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69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70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10">
        <f>$D$50/D28</f>
        <v>1.7566488140780414</v>
      </c>
    </row>
    <row r="29" spans="1:15" x14ac:dyDescent="0.25">
      <c r="A29" t="s">
        <v>71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10">
        <f t="shared" ref="G29:G56" si="0">$D$50/D29</f>
        <v>1.6857121879588841</v>
      </c>
      <c r="M29" s="1"/>
      <c r="N29" s="1"/>
      <c r="O29" s="1"/>
    </row>
    <row r="30" spans="1:15" x14ac:dyDescent="0.25">
      <c r="A30" t="s">
        <v>72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10">
        <f t="shared" si="0"/>
        <v>1.6364504632929435</v>
      </c>
      <c r="M30" s="11"/>
      <c r="N30" s="11"/>
      <c r="O30" s="12"/>
    </row>
    <row r="31" spans="1:15" x14ac:dyDescent="0.25">
      <c r="A31" t="s">
        <v>73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10">
        <f t="shared" si="0"/>
        <v>1.5888858131487889</v>
      </c>
      <c r="M31" s="11"/>
      <c r="N31" s="11"/>
      <c r="O31" s="12"/>
    </row>
    <row r="32" spans="1:15" x14ac:dyDescent="0.25">
      <c r="A32" t="s">
        <v>74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10">
        <f t="shared" si="0"/>
        <v>1.5492172739541161</v>
      </c>
      <c r="M32" s="11"/>
      <c r="N32" s="11"/>
      <c r="O32" s="12"/>
    </row>
    <row r="33" spans="1:15" x14ac:dyDescent="0.25">
      <c r="A33" t="s">
        <v>75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10">
        <f t="shared" si="0"/>
        <v>1.5065223097112861</v>
      </c>
      <c r="M33" s="11"/>
      <c r="N33" s="11"/>
      <c r="O33" s="12"/>
    </row>
    <row r="34" spans="1:15" x14ac:dyDescent="0.25">
      <c r="A34" t="s">
        <v>76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10">
        <f t="shared" si="0"/>
        <v>1.4633142128744423</v>
      </c>
      <c r="M34" s="11"/>
      <c r="N34" s="11"/>
      <c r="O34" s="12"/>
    </row>
    <row r="35" spans="1:15" x14ac:dyDescent="0.25">
      <c r="A35" t="s">
        <v>77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10">
        <f t="shared" si="0"/>
        <v>1.4304922118380061</v>
      </c>
      <c r="M35" s="11"/>
      <c r="N35" s="11"/>
      <c r="O35" s="12"/>
    </row>
    <row r="36" spans="1:15" x14ac:dyDescent="0.25">
      <c r="A36" t="s">
        <v>78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10">
        <f t="shared" si="0"/>
        <v>1.4085521472392637</v>
      </c>
      <c r="M36" s="11"/>
      <c r="N36" s="11"/>
      <c r="O36" s="12"/>
    </row>
    <row r="37" spans="1:15" x14ac:dyDescent="0.25">
      <c r="A37" t="s">
        <v>79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10">
        <f t="shared" si="0"/>
        <v>1.3781152460984394</v>
      </c>
      <c r="M37" s="11"/>
      <c r="N37" s="11"/>
      <c r="O37" s="12"/>
    </row>
    <row r="38" spans="1:15" x14ac:dyDescent="0.25">
      <c r="A38" t="s">
        <v>80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10">
        <f t="shared" si="0"/>
        <v>1.3332984901277585</v>
      </c>
      <c r="M38" s="11"/>
      <c r="N38" s="13"/>
      <c r="O38" s="12"/>
    </row>
    <row r="39" spans="1:15" x14ac:dyDescent="0.25">
      <c r="A39" t="s">
        <v>81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10">
        <f t="shared" si="0"/>
        <v>1.2964088085827217</v>
      </c>
      <c r="M39" s="11"/>
      <c r="N39" s="11"/>
      <c r="O39" s="12"/>
    </row>
    <row r="40" spans="1:15" x14ac:dyDescent="0.25">
      <c r="A40" t="s">
        <v>82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10">
        <f t="shared" si="0"/>
        <v>1.276231239577543</v>
      </c>
      <c r="M40" s="11"/>
      <c r="N40" s="11"/>
      <c r="O40" s="12"/>
    </row>
    <row r="41" spans="1:15" x14ac:dyDescent="0.25">
      <c r="A41" t="s">
        <v>83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10">
        <f t="shared" si="0"/>
        <v>1.2477934782608695</v>
      </c>
      <c r="M41" s="11"/>
      <c r="N41" s="11"/>
      <c r="O41" s="12"/>
    </row>
    <row r="42" spans="1:15" x14ac:dyDescent="0.25">
      <c r="A42" t="s">
        <v>84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10">
        <f t="shared" si="0"/>
        <v>1.2154261514028586</v>
      </c>
      <c r="M42" s="11"/>
      <c r="N42" s="11"/>
      <c r="O42" s="12"/>
    </row>
    <row r="43" spans="1:15" x14ac:dyDescent="0.25">
      <c r="A43" t="s">
        <v>85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10">
        <f t="shared" si="0"/>
        <v>1.1755965181771633</v>
      </c>
      <c r="M43" s="11"/>
      <c r="N43" s="13"/>
      <c r="O43" s="12"/>
    </row>
    <row r="44" spans="1:15" x14ac:dyDescent="0.25">
      <c r="A44" t="s">
        <v>86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10">
        <f t="shared" si="0"/>
        <v>1.1388591269841271</v>
      </c>
      <c r="M44" s="11"/>
      <c r="N44" s="11"/>
      <c r="O44" s="12"/>
    </row>
    <row r="45" spans="1:15" x14ac:dyDescent="0.25">
      <c r="A45" t="s">
        <v>87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10">
        <f t="shared" si="0"/>
        <v>1.107320272786025</v>
      </c>
      <c r="M45" s="11"/>
      <c r="N45" s="11"/>
      <c r="O45" s="12"/>
    </row>
    <row r="46" spans="1:15" x14ac:dyDescent="0.25">
      <c r="A46" t="s">
        <v>88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10">
        <f t="shared" si="0"/>
        <v>1.0663762232760343</v>
      </c>
      <c r="M46" s="11"/>
      <c r="N46" s="11"/>
      <c r="O46" s="12"/>
    </row>
    <row r="47" spans="1:15" x14ac:dyDescent="0.25">
      <c r="A47" t="s">
        <v>89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10">
        <f t="shared" si="0"/>
        <v>1.0701836979169095</v>
      </c>
      <c r="M47" s="11"/>
      <c r="N47" s="11"/>
      <c r="O47" s="12"/>
    </row>
    <row r="48" spans="1:15" x14ac:dyDescent="0.25">
      <c r="A48" t="s">
        <v>90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10">
        <f t="shared" si="0"/>
        <v>1.0529130131709286</v>
      </c>
      <c r="M48" s="11"/>
      <c r="N48" s="11"/>
      <c r="O48" s="12"/>
    </row>
    <row r="49" spans="1:15" x14ac:dyDescent="0.25">
      <c r="A49" t="s">
        <v>91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10">
        <f t="shared" si="0"/>
        <v>1.0206944993976144</v>
      </c>
      <c r="M49" s="11"/>
      <c r="N49" s="11"/>
      <c r="O49" s="12"/>
    </row>
    <row r="50" spans="1:15" x14ac:dyDescent="0.25">
      <c r="A50" t="s">
        <v>92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10">
        <f t="shared" si="0"/>
        <v>1</v>
      </c>
      <c r="M50" s="11"/>
      <c r="N50" s="11"/>
      <c r="O50" s="12"/>
    </row>
    <row r="51" spans="1:15" x14ac:dyDescent="0.25">
      <c r="A51" t="s">
        <v>93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10">
        <f t="shared" si="0"/>
        <v>0.98556385942470071</v>
      </c>
      <c r="M51" s="11"/>
      <c r="N51" s="11"/>
      <c r="O51" s="12"/>
    </row>
    <row r="52" spans="1:15" x14ac:dyDescent="0.25">
      <c r="A52" t="s">
        <v>94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10">
        <f t="shared" si="0"/>
        <v>0.96983137334414704</v>
      </c>
      <c r="M52" s="11"/>
      <c r="N52" s="11"/>
      <c r="O52" s="12"/>
    </row>
    <row r="53" spans="1:15" x14ac:dyDescent="0.25">
      <c r="A53" t="s">
        <v>95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10">
        <f t="shared" si="0"/>
        <v>0.9686815713640794</v>
      </c>
      <c r="M53" s="11"/>
      <c r="N53" s="11"/>
      <c r="O53" s="12"/>
    </row>
    <row r="54" spans="1:15" x14ac:dyDescent="0.25">
      <c r="A54" t="s">
        <v>96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10">
        <f t="shared" si="0"/>
        <v>0.95661376543184151</v>
      </c>
      <c r="M54" s="11"/>
      <c r="N54" s="11"/>
      <c r="O54" s="12"/>
    </row>
    <row r="55" spans="1:15" x14ac:dyDescent="0.25">
      <c r="A55" t="s">
        <v>97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10">
        <f t="shared" si="0"/>
        <v>0.93665959530026111</v>
      </c>
      <c r="M55" s="11"/>
      <c r="N55" s="11"/>
      <c r="O55" s="12"/>
    </row>
    <row r="56" spans="1:15" x14ac:dyDescent="0.25">
      <c r="A56" t="s">
        <v>98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10">
        <f t="shared" si="0"/>
        <v>0.9143273584567535</v>
      </c>
      <c r="M56" s="11"/>
      <c r="N56" s="11"/>
      <c r="O56" s="12"/>
    </row>
    <row r="57" spans="1:15" x14ac:dyDescent="0.25">
      <c r="A57" t="s">
        <v>99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10">
        <f>$D$50/D57</f>
        <v>0.89805481563188172</v>
      </c>
    </row>
    <row r="58" spans="1:15" x14ac:dyDescent="0.25">
      <c r="A58" t="s">
        <v>100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10">
        <f>$D$50/D58</f>
        <v>0.88711067149387013</v>
      </c>
      <c r="H58">
        <f>G58/G57</f>
        <v>0.9878135009717518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BCTR</vt:lpstr>
      <vt:lpstr>Projection</vt:lpstr>
      <vt:lpstr>Auction results summary</vt:lpstr>
      <vt:lpstr>2016-2018 prices</vt:lpstr>
      <vt:lpstr>2019</vt:lpstr>
      <vt:lpstr>2020-2021</vt:lpstr>
      <vt:lpstr>May 21 (latest) auction results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2020-08-15T02:29:02Z</dcterms:created>
  <dcterms:modified xsi:type="dcterms:W3CDTF">2021-07-20T18:14:59Z</dcterms:modified>
</cp:coreProperties>
</file>