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hrisB\Dropbox (Energy Innovation)\Desktop\Current CA EPS update\Transportation\Ready revised\"/>
    </mc:Choice>
  </mc:AlternateContent>
  <xr:revisionPtr revIDLastSave="0" documentId="13_ncr:1_{4DB703F2-1326-45BF-8582-A098FDAAE886}" xr6:coauthVersionLast="47" xr6:coauthVersionMax="47" xr10:uidLastSave="{00000000-0000-0000-0000-000000000000}"/>
  <bookViews>
    <workbookView xWindow="-110" yWindow="-110" windowWidth="19420" windowHeight="10420" firstSheet="6" activeTab="10" xr2:uid="{00000000-000D-0000-FFFF-FFFF00000000}"/>
  </bookViews>
  <sheets>
    <sheet name="About" sheetId="1" r:id="rId1"/>
    <sheet name="HDV+LDV frt" sheetId="14" r:id="rId2"/>
    <sheet name="CARB HVIP" sheetId="13" r:id="rId3"/>
    <sheet name="LDV psg calculations" sheetId="2" r:id="rId4"/>
    <sheet name="BAU LDV psg" sheetId="3" r:id="rId5"/>
    <sheet name="LDV psg sales" sheetId="4" r:id="rId6"/>
    <sheet name="LDV psg manufacturers" sheetId="5" r:id="rId7"/>
    <sheet name="HDV frt" sheetId="9" r:id="rId8"/>
    <sheet name="LDV frt" sheetId="10" r:id="rId9"/>
    <sheet name="HDV psg" sheetId="11" r:id="rId10"/>
    <sheet name="BESP-passengers" sheetId="6" r:id="rId11"/>
    <sheet name="BESP-freight" sheetId="7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_2014_eGRID_Subregion_File">#REF!</definedName>
    <definedName name="AEO">[5]Safety!$L$2</definedName>
    <definedName name="asdf">[1]About!$A$113</definedName>
    <definedName name="compa">[6]PROVP!#REF!</definedName>
    <definedName name="Comparaison">[6]PROVP!$A:$A</definedName>
    <definedName name="cpi_2010to2012">[2]About!#REF!</definedName>
    <definedName name="cpi_2013to2012">[2]About!$A$163</definedName>
    <definedName name="cpi_2014to2012">[7]About!#REF!</definedName>
    <definedName name="cpi_2017to2012">[7]About!$A$121</definedName>
    <definedName name="cpi_2018to2012">[2]About!$A$167</definedName>
    <definedName name="cpi_2019to2012">[7]About!$A$123</definedName>
    <definedName name="cpi_2020to2012">[7]About!$A$124</definedName>
    <definedName name="cut_allowed_LT">[5]Safety!$L$6</definedName>
    <definedName name="cut_allowed_PC">[5]Safety!$L$5</definedName>
    <definedName name="cut_safety_LT">[5]Safety!$AK$8</definedName>
    <definedName name="cut_safety_PC">[5]Safety!$AK$7</definedName>
    <definedName name="gC_kWh">[8]INPUTS!$B$32</definedName>
    <definedName name="gCO2_gC">[8]INPUTS!$B$34</definedName>
    <definedName name="H2_kg_to_MMBtu">[3]Constants!$D$7</definedName>
    <definedName name="Impres_titres_MI">[6]PROVP!$A:$A</definedName>
    <definedName name="kWh_to_Btu">[3]Constants!$D$4</definedName>
    <definedName name="mode">[9]Config!$AD$7:$AD$19</definedName>
    <definedName name="P91_">[6]PROVP!#REF!</definedName>
    <definedName name="P92_">[6]PROVP!#REF!</definedName>
    <definedName name="Renewable_and_Non_Renewable_Generation">[10]Contents!#REF!</definedName>
    <definedName name="Scenario">[11]Targets_byFleet!$A$1</definedName>
    <definedName name="TableName">"Dummy"</definedName>
    <definedName name="tblVspecsData">#REF!</definedName>
    <definedName name="tblVspecsHeader">#REF!</definedName>
    <definedName name="Transmission_loss">[8]kWhpMi!$G$1</definedName>
    <definedName name="UF_REEV20">[8]kWhpMi!$M$5</definedName>
    <definedName name="UF_REEV40">[8]kWhpMi!$M$4</definedName>
    <definedName name="WRcap_2021">[5]Safety!$L$3</definedName>
    <definedName name="WRcap_2025">[5]Safety!$L$4</definedName>
    <definedName name="Zone_impres_MI">[6]PROVP!$B$5:$B$90</definedName>
  </definedNames>
  <calcPr calcId="191029"/>
  <pivotCaches>
    <pivotCache cacheId="6" r:id="rId2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7" l="1"/>
  <c r="C7" i="7" s="1"/>
  <c r="B7" i="7" s="1"/>
  <c r="E7" i="7"/>
  <c r="F7" i="7"/>
  <c r="G7" i="7"/>
  <c r="H7" i="7"/>
  <c r="I7" i="7"/>
  <c r="J7" i="7"/>
  <c r="K7" i="7"/>
  <c r="L7" i="7"/>
  <c r="M7" i="7"/>
  <c r="N7" i="7"/>
  <c r="O7" i="7"/>
  <c r="P7" i="7"/>
  <c r="D2" i="7"/>
  <c r="C2" i="7" s="1"/>
  <c r="B2" i="7" s="1"/>
  <c r="D3" i="7"/>
  <c r="C3" i="7" s="1"/>
  <c r="B3" i="7" s="1"/>
  <c r="E3" i="7"/>
  <c r="E2" i="7"/>
  <c r="F2" i="7"/>
  <c r="G2" i="7"/>
  <c r="H2" i="7"/>
  <c r="I2" i="7"/>
  <c r="J2" i="7"/>
  <c r="K2" i="7"/>
  <c r="L2" i="7"/>
  <c r="M2" i="7"/>
  <c r="N2" i="7"/>
  <c r="O2" i="7"/>
  <c r="P2" i="7"/>
  <c r="F3" i="7"/>
  <c r="G3" i="7"/>
  <c r="H3" i="7"/>
  <c r="I3" i="7"/>
  <c r="J3" i="7"/>
  <c r="K3" i="7"/>
  <c r="L3" i="7"/>
  <c r="M3" i="7"/>
  <c r="N3" i="7"/>
  <c r="O3" i="7"/>
  <c r="P3" i="7"/>
  <c r="E2" i="6"/>
  <c r="D3" i="6"/>
  <c r="C3" i="6" s="1"/>
  <c r="B3" i="6" s="1"/>
  <c r="E3" i="6"/>
  <c r="F3" i="6"/>
  <c r="G3" i="6"/>
  <c r="H3" i="6"/>
  <c r="I3" i="6"/>
  <c r="J3" i="6"/>
  <c r="K3" i="6"/>
  <c r="L3" i="6"/>
  <c r="M3" i="6"/>
  <c r="N3" i="6"/>
  <c r="O3" i="6"/>
  <c r="P3" i="6"/>
  <c r="AF30" i="14"/>
  <c r="AE30" i="14"/>
  <c r="AD30" i="14"/>
  <c r="AC30" i="14"/>
  <c r="AB30" i="14"/>
  <c r="AA30" i="14"/>
  <c r="Z30" i="14"/>
  <c r="Y30" i="14"/>
  <c r="X30" i="14"/>
  <c r="W30" i="14"/>
  <c r="V30" i="14"/>
  <c r="U30" i="14"/>
  <c r="T30" i="14"/>
  <c r="S30" i="14"/>
  <c r="R30" i="14"/>
  <c r="Q30" i="14"/>
  <c r="P30" i="14"/>
  <c r="O30" i="14"/>
  <c r="N30" i="14"/>
  <c r="M30" i="14"/>
  <c r="L30" i="14"/>
  <c r="K30" i="14"/>
  <c r="J30" i="14"/>
  <c r="I30" i="14"/>
  <c r="H30" i="14"/>
  <c r="G30" i="14"/>
  <c r="F30" i="14"/>
  <c r="E30" i="14"/>
  <c r="D30" i="14"/>
  <c r="C30" i="14"/>
  <c r="B30" i="14"/>
  <c r="A30" i="14"/>
  <c r="E37" i="13"/>
  <c r="E19" i="13"/>
  <c r="C9" i="13" s="1"/>
  <c r="B5" i="13" s="1"/>
  <c r="E12" i="13"/>
  <c r="C10" i="13"/>
  <c r="B10" i="13"/>
  <c r="B9" i="13"/>
  <c r="C8" i="13"/>
  <c r="B8" i="13"/>
  <c r="A8" i="13"/>
  <c r="J22" i="2" l="1"/>
  <c r="K22" i="2" s="1"/>
  <c r="L22" i="2" s="1"/>
  <c r="A59" i="1"/>
  <c r="A58" i="1"/>
  <c r="C3" i="13" l="1"/>
  <c r="C5" i="13"/>
  <c r="B13" i="14" s="1"/>
  <c r="B21" i="11"/>
  <c r="C18" i="11"/>
  <c r="B18" i="11"/>
  <c r="B19" i="11" s="1"/>
  <c r="C65" i="10"/>
  <c r="D63" i="10"/>
  <c r="D65" i="10" s="1"/>
  <c r="B63" i="10"/>
  <c r="B65" i="10" s="1"/>
  <c r="C55" i="10"/>
  <c r="B55" i="10"/>
  <c r="C54" i="10"/>
  <c r="D54" i="10" s="1"/>
  <c r="B54" i="10"/>
  <c r="D52" i="10"/>
  <c r="B64" i="10" s="1"/>
  <c r="D51" i="10"/>
  <c r="B45" i="10" s="1"/>
  <c r="B47" i="10"/>
  <c r="B29" i="10" s="1"/>
  <c r="B46" i="10"/>
  <c r="C34" i="10"/>
  <c r="B34" i="10"/>
  <c r="D34" i="10" s="1"/>
  <c r="E34" i="10" s="1"/>
  <c r="A34" i="10"/>
  <c r="C33" i="10"/>
  <c r="D33" i="10" s="1"/>
  <c r="E33" i="10" s="1"/>
  <c r="B33" i="10"/>
  <c r="A33" i="10"/>
  <c r="C32" i="10"/>
  <c r="B32" i="10"/>
  <c r="A32" i="10"/>
  <c r="C31" i="10"/>
  <c r="B30" i="10"/>
  <c r="B28" i="10"/>
  <c r="A28" i="10"/>
  <c r="C22" i="10"/>
  <c r="B13" i="10"/>
  <c r="C11" i="10"/>
  <c r="B11" i="10"/>
  <c r="P78" i="9"/>
  <c r="K78" i="9"/>
  <c r="B76" i="9"/>
  <c r="AA78" i="9" s="1"/>
  <c r="D74" i="9"/>
  <c r="D25" i="9" s="1"/>
  <c r="D23" i="9" s="1"/>
  <c r="B74" i="9"/>
  <c r="C74" i="9" s="1"/>
  <c r="C25" i="9" s="1"/>
  <c r="C23" i="9" s="1"/>
  <c r="C73" i="9"/>
  <c r="D73" i="9" s="1"/>
  <c r="E73" i="9" s="1"/>
  <c r="I72" i="9"/>
  <c r="J72" i="9" s="1"/>
  <c r="K72" i="9" s="1"/>
  <c r="L72" i="9" s="1"/>
  <c r="C62" i="9"/>
  <c r="D58" i="9"/>
  <c r="D57" i="9"/>
  <c r="D59" i="9" s="1"/>
  <c r="D60" i="9" s="1"/>
  <c r="C52" i="9"/>
  <c r="C53" i="9" s="1"/>
  <c r="B42" i="9" s="1"/>
  <c r="C49" i="9"/>
  <c r="D48" i="9"/>
  <c r="D47" i="9"/>
  <c r="B41" i="9"/>
  <c r="A41" i="9"/>
  <c r="A40" i="9"/>
  <c r="C34" i="9"/>
  <c r="B34" i="9"/>
  <c r="B32" i="9" s="1"/>
  <c r="C32" i="9"/>
  <c r="B25" i="9"/>
  <c r="B23" i="9" s="1"/>
  <c r="C21" i="9"/>
  <c r="D21" i="9" s="1"/>
  <c r="E21" i="9" s="1"/>
  <c r="F21" i="9" s="1"/>
  <c r="G21" i="9" s="1"/>
  <c r="H21" i="9" s="1"/>
  <c r="I21" i="9" s="1"/>
  <c r="J21" i="9" s="1"/>
  <c r="K21" i="9" s="1"/>
  <c r="L21" i="9" s="1"/>
  <c r="M21" i="9" s="1"/>
  <c r="N21" i="9" s="1"/>
  <c r="O21" i="9" s="1"/>
  <c r="P21" i="9" s="1"/>
  <c r="Q21" i="9" s="1"/>
  <c r="R21" i="9" s="1"/>
  <c r="S21" i="9" s="1"/>
  <c r="T21" i="9" s="1"/>
  <c r="U21" i="9" s="1"/>
  <c r="V21" i="9" s="1"/>
  <c r="W21" i="9" s="1"/>
  <c r="X21" i="9" s="1"/>
  <c r="Y21" i="9" s="1"/>
  <c r="Z21" i="9" s="1"/>
  <c r="AA21" i="9" s="1"/>
  <c r="AB21" i="9" s="1"/>
  <c r="AC21" i="9" s="1"/>
  <c r="AD21" i="9" s="1"/>
  <c r="AE21" i="9" s="1"/>
  <c r="AF21" i="9" s="1"/>
  <c r="AH65" i="3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41" i="3"/>
  <c r="K40" i="3"/>
  <c r="K39" i="3"/>
  <c r="K38" i="3"/>
  <c r="K37" i="3"/>
  <c r="K36" i="3"/>
  <c r="K35" i="3"/>
  <c r="C13" i="3" s="1"/>
  <c r="D13" i="3" s="1"/>
  <c r="C83" i="3" s="1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B13" i="3" a="1"/>
  <c r="B13" i="3"/>
  <c r="B12" i="3" a="1"/>
  <c r="B12" i="3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D40" i="2"/>
  <c r="E40" i="2" s="1"/>
  <c r="F40" i="2" s="1"/>
  <c r="G40" i="2" s="1"/>
  <c r="H40" i="2" s="1"/>
  <c r="I40" i="2" s="1"/>
  <c r="D22" i="2"/>
  <c r="E22" i="2" s="1"/>
  <c r="F22" i="2" s="1"/>
  <c r="G22" i="2" s="1"/>
  <c r="H22" i="2" s="1"/>
  <c r="I22" i="2" s="1"/>
  <c r="C19" i="2"/>
  <c r="B2" i="1"/>
  <c r="C21" i="2" s="1"/>
  <c r="G23" i="2" s="1"/>
  <c r="H23" i="2" s="1"/>
  <c r="I23" i="2" s="1"/>
  <c r="J23" i="2" s="1"/>
  <c r="K23" i="2" s="1"/>
  <c r="B2" i="14" l="1"/>
  <c r="B2" i="13"/>
  <c r="B3" i="13"/>
  <c r="B4" i="13" s="1"/>
  <c r="B14" i="14" s="1"/>
  <c r="C2" i="13"/>
  <c r="B18" i="14"/>
  <c r="D32" i="10"/>
  <c r="E32" i="10" s="1"/>
  <c r="C7" i="3"/>
  <c r="D7" i="3" s="1"/>
  <c r="B66" i="3"/>
  <c r="J66" i="3"/>
  <c r="R66" i="3"/>
  <c r="B48" i="10"/>
  <c r="B31" i="10" s="1"/>
  <c r="D66" i="9"/>
  <c r="D69" i="9" s="1"/>
  <c r="B31" i="9" s="1"/>
  <c r="E74" i="9"/>
  <c r="Q78" i="9"/>
  <c r="F73" i="9"/>
  <c r="E34" i="9"/>
  <c r="E32" i="9" s="1"/>
  <c r="S78" i="9"/>
  <c r="D22" i="10"/>
  <c r="C13" i="10"/>
  <c r="E31" i="10"/>
  <c r="D31" i="10"/>
  <c r="D35" i="10" s="1"/>
  <c r="B24" i="10" s="1"/>
  <c r="E46" i="10"/>
  <c r="F31" i="10"/>
  <c r="X78" i="9"/>
  <c r="B24" i="11"/>
  <c r="C78" i="9"/>
  <c r="Y78" i="9"/>
  <c r="D70" i="9"/>
  <c r="B22" i="9" s="1"/>
  <c r="B77" i="9"/>
  <c r="H78" i="9"/>
  <c r="C19" i="11"/>
  <c r="AE78" i="9"/>
  <c r="W78" i="9"/>
  <c r="O78" i="9"/>
  <c r="G78" i="9"/>
  <c r="AD78" i="9"/>
  <c r="V78" i="9"/>
  <c r="N78" i="9"/>
  <c r="F78" i="9"/>
  <c r="AC78" i="9"/>
  <c r="U78" i="9"/>
  <c r="M78" i="9"/>
  <c r="E78" i="9"/>
  <c r="AB78" i="9"/>
  <c r="T78" i="9"/>
  <c r="L78" i="9"/>
  <c r="D78" i="9"/>
  <c r="Z78" i="9"/>
  <c r="R78" i="9"/>
  <c r="J78" i="9"/>
  <c r="D34" i="9"/>
  <c r="D32" i="9" s="1"/>
  <c r="I78" i="9"/>
  <c r="AF78" i="9"/>
  <c r="D55" i="10"/>
  <c r="C45" i="10" s="1"/>
  <c r="D45" i="10" s="1"/>
  <c r="B23" i="11"/>
  <c r="C23" i="11" s="1"/>
  <c r="C21" i="11"/>
  <c r="C12" i="3"/>
  <c r="D12" i="3" s="1"/>
  <c r="C82" i="3" s="1"/>
  <c r="Z66" i="3"/>
  <c r="AH66" i="3"/>
  <c r="C16" i="3"/>
  <c r="D16" i="3" s="1"/>
  <c r="C8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C88" i="3" s="1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F23" i="2"/>
  <c r="E23" i="2"/>
  <c r="D23" i="2"/>
  <c r="C23" i="2"/>
  <c r="C74" i="3"/>
  <c r="E4" i="3"/>
  <c r="C77" i="3"/>
  <c r="E7" i="3"/>
  <c r="C78" i="3"/>
  <c r="E8" i="3"/>
  <c r="E18" i="3"/>
  <c r="C79" i="3"/>
  <c r="E9" i="3"/>
  <c r="C81" i="3"/>
  <c r="E11" i="3"/>
  <c r="C85" i="3"/>
  <c r="E15" i="3"/>
  <c r="E5" i="3"/>
  <c r="E13" i="3"/>
  <c r="B7" i="14" l="1"/>
  <c r="B19" i="14"/>
  <c r="B3" i="14"/>
  <c r="E36" i="10"/>
  <c r="B25" i="10" s="1"/>
  <c r="C25" i="10" s="1"/>
  <c r="AD31" i="9"/>
  <c r="AD37" i="9" s="1"/>
  <c r="V31" i="9"/>
  <c r="V37" i="9" s="1"/>
  <c r="N31" i="9"/>
  <c r="N37" i="9" s="1"/>
  <c r="F31" i="9"/>
  <c r="F37" i="9" s="1"/>
  <c r="AC31" i="9"/>
  <c r="AC37" i="9" s="1"/>
  <c r="U31" i="9"/>
  <c r="U37" i="9" s="1"/>
  <c r="M31" i="9"/>
  <c r="M37" i="9" s="1"/>
  <c r="E31" i="9"/>
  <c r="E37" i="9" s="1"/>
  <c r="AB31" i="9"/>
  <c r="AB37" i="9" s="1"/>
  <c r="T31" i="9"/>
  <c r="T37" i="9" s="1"/>
  <c r="L31" i="9"/>
  <c r="L37" i="9" s="1"/>
  <c r="D31" i="9"/>
  <c r="D37" i="9" s="1"/>
  <c r="AA31" i="9"/>
  <c r="AA37" i="9" s="1"/>
  <c r="S31" i="9"/>
  <c r="S37" i="9" s="1"/>
  <c r="K31" i="9"/>
  <c r="K37" i="9" s="1"/>
  <c r="C31" i="9"/>
  <c r="C37" i="9" s="1"/>
  <c r="Y31" i="9"/>
  <c r="Y37" i="9" s="1"/>
  <c r="Q31" i="9"/>
  <c r="Q37" i="9" s="1"/>
  <c r="I31" i="9"/>
  <c r="I37" i="9" s="1"/>
  <c r="Z31" i="9"/>
  <c r="Z37" i="9" s="1"/>
  <c r="G31" i="9"/>
  <c r="G37" i="9" s="1"/>
  <c r="X31" i="9"/>
  <c r="X37" i="9" s="1"/>
  <c r="H31" i="9"/>
  <c r="H37" i="9" s="1"/>
  <c r="W31" i="9"/>
  <c r="W37" i="9" s="1"/>
  <c r="R31" i="9"/>
  <c r="R37" i="9" s="1"/>
  <c r="AE31" i="9"/>
  <c r="AE37" i="9" s="1"/>
  <c r="P31" i="9"/>
  <c r="P37" i="9" s="1"/>
  <c r="J31" i="9"/>
  <c r="J37" i="9" s="1"/>
  <c r="O31" i="9"/>
  <c r="O37" i="9" s="1"/>
  <c r="B37" i="9"/>
  <c r="AF31" i="9"/>
  <c r="AF37" i="9" s="1"/>
  <c r="F34" i="10"/>
  <c r="F32" i="10"/>
  <c r="F37" i="10" s="1"/>
  <c r="F33" i="10"/>
  <c r="F34" i="9"/>
  <c r="F32" i="9" s="1"/>
  <c r="G73" i="9"/>
  <c r="Y79" i="9"/>
  <c r="Y22" i="9" s="1"/>
  <c r="Y28" i="9" s="1"/>
  <c r="Q79" i="9"/>
  <c r="Q22" i="9" s="1"/>
  <c r="Q28" i="9" s="1"/>
  <c r="I79" i="9"/>
  <c r="I22" i="9" s="1"/>
  <c r="I28" i="9" s="1"/>
  <c r="AF79" i="9"/>
  <c r="X79" i="9"/>
  <c r="P79" i="9"/>
  <c r="H79" i="9"/>
  <c r="AE79" i="9"/>
  <c r="AE22" i="9" s="1"/>
  <c r="AE28" i="9" s="1"/>
  <c r="W79" i="9"/>
  <c r="W22" i="9" s="1"/>
  <c r="W28" i="9" s="1"/>
  <c r="O79" i="9"/>
  <c r="O22" i="9" s="1"/>
  <c r="O28" i="9" s="1"/>
  <c r="G79" i="9"/>
  <c r="G22" i="9" s="1"/>
  <c r="G28" i="9" s="1"/>
  <c r="AD79" i="9"/>
  <c r="V79" i="9"/>
  <c r="N79" i="9"/>
  <c r="F79" i="9"/>
  <c r="AB79" i="9"/>
  <c r="AB22" i="9" s="1"/>
  <c r="AB28" i="9" s="1"/>
  <c r="T79" i="9"/>
  <c r="T22" i="9" s="1"/>
  <c r="T28" i="9" s="1"/>
  <c r="L79" i="9"/>
  <c r="L22" i="9" s="1"/>
  <c r="L28" i="9" s="1"/>
  <c r="D79" i="9"/>
  <c r="D22" i="9" s="1"/>
  <c r="D28" i="9" s="1"/>
  <c r="U79" i="9"/>
  <c r="S79" i="9"/>
  <c r="Z79" i="9"/>
  <c r="R79" i="9"/>
  <c r="M79" i="9"/>
  <c r="C79" i="9"/>
  <c r="K79" i="9"/>
  <c r="AA79" i="9"/>
  <c r="AA22" i="9" s="1"/>
  <c r="AA28" i="9" s="1"/>
  <c r="AC79" i="9"/>
  <c r="J79" i="9"/>
  <c r="E79" i="9"/>
  <c r="B17" i="10"/>
  <c r="B15" i="10" s="1"/>
  <c r="C24" i="10"/>
  <c r="E22" i="10"/>
  <c r="D13" i="10"/>
  <c r="B28" i="9"/>
  <c r="AF22" i="9"/>
  <c r="AF28" i="9" s="1"/>
  <c r="AD22" i="9"/>
  <c r="AD28" i="9" s="1"/>
  <c r="V22" i="9"/>
  <c r="V28" i="9" s="1"/>
  <c r="N22" i="9"/>
  <c r="N28" i="9" s="1"/>
  <c r="F22" i="9"/>
  <c r="F28" i="9" s="1"/>
  <c r="X22" i="9"/>
  <c r="X28" i="9" s="1"/>
  <c r="AC22" i="9"/>
  <c r="AC28" i="9" s="1"/>
  <c r="U22" i="9"/>
  <c r="U28" i="9" s="1"/>
  <c r="M22" i="9"/>
  <c r="M28" i="9" s="1"/>
  <c r="E22" i="9"/>
  <c r="E28" i="9" s="1"/>
  <c r="H22" i="9"/>
  <c r="H28" i="9" s="1"/>
  <c r="S22" i="9"/>
  <c r="S28" i="9" s="1"/>
  <c r="K22" i="9"/>
  <c r="K28" i="9" s="1"/>
  <c r="C22" i="9"/>
  <c r="C28" i="9" s="1"/>
  <c r="P22" i="9"/>
  <c r="P28" i="9" s="1"/>
  <c r="Z22" i="9"/>
  <c r="Z28" i="9" s="1"/>
  <c r="R22" i="9"/>
  <c r="R28" i="9" s="1"/>
  <c r="J22" i="9"/>
  <c r="J28" i="9" s="1"/>
  <c r="F74" i="9"/>
  <c r="E25" i="9"/>
  <c r="E23" i="9" s="1"/>
  <c r="E12" i="3"/>
  <c r="D82" i="3" s="1"/>
  <c r="E16" i="3"/>
  <c r="D86" i="3" s="1"/>
  <c r="E10" i="3"/>
  <c r="C76" i="3"/>
  <c r="C84" i="3"/>
  <c r="E17" i="3"/>
  <c r="F17" i="3" s="1"/>
  <c r="D81" i="3"/>
  <c r="F11" i="3"/>
  <c r="D78" i="3"/>
  <c r="F8" i="3"/>
  <c r="D88" i="3"/>
  <c r="F18" i="3"/>
  <c r="D83" i="3"/>
  <c r="F13" i="3"/>
  <c r="D74" i="3"/>
  <c r="F4" i="3"/>
  <c r="D75" i="3"/>
  <c r="F5" i="3"/>
  <c r="D85" i="3"/>
  <c r="F15" i="3"/>
  <c r="D80" i="3"/>
  <c r="F10" i="3"/>
  <c r="C73" i="3"/>
  <c r="E3" i="3"/>
  <c r="D79" i="3"/>
  <c r="F9" i="3"/>
  <c r="D76" i="3"/>
  <c r="F6" i="3"/>
  <c r="D77" i="3"/>
  <c r="F7" i="3"/>
  <c r="D84" i="3"/>
  <c r="F14" i="3"/>
  <c r="C89" i="3"/>
  <c r="E19" i="3"/>
  <c r="B8" i="14" l="1"/>
  <c r="B16" i="10"/>
  <c r="F16" i="3"/>
  <c r="B23" i="10"/>
  <c r="B90" i="10"/>
  <c r="F22" i="10"/>
  <c r="E13" i="10"/>
  <c r="C17" i="10"/>
  <c r="C15" i="10" s="1"/>
  <c r="D24" i="10"/>
  <c r="C16" i="10"/>
  <c r="D25" i="10"/>
  <c r="G34" i="9"/>
  <c r="G32" i="9" s="1"/>
  <c r="H73" i="9"/>
  <c r="G74" i="9"/>
  <c r="F25" i="9"/>
  <c r="F23" i="9" s="1"/>
  <c r="F12" i="3"/>
  <c r="E82" i="3" s="1"/>
  <c r="D87" i="3"/>
  <c r="C92" i="3"/>
  <c r="A3" i="2" s="1"/>
  <c r="A32" i="2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F3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H74" i="9" l="1"/>
  <c r="G25" i="9"/>
  <c r="G23" i="9" s="1"/>
  <c r="G22" i="10"/>
  <c r="F13" i="10"/>
  <c r="Y91" i="10"/>
  <c r="Y23" i="10" s="1"/>
  <c r="Y14" i="10" s="1"/>
  <c r="Y20" i="10" s="1"/>
  <c r="Q91" i="10"/>
  <c r="Q23" i="10" s="1"/>
  <c r="Q14" i="10" s="1"/>
  <c r="Q20" i="10" s="1"/>
  <c r="I91" i="10"/>
  <c r="I23" i="10" s="1"/>
  <c r="I14" i="10" s="1"/>
  <c r="I20" i="10" s="1"/>
  <c r="AF91" i="10"/>
  <c r="AF23" i="10" s="1"/>
  <c r="AF14" i="10" s="1"/>
  <c r="AF20" i="10" s="1"/>
  <c r="X91" i="10"/>
  <c r="P91" i="10"/>
  <c r="H91" i="10"/>
  <c r="AE91" i="10"/>
  <c r="W91" i="10"/>
  <c r="W23" i="10" s="1"/>
  <c r="W14" i="10" s="1"/>
  <c r="W20" i="10" s="1"/>
  <c r="O91" i="10"/>
  <c r="G91" i="10"/>
  <c r="G23" i="10" s="1"/>
  <c r="G14" i="10" s="1"/>
  <c r="G20" i="10" s="1"/>
  <c r="AD91" i="10"/>
  <c r="AD23" i="10" s="1"/>
  <c r="AD14" i="10" s="1"/>
  <c r="AD20" i="10" s="1"/>
  <c r="V91" i="10"/>
  <c r="V23" i="10" s="1"/>
  <c r="V14" i="10" s="1"/>
  <c r="V20" i="10" s="1"/>
  <c r="N91" i="10"/>
  <c r="N23" i="10" s="1"/>
  <c r="N14" i="10" s="1"/>
  <c r="N20" i="10" s="1"/>
  <c r="F91" i="10"/>
  <c r="AC91" i="10"/>
  <c r="U91" i="10"/>
  <c r="U23" i="10" s="1"/>
  <c r="U14" i="10" s="1"/>
  <c r="U20" i="10" s="1"/>
  <c r="M91" i="10"/>
  <c r="M23" i="10" s="1"/>
  <c r="M14" i="10" s="1"/>
  <c r="M20" i="10" s="1"/>
  <c r="E91" i="10"/>
  <c r="E23" i="10" s="1"/>
  <c r="E14" i="10" s="1"/>
  <c r="E20" i="10" s="1"/>
  <c r="AA91" i="10"/>
  <c r="AA23" i="10" s="1"/>
  <c r="AA14" i="10" s="1"/>
  <c r="AA20" i="10" s="1"/>
  <c r="S91" i="10"/>
  <c r="K91" i="10"/>
  <c r="K23" i="10" s="1"/>
  <c r="K14" i="10" s="1"/>
  <c r="K20" i="10" s="1"/>
  <c r="C91" i="10"/>
  <c r="L91" i="10"/>
  <c r="J91" i="10"/>
  <c r="R91" i="10"/>
  <c r="R23" i="10" s="1"/>
  <c r="R14" i="10" s="1"/>
  <c r="R20" i="10" s="1"/>
  <c r="D91" i="10"/>
  <c r="D23" i="10" s="1"/>
  <c r="D14" i="10" s="1"/>
  <c r="D20" i="10" s="1"/>
  <c r="AB91" i="10"/>
  <c r="AB23" i="10" s="1"/>
  <c r="AB14" i="10" s="1"/>
  <c r="AB20" i="10" s="1"/>
  <c r="T91" i="10"/>
  <c r="T23" i="10" s="1"/>
  <c r="T14" i="10" s="1"/>
  <c r="T20" i="10" s="1"/>
  <c r="Z91" i="10"/>
  <c r="Z23" i="10" s="1"/>
  <c r="Z14" i="10" s="1"/>
  <c r="Z20" i="10" s="1"/>
  <c r="E25" i="10"/>
  <c r="D16" i="10"/>
  <c r="D17" i="10"/>
  <c r="D15" i="10" s="1"/>
  <c r="E24" i="10"/>
  <c r="H34" i="9"/>
  <c r="H32" i="9" s="1"/>
  <c r="I73" i="9"/>
  <c r="X23" i="10"/>
  <c r="X14" i="10" s="1"/>
  <c r="X20" i="10" s="1"/>
  <c r="P23" i="10"/>
  <c r="P14" i="10" s="1"/>
  <c r="P20" i="10" s="1"/>
  <c r="H23" i="10"/>
  <c r="H14" i="10" s="1"/>
  <c r="H20" i="10" s="1"/>
  <c r="AE23" i="10"/>
  <c r="AE14" i="10" s="1"/>
  <c r="AE20" i="10" s="1"/>
  <c r="O23" i="10"/>
  <c r="O14" i="10" s="1"/>
  <c r="O20" i="10" s="1"/>
  <c r="F23" i="10"/>
  <c r="F14" i="10" s="1"/>
  <c r="F20" i="10" s="1"/>
  <c r="AC23" i="10"/>
  <c r="AC14" i="10" s="1"/>
  <c r="AC20" i="10" s="1"/>
  <c r="S23" i="10"/>
  <c r="S14" i="10" s="1"/>
  <c r="S20" i="10" s="1"/>
  <c r="C23" i="10"/>
  <c r="C14" i="10" s="1"/>
  <c r="C20" i="10" s="1"/>
  <c r="B14" i="10"/>
  <c r="B20" i="10" s="1"/>
  <c r="L23" i="10"/>
  <c r="L14" i="10" s="1"/>
  <c r="L20" i="10" s="1"/>
  <c r="J23" i="10"/>
  <c r="J14" i="10" s="1"/>
  <c r="J20" i="10" s="1"/>
  <c r="D92" i="3"/>
  <c r="B3" i="2" s="1"/>
  <c r="B32" i="2" s="1"/>
  <c r="F2" i="6" s="1"/>
  <c r="F84" i="3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F24" i="10" l="1"/>
  <c r="E17" i="10"/>
  <c r="E15" i="10" s="1"/>
  <c r="J73" i="9"/>
  <c r="I34" i="9"/>
  <c r="I32" i="9" s="1"/>
  <c r="F25" i="10"/>
  <c r="E16" i="10"/>
  <c r="G13" i="10"/>
  <c r="H22" i="10"/>
  <c r="I74" i="9"/>
  <c r="H25" i="9"/>
  <c r="H23" i="9" s="1"/>
  <c r="E92" i="3"/>
  <c r="C3" i="2" s="1"/>
  <c r="C32" i="2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2" i="2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2" i="6" l="1"/>
  <c r="D34" i="2"/>
  <c r="G2" i="6"/>
  <c r="C34" i="2"/>
  <c r="H13" i="10"/>
  <c r="I22" i="10"/>
  <c r="G25" i="10"/>
  <c r="F16" i="10"/>
  <c r="K73" i="9"/>
  <c r="J34" i="9"/>
  <c r="J32" i="9" s="1"/>
  <c r="J74" i="9"/>
  <c r="I25" i="9"/>
  <c r="I23" i="9" s="1"/>
  <c r="G24" i="10"/>
  <c r="F17" i="10"/>
  <c r="F15" i="10" s="1"/>
  <c r="H80" i="3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C13" i="14" l="1"/>
  <c r="C2" i="14" s="1"/>
  <c r="C18" i="14"/>
  <c r="C7" i="14" s="1"/>
  <c r="C14" i="14"/>
  <c r="C3" i="14" s="1"/>
  <c r="C19" i="14"/>
  <c r="C8" i="14" s="1"/>
  <c r="D13" i="14"/>
  <c r="D2" i="14" s="1"/>
  <c r="D18" i="14"/>
  <c r="D7" i="14" s="1"/>
  <c r="D14" i="14"/>
  <c r="D3" i="14" s="1"/>
  <c r="D19" i="14"/>
  <c r="D8" i="14" s="1"/>
  <c r="L73" i="9"/>
  <c r="L34" i="9" s="1"/>
  <c r="K34" i="9"/>
  <c r="K32" i="9" s="1"/>
  <c r="H25" i="10"/>
  <c r="G16" i="10"/>
  <c r="K74" i="9"/>
  <c r="J25" i="9"/>
  <c r="J23" i="9" s="1"/>
  <c r="J22" i="10"/>
  <c r="I13" i="10"/>
  <c r="H24" i="10"/>
  <c r="G17" i="10"/>
  <c r="G15" i="10" s="1"/>
  <c r="G92" i="3"/>
  <c r="E3" i="2" s="1"/>
  <c r="E32" i="2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I2" i="6" l="1"/>
  <c r="E34" i="2"/>
  <c r="I24" i="10"/>
  <c r="H17" i="10"/>
  <c r="H15" i="10" s="1"/>
  <c r="K22" i="10"/>
  <c r="J13" i="10"/>
  <c r="I25" i="10"/>
  <c r="H16" i="10"/>
  <c r="M34" i="9"/>
  <c r="L32" i="9"/>
  <c r="K25" i="9"/>
  <c r="K23" i="9" s="1"/>
  <c r="L74" i="9"/>
  <c r="L25" i="9" s="1"/>
  <c r="J80" i="3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" i="2" s="1"/>
  <c r="F32" i="2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E13" i="14" l="1"/>
  <c r="E2" i="14" s="1"/>
  <c r="E18" i="14"/>
  <c r="E7" i="14" s="1"/>
  <c r="E14" i="14"/>
  <c r="E3" i="14" s="1"/>
  <c r="E19" i="14"/>
  <c r="E8" i="14" s="1"/>
  <c r="J2" i="6"/>
  <c r="F34" i="2"/>
  <c r="L23" i="9"/>
  <c r="M25" i="9"/>
  <c r="J24" i="10"/>
  <c r="I17" i="10"/>
  <c r="I15" i="10" s="1"/>
  <c r="N34" i="9"/>
  <c r="M32" i="9"/>
  <c r="L22" i="10"/>
  <c r="K13" i="10"/>
  <c r="J25" i="10"/>
  <c r="I16" i="10"/>
  <c r="K78" i="3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" i="2" s="1"/>
  <c r="G32" i="2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F13" i="14" l="1"/>
  <c r="F2" i="14" s="1"/>
  <c r="F18" i="14"/>
  <c r="F7" i="14" s="1"/>
  <c r="F14" i="14"/>
  <c r="F3" i="14" s="1"/>
  <c r="F19" i="14"/>
  <c r="F8" i="14" s="1"/>
  <c r="K2" i="6"/>
  <c r="G34" i="2"/>
  <c r="M22" i="10"/>
  <c r="L13" i="10"/>
  <c r="O34" i="9"/>
  <c r="N32" i="9"/>
  <c r="J17" i="10"/>
  <c r="J15" i="10" s="1"/>
  <c r="K24" i="10"/>
  <c r="M23" i="9"/>
  <c r="N25" i="9"/>
  <c r="K25" i="10"/>
  <c r="J16" i="10"/>
  <c r="L80" i="3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" i="2" s="1"/>
  <c r="I32" i="2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" i="2" s="1"/>
  <c r="H32" i="2" s="1"/>
  <c r="L88" i="3"/>
  <c r="N18" i="3"/>
  <c r="L85" i="3"/>
  <c r="N15" i="3"/>
  <c r="L78" i="3"/>
  <c r="N8" i="3"/>
  <c r="G13" i="14" l="1"/>
  <c r="G2" i="14" s="1"/>
  <c r="G14" i="14"/>
  <c r="G3" i="14" s="1"/>
  <c r="G18" i="14"/>
  <c r="G7" i="14" s="1"/>
  <c r="G19" i="14"/>
  <c r="G8" i="14" s="1"/>
  <c r="M2" i="6"/>
  <c r="I34" i="2"/>
  <c r="L2" i="6"/>
  <c r="H34" i="2"/>
  <c r="K17" i="10"/>
  <c r="K15" i="10" s="1"/>
  <c r="L24" i="10"/>
  <c r="P34" i="9"/>
  <c r="O32" i="9"/>
  <c r="O25" i="9"/>
  <c r="N23" i="9"/>
  <c r="K16" i="10"/>
  <c r="L25" i="10"/>
  <c r="N22" i="10"/>
  <c r="M13" i="10"/>
  <c r="M85" i="3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I13" i="14" l="1"/>
  <c r="I2" i="14" s="1"/>
  <c r="I14" i="14"/>
  <c r="I3" i="14" s="1"/>
  <c r="I18" i="14"/>
  <c r="I7" i="14" s="1"/>
  <c r="I19" i="14"/>
  <c r="I8" i="14" s="1"/>
  <c r="H13" i="14"/>
  <c r="H2" i="14" s="1"/>
  <c r="H14" i="14"/>
  <c r="H3" i="14" s="1"/>
  <c r="H18" i="14"/>
  <c r="H7" i="14" s="1"/>
  <c r="H19" i="14"/>
  <c r="H8" i="14" s="1"/>
  <c r="L17" i="10"/>
  <c r="L15" i="10" s="1"/>
  <c r="M24" i="10"/>
  <c r="M25" i="10"/>
  <c r="L16" i="10"/>
  <c r="P32" i="9"/>
  <c r="Q34" i="9"/>
  <c r="O22" i="10"/>
  <c r="N13" i="10"/>
  <c r="P25" i="9"/>
  <c r="O23" i="9"/>
  <c r="L92" i="3"/>
  <c r="J3" i="2" s="1"/>
  <c r="J32" i="2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N2" i="6" l="1"/>
  <c r="J34" i="2"/>
  <c r="N24" i="10"/>
  <c r="M17" i="10"/>
  <c r="M15" i="10" s="1"/>
  <c r="Q32" i="9"/>
  <c r="R34" i="9"/>
  <c r="M16" i="10"/>
  <c r="N25" i="10"/>
  <c r="Q25" i="9"/>
  <c r="P23" i="9"/>
  <c r="O13" i="10"/>
  <c r="P22" i="10"/>
  <c r="O81" i="3"/>
  <c r="Q11" i="3"/>
  <c r="O75" i="3"/>
  <c r="Q5" i="3"/>
  <c r="O85" i="3"/>
  <c r="Q15" i="3"/>
  <c r="O86" i="3"/>
  <c r="Q16" i="3"/>
  <c r="O87" i="3"/>
  <c r="Q17" i="3"/>
  <c r="O77" i="3"/>
  <c r="Q7" i="3"/>
  <c r="M92" i="3"/>
  <c r="K3" i="2" s="1"/>
  <c r="K32" i="2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J13" i="14" l="1"/>
  <c r="J2" i="14" s="1"/>
  <c r="J18" i="14"/>
  <c r="J7" i="14" s="1"/>
  <c r="J14" i="14"/>
  <c r="J3" i="14" s="1"/>
  <c r="J19" i="14"/>
  <c r="J8" i="14" s="1"/>
  <c r="O2" i="6"/>
  <c r="K34" i="2"/>
  <c r="O25" i="10"/>
  <c r="N16" i="10"/>
  <c r="R25" i="9"/>
  <c r="Q23" i="9"/>
  <c r="P13" i="10"/>
  <c r="Q22" i="10"/>
  <c r="S34" i="9"/>
  <c r="R32" i="9"/>
  <c r="O24" i="10"/>
  <c r="N17" i="10"/>
  <c r="N15" i="10" s="1"/>
  <c r="P85" i="3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Q3" i="3"/>
  <c r="N92" i="3"/>
  <c r="L3" i="2" s="1"/>
  <c r="L32" i="2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K13" i="14" l="1"/>
  <c r="K2" i="14" s="1"/>
  <c r="K18" i="14"/>
  <c r="K7" i="14" s="1"/>
  <c r="K14" i="14"/>
  <c r="K3" i="14" s="1"/>
  <c r="K19" i="14"/>
  <c r="K8" i="14" s="1"/>
  <c r="O92" i="3"/>
  <c r="M3" i="2" s="1"/>
  <c r="M32" i="2" s="1"/>
  <c r="P2" i="6"/>
  <c r="L34" i="2"/>
  <c r="R22" i="10"/>
  <c r="Q13" i="10"/>
  <c r="S25" i="9"/>
  <c r="R23" i="9"/>
  <c r="S32" i="9"/>
  <c r="T34" i="9"/>
  <c r="P24" i="10"/>
  <c r="O17" i="10"/>
  <c r="O15" i="10" s="1"/>
  <c r="P25" i="10"/>
  <c r="O16" i="10"/>
  <c r="Q77" i="3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" i="2" s="1"/>
  <c r="N32" i="2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L13" i="14" l="1"/>
  <c r="L2" i="14" s="1"/>
  <c r="L18" i="14"/>
  <c r="L7" i="14" s="1"/>
  <c r="L14" i="14"/>
  <c r="L3" i="14" s="1"/>
  <c r="L19" i="14"/>
  <c r="L8" i="14" s="1"/>
  <c r="Q24" i="10"/>
  <c r="P17" i="10"/>
  <c r="P15" i="10" s="1"/>
  <c r="U34" i="9"/>
  <c r="T32" i="9"/>
  <c r="T25" i="9"/>
  <c r="S23" i="9"/>
  <c r="Q25" i="10"/>
  <c r="P16" i="10"/>
  <c r="R13" i="10"/>
  <c r="S22" i="10"/>
  <c r="R84" i="3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R25" i="10" l="1"/>
  <c r="Q16" i="10"/>
  <c r="U25" i="9"/>
  <c r="T23" i="9"/>
  <c r="V34" i="9"/>
  <c r="U32" i="9"/>
  <c r="T22" i="10"/>
  <c r="S13" i="10"/>
  <c r="R24" i="10"/>
  <c r="Q17" i="10"/>
  <c r="Q15" i="10" s="1"/>
  <c r="S80" i="3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" i="2" s="1"/>
  <c r="P32" i="2" s="1"/>
  <c r="T3" i="3"/>
  <c r="S87" i="3"/>
  <c r="U17" i="3"/>
  <c r="Q92" i="3"/>
  <c r="O3" i="2" s="1"/>
  <c r="O32" i="2" s="1"/>
  <c r="U22" i="10" l="1"/>
  <c r="T13" i="10"/>
  <c r="W34" i="9"/>
  <c r="V32" i="9"/>
  <c r="U23" i="9"/>
  <c r="V25" i="9"/>
  <c r="R17" i="10"/>
  <c r="R15" i="10" s="1"/>
  <c r="S24" i="10"/>
  <c r="S25" i="10"/>
  <c r="R16" i="10"/>
  <c r="T77" i="3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S92" i="3" l="1"/>
  <c r="Q3" i="2" s="1"/>
  <c r="Q32" i="2" s="1"/>
  <c r="X34" i="9"/>
  <c r="W32" i="9"/>
  <c r="S17" i="10"/>
  <c r="S15" i="10" s="1"/>
  <c r="T24" i="10"/>
  <c r="W25" i="9"/>
  <c r="V23" i="9"/>
  <c r="S16" i="10"/>
  <c r="T25" i="10"/>
  <c r="V22" i="10"/>
  <c r="U13" i="10"/>
  <c r="T73" i="3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U25" i="10" l="1"/>
  <c r="T16" i="10"/>
  <c r="X25" i="9"/>
  <c r="W23" i="9"/>
  <c r="T17" i="10"/>
  <c r="T15" i="10" s="1"/>
  <c r="U24" i="10"/>
  <c r="W22" i="10"/>
  <c r="V13" i="10"/>
  <c r="Y34" i="9"/>
  <c r="X32" i="9"/>
  <c r="V82" i="3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" i="2" s="1"/>
  <c r="S32" i="2" s="1"/>
  <c r="W3" i="3"/>
  <c r="V79" i="3"/>
  <c r="X9" i="3"/>
  <c r="V86" i="3"/>
  <c r="X16" i="3"/>
  <c r="V83" i="3"/>
  <c r="X13" i="3"/>
  <c r="T92" i="3"/>
  <c r="R3" i="2" s="1"/>
  <c r="R32" i="2" s="1"/>
  <c r="V24" i="10" l="1"/>
  <c r="U17" i="10"/>
  <c r="U15" i="10" s="1"/>
  <c r="W13" i="10"/>
  <c r="X22" i="10"/>
  <c r="Y25" i="9"/>
  <c r="X23" i="9"/>
  <c r="Z34" i="9"/>
  <c r="Y32" i="9"/>
  <c r="U16" i="10"/>
  <c r="V25" i="10"/>
  <c r="W80" i="3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X3" i="3"/>
  <c r="W83" i="3"/>
  <c r="Y13" i="3"/>
  <c r="W84" i="3"/>
  <c r="Y14" i="3"/>
  <c r="W82" i="3"/>
  <c r="Y12" i="3"/>
  <c r="W87" i="3"/>
  <c r="Y17" i="3"/>
  <c r="W85" i="3"/>
  <c r="Y15" i="3"/>
  <c r="V92" i="3" l="1"/>
  <c r="T3" i="2" s="1"/>
  <c r="T32" i="2" s="1"/>
  <c r="X13" i="10"/>
  <c r="Y22" i="10"/>
  <c r="W25" i="10"/>
  <c r="V16" i="10"/>
  <c r="AA34" i="9"/>
  <c r="Z32" i="9"/>
  <c r="Z25" i="9"/>
  <c r="Y23" i="9"/>
  <c r="W24" i="10"/>
  <c r="V17" i="10"/>
  <c r="V15" i="10" s="1"/>
  <c r="X77" i="3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AA32" i="9" l="1"/>
  <c r="AB34" i="9"/>
  <c r="AA25" i="9"/>
  <c r="Z23" i="9"/>
  <c r="Z22" i="10"/>
  <c r="Y13" i="10"/>
  <c r="X25" i="10"/>
  <c r="W16" i="10"/>
  <c r="X24" i="10"/>
  <c r="W17" i="10"/>
  <c r="W15" i="10" s="1"/>
  <c r="Y76" i="3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" i="2" s="1"/>
  <c r="V32" i="2" s="1"/>
  <c r="Z3" i="3"/>
  <c r="Y77" i="3"/>
  <c r="AA7" i="3"/>
  <c r="Y82" i="3"/>
  <c r="AA12" i="3"/>
  <c r="Y84" i="3"/>
  <c r="AA14" i="3"/>
  <c r="W92" i="3"/>
  <c r="U3" i="2" s="1"/>
  <c r="U32" i="2" s="1"/>
  <c r="Y25" i="10" l="1"/>
  <c r="X16" i="10"/>
  <c r="AB25" i="9"/>
  <c r="AA23" i="9"/>
  <c r="AC34" i="9"/>
  <c r="AB32" i="9"/>
  <c r="Z13" i="10"/>
  <c r="AA22" i="10"/>
  <c r="Y24" i="10"/>
  <c r="X17" i="10"/>
  <c r="X15" i="10" s="1"/>
  <c r="Z74" i="3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" i="2" s="1"/>
  <c r="W32" i="2" s="1"/>
  <c r="AA3" i="3"/>
  <c r="Z88" i="3"/>
  <c r="AB18" i="3"/>
  <c r="Z75" i="3"/>
  <c r="AB5" i="3"/>
  <c r="Z85" i="3"/>
  <c r="AB15" i="3"/>
  <c r="AB22" i="10" l="1"/>
  <c r="AA13" i="10"/>
  <c r="AD34" i="9"/>
  <c r="AC32" i="9"/>
  <c r="AC25" i="9"/>
  <c r="AB23" i="9"/>
  <c r="Z24" i="10"/>
  <c r="Y17" i="10"/>
  <c r="Y15" i="10" s="1"/>
  <c r="Z25" i="10"/>
  <c r="Y16" i="10"/>
  <c r="AA81" i="3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" i="2" s="1"/>
  <c r="X32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C23" i="9" l="1"/>
  <c r="AD25" i="9"/>
  <c r="AE34" i="9"/>
  <c r="AD32" i="9"/>
  <c r="Z17" i="10"/>
  <c r="Z15" i="10" s="1"/>
  <c r="AA24" i="10"/>
  <c r="AA25" i="10"/>
  <c r="Z16" i="10"/>
  <c r="AC22" i="10"/>
  <c r="AB13" i="10"/>
  <c r="AB87" i="3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F34" i="9" l="1"/>
  <c r="AF32" i="9" s="1"/>
  <c r="AE32" i="9"/>
  <c r="AA17" i="10"/>
  <c r="AA15" i="10" s="1"/>
  <c r="AB24" i="10"/>
  <c r="AE25" i="9"/>
  <c r="AD23" i="9"/>
  <c r="AA16" i="10"/>
  <c r="AB25" i="10"/>
  <c r="AD22" i="10"/>
  <c r="AC13" i="10"/>
  <c r="AC85" i="3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" i="2" s="1"/>
  <c r="Y32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C25" i="10" l="1"/>
  <c r="AB16" i="10"/>
  <c r="AE23" i="9"/>
  <c r="AF25" i="9"/>
  <c r="AF23" i="9" s="1"/>
  <c r="AB17" i="10"/>
  <c r="AB15" i="10" s="1"/>
  <c r="AC24" i="10"/>
  <c r="AE22" i="10"/>
  <c r="AD13" i="10"/>
  <c r="AB92" i="3"/>
  <c r="Z3" i="2" s="1"/>
  <c r="Z32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D24" i="10" l="1"/>
  <c r="AC17" i="10"/>
  <c r="AC15" i="10" s="1"/>
  <c r="AE13" i="10"/>
  <c r="AF22" i="10"/>
  <c r="AF13" i="10" s="1"/>
  <c r="AD25" i="10"/>
  <c r="AC16" i="10"/>
  <c r="AE81" i="3"/>
  <c r="AG11" i="3"/>
  <c r="AE80" i="3"/>
  <c r="AG10" i="3"/>
  <c r="AE76" i="3"/>
  <c r="AG6" i="3"/>
  <c r="AE77" i="3"/>
  <c r="AG7" i="3"/>
  <c r="AD73" i="3"/>
  <c r="AF3" i="3"/>
  <c r="AF19" i="3"/>
  <c r="AD89" i="3"/>
  <c r="AC92" i="3"/>
  <c r="AA3" i="2" s="1"/>
  <c r="AA32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E25" i="10" l="1"/>
  <c r="AD16" i="10"/>
  <c r="AE24" i="10"/>
  <c r="AD17" i="10"/>
  <c r="AD15" i="10" s="1"/>
  <c r="AF77" i="3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2" i="2" s="1"/>
  <c r="AF2" i="6" s="1"/>
  <c r="AF24" i="10" l="1"/>
  <c r="AF17" i="10" s="1"/>
  <c r="AF15" i="10" s="1"/>
  <c r="AE17" i="10"/>
  <c r="AE15" i="10" s="1"/>
  <c r="AF25" i="10"/>
  <c r="AF16" i="10" s="1"/>
  <c r="AE16" i="10"/>
  <c r="AG84" i="3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2" i="2" s="1"/>
  <c r="AG2" i="6" s="1"/>
  <c r="AF92" i="3" l="1"/>
  <c r="AD3" i="2" s="1"/>
  <c r="AD32" i="2" s="1"/>
  <c r="AH2" i="6" s="1"/>
  <c r="AG89" i="3"/>
  <c r="AI19" i="3"/>
  <c r="AH89" i="3" s="1"/>
  <c r="AG73" i="3"/>
  <c r="AG92" i="3" s="1"/>
  <c r="AE3" i="2" s="1"/>
  <c r="AE32" i="2" s="1"/>
  <c r="AI2" i="6" s="1"/>
  <c r="AI3" i="3"/>
  <c r="AH73" i="3" s="1"/>
  <c r="AH92" i="3" s="1"/>
  <c r="AF3" i="2" s="1"/>
  <c r="AF32" i="2" s="1"/>
  <c r="AJ2" i="6" s="1"/>
</calcChain>
</file>

<file path=xl/sharedStrings.xml><?xml version="1.0" encoding="utf-8"?>
<sst xmlns="http://schemas.openxmlformats.org/spreadsheetml/2006/main" count="1220" uniqueCount="596">
  <si>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</si>
  <si>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</si>
  <si>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</si>
  <si>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</si>
  <si>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</si>
  <si>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</si>
  <si>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</si>
  <si>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</si>
  <si>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</si>
  <si>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</si>
  <si>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</si>
  <si>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</si>
  <si>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</si>
  <si>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</si>
  <si>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</si>
  <si>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</si>
  <si>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</si>
  <si>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</si>
  <si>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</si>
  <si>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</si>
  <si>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</si>
  <si>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</si>
  <si>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</si>
  <si>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</si>
  <si>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</si>
  <si>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</si>
  <si>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</si>
  <si>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</si>
  <si>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</si>
  <si>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</si>
  <si>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</si>
  <si>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</si>
  <si>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</si>
  <si>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</si>
  <si>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</si>
  <si>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</si>
  <si>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</si>
  <si>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</si>
  <si>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</si>
  <si>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</si>
  <si>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</si>
  <si>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</si>
  <si>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</si>
  <si>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</si>
  <si>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</si>
  <si>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</si>
  <si>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</si>
  <si>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</si>
  <si>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</si>
  <si>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</si>
  <si>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</si>
  <si>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</si>
  <si>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</si>
  <si>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</si>
  <si>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</si>
  <si>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</si>
  <si>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</si>
  <si>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</si>
  <si>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</si>
  <si>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</si>
  <si>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</si>
  <si>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</si>
  <si>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</si>
  <si>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</si>
  <si>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</si>
  <si>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</si>
  <si>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</si>
  <si>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</si>
  <si>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</si>
  <si>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</si>
  <si>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</si>
  <si>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</si>
  <si>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</si>
  <si>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</si>
  <si>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</si>
  <si>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</si>
  <si>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</si>
  <si>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</si>
  <si>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</si>
  <si>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</si>
  <si>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</si>
  <si>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</si>
  <si>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</si>
  <si>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</si>
  <si>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</si>
  <si>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</si>
  <si>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</si>
  <si>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</si>
  <si>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</si>
  <si>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</si>
  <si>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</si>
  <si>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</si>
  <si>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</si>
  <si>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</si>
  <si>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</si>
  <si>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</si>
  <si>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</si>
  <si>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</si>
  <si>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</si>
  <si>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</si>
  <si>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</si>
  <si>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</si>
  <si>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</si>
  <si>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</si>
  <si>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</si>
  <si>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</si>
  <si>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</si>
  <si>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</si>
  <si>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</si>
  <si>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</si>
  <si>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</si>
  <si>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</si>
  <si>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</si>
  <si>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</si>
  <si>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</si>
  <si>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</si>
  <si>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</si>
  <si>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</si>
  <si>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</si>
  <si>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</si>
  <si>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</si>
  <si>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</si>
  <si>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</si>
  <si>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</si>
  <si>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</si>
  <si>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</si>
  <si>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</si>
  <si>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</si>
  <si>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</si>
  <si>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</si>
  <si>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</si>
  <si>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</si>
  <si>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</si>
  <si>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</si>
  <si>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</si>
  <si>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</si>
  <si>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</si>
  <si>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</si>
  <si>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</si>
  <si>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</si>
  <si>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</si>
  <si>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</si>
  <si>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</si>
  <si>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</si>
  <si>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</si>
  <si>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</si>
  <si>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</si>
  <si>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</si>
  <si>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</si>
  <si>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</si>
  <si>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</si>
  <si>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</si>
  <si>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</si>
  <si>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</si>
  <si>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</si>
  <si>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</si>
  <si>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</si>
  <si>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</si>
  <si>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</si>
  <si>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</si>
  <si>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</si>
  <si>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</si>
  <si>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</si>
  <si>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</si>
  <si>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</si>
  <si>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</si>
  <si>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</si>
  <si>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</si>
  <si>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</si>
  <si>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</si>
  <si>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</si>
  <si>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</si>
  <si>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</si>
  <si>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</si>
  <si>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</si>
  <si>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</si>
  <si>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</si>
  <si>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</si>
  <si>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</si>
  <si>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</si>
  <si>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</si>
  <si>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</si>
  <si>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</si>
  <si>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</si>
  <si>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</si>
  <si>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</si>
  <si>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</si>
  <si>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</si>
  <si>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</si>
  <si>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</si>
  <si>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</si>
  <si>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</si>
  <si>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</si>
  <si>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</si>
  <si>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</si>
  <si>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</si>
  <si>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</si>
  <si>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</si>
  <si>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</si>
  <si>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</si>
  <si>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</si>
  <si>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</si>
  <si>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</si>
  <si>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</si>
  <si>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</si>
  <si>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</si>
  <si>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</si>
  <si>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</si>
  <si>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</si>
  <si>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</si>
  <si>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</si>
  <si>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</si>
  <si>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</si>
  <si>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</si>
  <si>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</si>
  <si>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</si>
  <si>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</si>
  <si>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</si>
  <si>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</si>
  <si>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</si>
  <si>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</si>
  <si>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</si>
  <si>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</si>
  <si>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</si>
  <si>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</si>
  <si>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</si>
  <si>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</si>
  <si>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</si>
  <si>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</si>
  <si>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</si>
  <si>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</si>
  <si>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</si>
  <si>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</si>
  <si>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</si>
  <si>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</si>
  <si>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</si>
  <si>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</si>
  <si>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</si>
  <si>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</si>
  <si>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</si>
  <si>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</si>
  <si>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</si>
  <si>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</si>
  <si>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</si>
  <si>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</si>
  <si>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</si>
  <si>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</si>
  <si>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</si>
  <si>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</si>
  <si>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</si>
  <si>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</si>
  <si>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</si>
  <si>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</si>
  <si>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</si>
  <si>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</si>
  <si>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</si>
  <si>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</si>
  <si>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</si>
  <si>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</si>
  <si>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</si>
  <si>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</si>
  <si>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</si>
  <si>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</si>
  <si>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</si>
  <si>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</si>
  <si>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</si>
  <si>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</si>
  <si>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</si>
  <si>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</si>
  <si>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</si>
  <si>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</si>
  <si>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</si>
  <si>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</si>
  <si>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</si>
  <si>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</si>
  <si>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</si>
  <si>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</si>
  <si>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</si>
  <si>
    <t>Motorbikes freight</t>
  </si>
  <si>
    <t>HDV freight</t>
  </si>
  <si>
    <t>LDV freight</t>
  </si>
  <si>
    <t>LDV freight calcs</t>
  </si>
  <si>
    <t>Class 4-7</t>
  </si>
  <si>
    <t>Class 8 vocational</t>
  </si>
  <si>
    <t>Class 2-b</t>
  </si>
  <si>
    <t>Model</t>
  </si>
  <si>
    <t>OEM</t>
  </si>
  <si>
    <t>Technology Type</t>
  </si>
  <si>
    <t>Vehicle Incentives</t>
  </si>
  <si>
    <t>Dealers</t>
  </si>
  <si>
    <t>New or Conversion</t>
  </si>
  <si>
    <t>Battery</t>
  </si>
  <si>
    <t>Model Years</t>
  </si>
  <si>
    <t>GVWR</t>
  </si>
  <si>
    <t>Vehicle Types</t>
  </si>
  <si>
    <t>Banner</t>
  </si>
  <si>
    <t>Additional Info</t>
  </si>
  <si>
    <t>Ford T350 Chassis Cab 2WD Battery Electric Vehicle</t>
  </si>
  <si>
    <t>2b</t>
  </si>
  <si>
    <t>Battery Electric</t>
  </si>
  <si>
    <t>Bergey's Ford, Inc;Creative Bus Sales;Downtown Ford Sales;Ford Store San Leandro;Future Ford of Sacramento;Galpin Ford;Jim Burke Ford;Ken Grody Ford;Kings Ford;Larry H. Miller Ford - Draper;Livermore Ford;Midway Ford Truck Center;Mission Valley Ford Truck Sales, Inc.;Ron DuPratt Ford;Sands Ford of Red Hill;Santa Margarita Ford;Sonora Ford;South Bay Ford;Sunrise Ford of North Hollywood;The Ford Store Morgan Hill;Tom's Truck Center;Towne Ford Sales;Valley Ford Truck</t>
  </si>
  <si>
    <t>New</t>
  </si>
  <si>
    <t>68 kWh</t>
  </si>
  <si>
    <t>Class 2b</t>
  </si>
  <si>
    <t>Retrofit;Straight Truck</t>
  </si>
  <si>
    <t>Ford T350 Cutaway 2WD Battery Electric Vehicle</t>
  </si>
  <si>
    <t>Paratransit;Retrofit;Shuttle Bus;Straight Truck</t>
  </si>
  <si>
    <t>Ford T350 Van 2WD Battery Electric Vehicle</t>
  </si>
  <si>
    <t>Panel Van;Paratransit;Retrofit;Shuttle Bus</t>
  </si>
  <si>
    <t>Class 4-6</t>
  </si>
  <si>
    <t>BrightDrop EV600 Battery Electric Vehicle</t>
  </si>
  <si>
    <t>Step &amp; Panel Van</t>
  </si>
  <si>
    <t>General Motors</t>
  </si>
  <si>
    <t>BrightDrop Greater Los Angeles</t>
  </si>
  <si>
    <t>200 kWh</t>
  </si>
  <si>
    <t>Class 3</t>
  </si>
  <si>
    <t>Step Van</t>
  </si>
  <si>
    <t>FCCC MT50e Battery Electric Truck</t>
  </si>
  <si>
    <t>Freightliner Custom Chassis Corporation</t>
  </si>
  <si>
    <t>Delta Truck Center;Freightliner Custom Chassis Corporation;Freightliner of Arizona LLC;Freightliner of Buffalo;Golden Gate Truck Center;Lonestar Truck Group;McCoy Freightliner;Metro Freightliner Hamilton;Premier Truck Group of Salt Lake City;Velocity Truck Centers</t>
  </si>
  <si>
    <t>220 kWh</t>
  </si>
  <si>
    <t>2020, 2022</t>
  </si>
  <si>
    <t>Class 5</t>
  </si>
  <si>
    <t>Step Van;Straight Truck</t>
  </si>
  <si>
    <t>Delta Truck Center;Freightliner Custom Chassis Corporation;Freightliner of Arizona LLC;Freightliner of Buffalo;Golden Gate Truck Center;Lonestar Truck Group;McCoy Freightliner;Metro Freightliner Hamilton;Premier Truck Group of Salt Lake City;Velocity Truck Centers;Work Truck Direct</t>
  </si>
  <si>
    <t>Class 6</t>
  </si>
  <si>
    <t>GreenPower EV Star Cargo Battery Electric Van</t>
  </si>
  <si>
    <t>GreenPower Motor Company</t>
  </si>
  <si>
    <t>GreenPower Motor Company;Tom's Truck Center</t>
  </si>
  <si>
    <t>118 kWh</t>
  </si>
  <si>
    <t>2020, 2021, 2022</t>
  </si>
  <si>
    <t>Class 4;Class 5</t>
  </si>
  <si>
    <t>Panel Van</t>
  </si>
  <si>
    <t>Lightning eMotors FT3-43/86 Battery Electric Vehicle</t>
  </si>
  <si>
    <t>Lightning eMotors</t>
  </si>
  <si>
    <t>A-Z Bus Sales, Inc.;ABC Bus, Inc.;Creative Bus Sales;Don Brown Bus Sales Inc;Electric Vehicle Conversions;Ken Grody Ford;Lightning eMotors;Midway Ford Truck Center;NorCal Vans, Inc.;RO Bus Sales;Schetky Northwest Sales Inc;Transwest Truck Center, LLC</t>
  </si>
  <si>
    <t>43 kWh &lt;br&gt;86 kWh</t>
  </si>
  <si>
    <t>Motiv on Ford E-450 Platform &amp;#8211; Step Van</t>
  </si>
  <si>
    <t>Motiv Power Systems</t>
  </si>
  <si>
    <t>Bergey's Ford, Inc;Don Brown Bus Sales Inc;Electric Vehicle Conversions;Kings Ford;Larry H. Miller Ford - Draper;Motiv Power Systems, Inc.;Rush Truck Centers;South Bay Ford;The Ford Store Morgan Hill;Tom's Truck Center;Work Truck Direct</t>
  </si>
  <si>
    <t>127 kWh</t>
  </si>
  <si>
    <t>Class 4</t>
  </si>
  <si>
    <t>Motiv on Ford F-59 Platform &amp;#8211; Step Van</t>
  </si>
  <si>
    <t>2020, 2021</t>
  </si>
  <si>
    <t>SEA F59 EV (on FORD F-59 with SEA-DRIVEÂ® Power System)</t>
  </si>
  <si>
    <t>SEA Electric</t>
  </si>
  <si>
    <t>Electric Vehicle Conversions;SEA Electric;South Bay Ford;Tom's Truck Center</t>
  </si>
  <si>
    <t>138 kWh</t>
  </si>
  <si>
    <t>Panel Van;Step Van</t>
  </si>
  <si>
    <t>Workhorse C-1000 Extended Range Battery Electric Step Van</t>
  </si>
  <si>
    <t>Workhorse Group Inc.</t>
  </si>
  <si>
    <t>Chrysler of Forest City;Tom's Truck Center;Workhorse Technologies Inc.</t>
  </si>
  <si>
    <t>105 kWh</t>
  </si>
  <si>
    <t>Workhorse C-1000 Standard Range Battery Electric Step Van</t>
  </si>
  <si>
    <t>70.4 kWh</t>
  </si>
  <si>
    <t>Workhorse C-650 Extended Range Battery Electric Step Van</t>
  </si>
  <si>
    <t>70 kWh</t>
  </si>
  <si>
    <t>Workhorse C-650 Standard Range Battery Electric Step Van</t>
  </si>
  <si>
    <t>35 kWh</t>
  </si>
  <si>
    <t>Xos SV Battery Electric Truck</t>
  </si>
  <si>
    <t>Xos</t>
  </si>
  <si>
    <t>Rivordak;Thompson Truck Center, LLC;XOS Services</t>
  </si>
  <si>
    <t>90 kWh, 120 kWh, 150 kWh, 180 kWh</t>
  </si>
  <si>
    <t>BYD 6R Battery Electric Truck</t>
  </si>
  <si>
    <t>Refuse;Straight Truck</t>
  </si>
  <si>
    <t>BYD Motors</t>
  </si>
  <si>
    <t>221 kWh</t>
  </si>
  <si>
    <t>Straight Truck</t>
  </si>
  <si>
    <t>BYD 8R Battery Electric Truck</t>
  </si>
  <si>
    <t>Refuse</t>
  </si>
  <si>
    <t>295 kWh</t>
  </si>
  <si>
    <t>Class 8</t>
  </si>
  <si>
    <t>Crane Carrier BEV LET2 Battery Electric Truck</t>
  </si>
  <si>
    <t>Crane Carrier Company</t>
  </si>
  <si>
    <t>Dobbs Peterbilt;Kenworth of South Florida;Pape Kenworth;RWC Group;Velocity Truck Centers</t>
  </si>
  <si>
    <t>240 kWh &lt;br&gt; 450 kWh</t>
  </si>
  <si>
    <t xml:space="preserve">240 kWh </t>
  </si>
  <si>
    <t>Class 6;Class 7</t>
  </si>
  <si>
    <t>Crane Carrier BEV LNT Battery Electric Truck</t>
  </si>
  <si>
    <t>2021, 2022</t>
  </si>
  <si>
    <t>Lion Electric Lion8P ASL Refuse Battery Electric Truck</t>
  </si>
  <si>
    <t>Lion Electric</t>
  </si>
  <si>
    <t>The Lion Electric Co.</t>
  </si>
  <si>
    <t>336 kWh</t>
  </si>
  <si>
    <t>Lion Electric Lion8P REL Refuse Battery Electric Truck</t>
  </si>
  <si>
    <t>Mack LRe Battery Electric Truck</t>
  </si>
  <si>
    <t>Mack Trucks</t>
  </si>
  <si>
    <t>Affinity Truck Center;Mack Trucks Corporate;Mountain West Truck Center;Nextran Truck Centers Orlando;TEC of California, Inc.;Western Truck Center</t>
  </si>
  <si>
    <t>264 kWh</t>
  </si>
  <si>
    <t>Peterbilt Model 520 Battery Electric Truck</t>
  </si>
  <si>
    <t>Peterbilt</t>
  </si>
  <si>
    <t>Arata Equipment Co.;Coast Counties Peterbilt;Dobbs Peterbilt;Golden State Peterbilt;Heil Environmental;Peterbilt of Michigan Inc.;Peterbilt of Utah, Inc.;Rush Truck Centers;TLG Peterbilt - Charlotte;TLG Peterbilt - Cincinnati;TLG Peterbilt - Louisville;TLG Peterbilt - NW Arkansas;Valley Peterbilt</t>
  </si>
  <si>
    <t>396 kWh</t>
  </si>
  <si>
    <t>SEA Econic EV (on Freightliner Econic with SEA-DriveÂ® Power-System)</t>
  </si>
  <si>
    <t>Heavy-Duty Bus;Refuse</t>
  </si>
  <si>
    <t>Electric Vehicle Conversions</t>
  </si>
  <si>
    <t>Refuse;Transit Bus</t>
  </si>
  <si>
    <t>XL Electric Class 6 Battery Electric Vehicle</t>
  </si>
  <si>
    <t>XL Fleet</t>
  </si>
  <si>
    <t>180 kWh</t>
  </si>
  <si>
    <t>Class 8 TRACTOR</t>
  </si>
  <si>
    <t>BYD 8TT Battery Electric Truck</t>
  </si>
  <si>
    <t>Tractor</t>
  </si>
  <si>
    <t>435 kWh</t>
  </si>
  <si>
    <t>Drayage Capable*;Tractor</t>
  </si>
  <si>
    <t>Freightliner eCascadia Battery Electric Truck</t>
  </si>
  <si>
    <t>Freightliner</t>
  </si>
  <si>
    <t>Daimler Trucks North America LLC;Delta Truck Center;Doggett Freightliner;Excel Truck Group;Freightliner of Buffalo;Fresno Truck Center;Golden Gate Truck Center;Houston Freightliner, Inc.;Lonestar Truck Group;McCoy Freightliner;Metro Freightliner Hamilton;Peach State Freightliner;Premier Truck Group of Salt Lake City;River State Truck and Trailer;Sacramento Truck Center;Truck Country of Iowa, Inc.;Truck Country of Wisconsin Inc;Valley Ford Truck;Velocity Truck Centers</t>
  </si>
  <si>
    <t>475 kWh</t>
  </si>
  <si>
    <t>Kenworth T680E Battery Electric Truck</t>
  </si>
  <si>
    <t>Kenworth</t>
  </si>
  <si>
    <t>Inland Kenworth US;Kenworth of South Florida;MHC Kenworth;NorCal Kenworth;Pape Kenworth</t>
  </si>
  <si>
    <t>Lion Electric Lion8T Battery Electric Truck</t>
  </si>
  <si>
    <t>653 kWh</t>
  </si>
  <si>
    <t>Nikola TRE Battery Electric Truck</t>
  </si>
  <si>
    <t>Nikola</t>
  </si>
  <si>
    <t>Thompson Truck Center, LLC;Yancey Brothers Co</t>
  </si>
  <si>
    <t>753 kWh</t>
  </si>
  <si>
    <t>Peterbilt 579 Battery Electric Truck</t>
  </si>
  <si>
    <t>SEA Cascadia EV (on Freightliner Cascadia with SEA-DriveÂ® Power-System)</t>
  </si>
  <si>
    <t>Volvo VNRe Battery Electric Truck</t>
  </si>
  <si>
    <t>Affinity Truck Center;Gateway Truck &amp;amp; Refrigeration;Mountain West Truck Center;Nextran Truck Centers Orlando;TEC of California, Inc.;Vanguard Truck Center;Western Truck Center</t>
  </si>
  <si>
    <t>375 kWh &lt;br&gt; 565 kWh</t>
  </si>
  <si>
    <t>In 2012 $s</t>
  </si>
  <si>
    <t>Day cab - HDV frt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</si>
  <si>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</si>
  <si>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</si>
  <si>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</si>
  <si>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</si>
  <si>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</si>
  <si>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</si>
  <si>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</si>
  <si>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Sleeper cab - motorbikes frt</t>
  </si>
  <si>
    <t>2021$s</t>
  </si>
  <si>
    <t>Electric vehicles</t>
  </si>
  <si>
    <t>Start year cost</t>
  </si>
  <si>
    <t>2020 calcs</t>
  </si>
  <si>
    <t>Figure 3</t>
  </si>
  <si>
    <t>Sleeper / long haul</t>
  </si>
  <si>
    <t>HDV purchase cost before mark up</t>
  </si>
  <si>
    <t>Day cab</t>
  </si>
  <si>
    <t>Battery cost (600 kWh)</t>
  </si>
  <si>
    <t>Battery cost (300 kWh)</t>
  </si>
  <si>
    <t>Vehicle (balance after battery)</t>
  </si>
  <si>
    <t>Markup</t>
  </si>
  <si>
    <t>Totals</t>
  </si>
  <si>
    <t>Total cost with markup (600 KWh)</t>
  </si>
  <si>
    <t>Total cost with markup (300 KWh)</t>
  </si>
  <si>
    <t>Figure 5</t>
  </si>
  <si>
    <t>Total reduction</t>
  </si>
  <si>
    <t>electric brake systems</t>
  </si>
  <si>
    <t>% of total</t>
  </si>
  <si>
    <t>% reduction in 2030</t>
  </si>
  <si>
    <t>Motor+</t>
  </si>
  <si>
    <t>sum</t>
  </si>
  <si>
    <t>In initial/2020 cost</t>
  </si>
  <si>
    <t>Assume same absolute markup as 36% on Diesel</t>
  </si>
  <si>
    <t>Diesel day cab % markup</t>
  </si>
  <si>
    <t>2030 calcs</t>
  </si>
  <si>
    <t>Adjusted vehicle (for innovation and lower non-battery costs)</t>
  </si>
  <si>
    <t>Start year totals after accounting for non-battery cost reductions</t>
  </si>
  <si>
    <t>Sleeper diesel</t>
  </si>
  <si>
    <t>assume higher prices from strong demand price in-emission control costs until 2025.</t>
  </si>
  <si>
    <t>Day cab diesel</t>
  </si>
  <si>
    <t>Sleeper cab - battery cost</t>
  </si>
  <si>
    <t>Day cab - battery cost</t>
  </si>
  <si>
    <t>Sleeper cab - future battery savings</t>
  </si>
  <si>
    <t>Day cab - - future battery savings</t>
  </si>
  <si>
    <t>Californie EPS output (25 April 2022)</t>
  </si>
  <si>
    <t>Time (Time)</t>
  </si>
  <si>
    <t>This Year Battery Cost as Fraction of First Year Battery Cost : MostRecentRun</t>
  </si>
  <si>
    <t>ICCT, Figure 5</t>
  </si>
  <si>
    <t>Ricardo, page 10</t>
  </si>
  <si>
    <t>https://theicct.org/wp-content/uploads/2022/02/purchase-cost-ze-trucks-feb22-1.pdf</t>
  </si>
  <si>
    <t>2012$s</t>
  </si>
  <si>
    <t>CPI adjustment</t>
  </si>
  <si>
    <t>Diesel</t>
  </si>
  <si>
    <t>Gasoline</t>
  </si>
  <si>
    <t>Share</t>
  </si>
  <si>
    <t>Class 2b-3 gasoline</t>
  </si>
  <si>
    <t xml:space="preserve">Class 2b-3 diesel </t>
  </si>
  <si>
    <t>Class 2b-3 generic</t>
  </si>
  <si>
    <t>weighted average diesel</t>
  </si>
  <si>
    <t>weighted average gasoline</t>
  </si>
  <si>
    <t>weighted average EV price</t>
  </si>
  <si>
    <t>https://theicct.org/publication/cost-ev-vans-pickups-us-2040-jan22/</t>
  </si>
  <si>
    <t>COST OF ELECTRIC COMMERCIAL VANS AND PICKUP TRUCKS IN THE UNITED STATES THROUGH 2040</t>
  </si>
  <si>
    <t xml:space="preserve">Current BEV prices for vans range from $47,000–$68,000 across 100–400-mile ranges, and $54,000–$80,000 for pickup trucks. </t>
  </si>
  <si>
    <t>In comparison, the current cost of a gasoline and diesel van, including tax, is $45,000 and $56,000, respectively, and the cost of a gasoline and diesel pickup truck is $49,000–$60,000, respectively</t>
  </si>
  <si>
    <t>battery</t>
  </si>
  <si>
    <t>battery share of total cost</t>
  </si>
  <si>
    <t>Ratio BEV/Diesel</t>
  </si>
  <si>
    <t>BEV van-pickup</t>
  </si>
  <si>
    <t>Generic petroleum</t>
  </si>
  <si>
    <t>low - 100 mile</t>
  </si>
  <si>
    <t>high - 400 mile</t>
  </si>
  <si>
    <t>Mean value</t>
  </si>
  <si>
    <t>BEV van</t>
  </si>
  <si>
    <t>BEV pickup</t>
  </si>
  <si>
    <t>Battery cost per vehicle</t>
  </si>
  <si>
    <t>battery size</t>
  </si>
  <si>
    <t>battery unit cost (per kWh)</t>
  </si>
  <si>
    <t xml:space="preserve">Diesel </t>
  </si>
  <si>
    <t>Van</t>
  </si>
  <si>
    <t>Pickup</t>
  </si>
  <si>
    <t>Mean</t>
  </si>
  <si>
    <t>battery size and cost</t>
  </si>
  <si>
    <t>Imputed battery cost</t>
  </si>
  <si>
    <t>Saving over start year</t>
  </si>
  <si>
    <t>Vehicle costs and specs from NREL document in References</t>
  </si>
  <si>
    <t>https://afdc.energy.gov/files/u/publication/financial_analysis_be_transit_buses.pdf</t>
  </si>
  <si>
    <t xml:space="preserve">Cost of battery (current): The cost of batteries was based on the 2015 U.S. Department of Energy estimate of $268/kWh (Howell et al. 2016). </t>
  </si>
  <si>
    <t>2020 cost in 2018 $s</t>
  </si>
  <si>
    <t>2020 cost in 2012 $s</t>
  </si>
  <si>
    <t>Battery cost</t>
  </si>
  <si>
    <t>Plus 36% profit margin</t>
  </si>
  <si>
    <t>Diesel bus</t>
  </si>
  <si>
    <t>BEV price estimate</t>
  </si>
  <si>
    <t>Battery share</t>
  </si>
  <si>
    <t>annual change vs 2020</t>
  </si>
  <si>
    <t>Note: Average truck price is an approximation from Statista</t>
  </si>
  <si>
    <t>LDV frt</t>
  </si>
  <si>
    <t>HDV psgr</t>
  </si>
  <si>
    <t>HDV bus</t>
  </si>
  <si>
    <t>HVIP level</t>
  </si>
  <si>
    <t>HDV psg</t>
  </si>
  <si>
    <t>See BNVP.xlxs for the derivation of the below figures (purchase prices)</t>
  </si>
  <si>
    <t>Noting adjustment to HDV freight based on the relative price of sleeper vs day cab.</t>
  </si>
  <si>
    <t>2020 $s</t>
  </si>
  <si>
    <t>2012 $s</t>
  </si>
  <si>
    <t>Currency Year</t>
  </si>
  <si>
    <t>The figures from the Center for Automotive Research come from a 2010 Automotive Yearbook</t>
  </si>
  <si>
    <t>and therefore are likely in 2010 dollars.</t>
  </si>
  <si>
    <t>The figures from TruckerToTrucker were collected in early 2015 and therefore use 2015</t>
  </si>
  <si>
    <t>dollars, but because we don't have a 2015 annual CPI-U figure available yet, we use 2014.</t>
  </si>
  <si>
    <t>2013 to 2012, for American Public Transit Association</t>
  </si>
  <si>
    <t>2014 to 2012, for TruckerToTrucker</t>
  </si>
  <si>
    <t>2016 to 2012, for AEO 2017</t>
  </si>
  <si>
    <t>2017 to 2012, for AEO 2018</t>
  </si>
  <si>
    <t>2018 to 2012, for AEO 2019</t>
  </si>
  <si>
    <t>2019 to 2012, for AEO 2020</t>
  </si>
  <si>
    <t>2021 to 2012</t>
  </si>
  <si>
    <t>2018 to 2021</t>
  </si>
  <si>
    <t>See "cpi.xlsx" in the InputData folder for source information.</t>
  </si>
  <si>
    <t>Currency Year Adjustment</t>
  </si>
  <si>
    <t>Historical Consumer Price Index for All Urban Consumers (CPI-U): U.S. city average, all items, index</t>
  </si>
  <si>
    <t>averages — Continued</t>
  </si>
  <si>
    <t>[1982-84=100, unless otherwise noted]</t>
  </si>
  <si>
    <t>Year</t>
  </si>
  <si>
    <t>Semiannual averages</t>
  </si>
  <si>
    <t>1st half</t>
  </si>
  <si>
    <t>2nd half</t>
  </si>
  <si>
    <t>1982.............................................................................     .</t>
  </si>
  <si>
    <t>–</t>
  </si>
  <si>
    <t>1983.............................................................................     .</t>
  </si>
  <si>
    <t>1984.............................................................................     .</t>
  </si>
  <si>
    <t>1985.............................................................................     .</t>
  </si>
  <si>
    <t>1986.............................................................................     .</t>
  </si>
  <si>
    <t>1987.............................................................................     .</t>
  </si>
  <si>
    <t>1988.............................................................................     .</t>
  </si>
  <si>
    <t>1989.............................................................................     .</t>
  </si>
  <si>
    <t>1990.............................................................................     .</t>
  </si>
  <si>
    <t>1991.............................................................................     .</t>
  </si>
  <si>
    <t>1992.............................................................................     .</t>
  </si>
  <si>
    <t>1993.............................................................................     .</t>
  </si>
  <si>
    <t>1994.............................................................................     .</t>
  </si>
  <si>
    <t>1995.............................................................................     .</t>
  </si>
  <si>
    <t>1996.............................................................................     .</t>
  </si>
  <si>
    <t>1997.............................................................................      .</t>
  </si>
  <si>
    <t>1998.............................................................................     .</t>
  </si>
  <si>
    <t>1999.............................................................................     .</t>
  </si>
  <si>
    <t>2000.............................................................................     .</t>
  </si>
  <si>
    <t>2001.............................................................................     .</t>
  </si>
  <si>
    <t>2002.............................................................................     .</t>
  </si>
  <si>
    <t>2003.............................................................................     .</t>
  </si>
  <si>
    <t>2004.............................................................................     .</t>
  </si>
  <si>
    <t>2005.............................................................................     .</t>
  </si>
  <si>
    <t>2006.............................................................................     .</t>
  </si>
  <si>
    <t>2007.............................................................................     .</t>
  </si>
  <si>
    <t>2008.............................................................................     .</t>
  </si>
  <si>
    <t>2009.............................................................................     .</t>
  </si>
  <si>
    <t>2010.............................................................................     .</t>
  </si>
  <si>
    <t>2011.............................................................................     .</t>
  </si>
  <si>
    <t>2012.............................................................................     .</t>
  </si>
  <si>
    <t>2013.............................................................................     .</t>
  </si>
  <si>
    <t>2014.............................................................................     .</t>
  </si>
  <si>
    <t>2015.............................................................................     .</t>
  </si>
  <si>
    <t>2016.............................................................................     .</t>
  </si>
  <si>
    <t>2017.............................................................................     .</t>
  </si>
  <si>
    <t>2018.............................................................................     .</t>
  </si>
  <si>
    <t>2019.............................................................................     .</t>
  </si>
  <si>
    <t>step down</t>
  </si>
  <si>
    <t>HDVs and LDV freight</t>
  </si>
  <si>
    <t>https://californiahvip.org/vehiclecatalog/</t>
  </si>
  <si>
    <t>California Heavy Vehicle Incentive Program</t>
  </si>
  <si>
    <t>Accessed 22 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</si>
</sst>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  <numFmt numFmtId="168" formatCode="_(&quot;$&quot;* #,##0.0_);_(&quot;$&quot;* \(#,##0.0\);_(&quot;$&quot;* &quot;-&quot;??_);_(@_)"/>
    <numFmt numFmtId="172" formatCode="0.00000"/>
  </numFmts>
  <fonts count="1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Montserrat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1"/>
    <xf numFmtId="0" fontId="2" fillId="0" borderId="1"/>
    <xf numFmtId="44" fontId="2" fillId="0" borderId="1" applyFont="0" applyFill="0" applyBorder="0" applyAlignment="0" applyProtection="0"/>
    <xf numFmtId="9" fontId="2" fillId="0" borderId="1" applyFont="0" applyFill="0" applyBorder="0" applyAlignment="0" applyProtection="0"/>
    <xf numFmtId="0" fontId="15" fillId="0" borderId="1" applyNumberFormat="0" applyFill="0" applyBorder="0" applyAlignment="0" applyProtection="0"/>
    <xf numFmtId="9" fontId="17" fillId="0" borderId="0" applyFont="0" applyFill="0" applyBorder="0" applyAlignment="0" applyProtection="0"/>
    <xf numFmtId="0" fontId="1" fillId="0" borderId="1"/>
    <xf numFmtId="44" fontId="1" fillId="0" borderId="1" applyFont="0" applyFill="0" applyBorder="0" applyAlignment="0" applyProtection="0"/>
    <xf numFmtId="44" fontId="4" fillId="0" borderId="1" applyFont="0" applyFill="0" applyBorder="0" applyAlignment="0" applyProtection="0"/>
    <xf numFmtId="9" fontId="1" fillId="0" borderId="1" applyFont="0" applyFill="0" applyBorder="0" applyAlignment="0" applyProtection="0"/>
    <xf numFmtId="0" fontId="17" fillId="0" borderId="1"/>
  </cellStyleXfs>
  <cellXfs count="99">
    <xf numFmtId="0" fontId="0" fillId="0" borderId="0" xfId="0" applyBorder="1"/>
    <xf numFmtId="0" fontId="3" fillId="0" borderId="0" xfId="0" applyFont="1" applyBorder="1"/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/>
    </xf>
    <xf numFmtId="0" fontId="8" fillId="0" borderId="0" xfId="0" applyFont="1" applyBorder="1"/>
    <xf numFmtId="0" fontId="3" fillId="2" borderId="1" xfId="0" applyFont="1" applyFill="1" applyAlignment="1">
      <alignment horizontal="left"/>
    </xf>
    <xf numFmtId="0" fontId="9" fillId="0" borderId="0" xfId="0" applyFont="1" applyBorder="1"/>
    <xf numFmtId="0" fontId="10" fillId="0" borderId="0" xfId="0" applyFont="1" applyBorder="1"/>
    <xf numFmtId="0" fontId="11" fillId="0" borderId="0" xfId="0" applyFont="1" applyBorder="1"/>
    <xf numFmtId="0" fontId="7" fillId="0" borderId="0" xfId="0" applyFont="1" applyBorder="1"/>
    <xf numFmtId="38" fontId="7" fillId="0" borderId="0" xfId="0" applyNumberFormat="1" applyFont="1" applyBorder="1"/>
    <xf numFmtId="2" fontId="7" fillId="0" borderId="0" xfId="0" applyNumberFormat="1" applyFont="1" applyBorder="1"/>
    <xf numFmtId="9" fontId="7" fillId="0" borderId="0" xfId="0" applyNumberFormat="1" applyFont="1" applyBorder="1"/>
    <xf numFmtId="38" fontId="7" fillId="0" borderId="0" xfId="0" applyNumberFormat="1" applyFont="1" applyBorder="1" applyAlignment="1">
      <alignment horizontal="right"/>
    </xf>
    <xf numFmtId="1" fontId="7" fillId="0" borderId="0" xfId="0" applyNumberFormat="1" applyFont="1" applyBorder="1"/>
    <xf numFmtId="11" fontId="7" fillId="0" borderId="0" xfId="0" applyNumberFormat="1" applyFont="1" applyBorder="1"/>
    <xf numFmtId="0" fontId="3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7" fillId="0" borderId="0" xfId="0" applyNumberFormat="1" applyFont="1" applyBorder="1"/>
    <xf numFmtId="6" fontId="3" fillId="0" borderId="0" xfId="0" applyNumberFormat="1" applyFont="1" applyBorder="1"/>
    <xf numFmtId="6" fontId="7" fillId="0" borderId="0" xfId="0" applyNumberFormat="1" applyFont="1" applyBorder="1" applyAlignment="1">
      <alignment horizontal="right"/>
    </xf>
    <xf numFmtId="6" fontId="12" fillId="0" borderId="0" xfId="0" applyNumberFormat="1" applyFont="1" applyBorder="1"/>
    <xf numFmtId="164" fontId="7" fillId="0" borderId="0" xfId="0" applyNumberFormat="1" applyFont="1" applyBorder="1"/>
    <xf numFmtId="165" fontId="7" fillId="0" borderId="0" xfId="0" applyNumberFormat="1" applyFont="1" applyBorder="1"/>
    <xf numFmtId="166" fontId="7" fillId="0" borderId="0" xfId="0" applyNumberFormat="1" applyFont="1" applyBorder="1"/>
    <xf numFmtId="167" fontId="7" fillId="2" borderId="1" xfId="0" applyNumberFormat="1" applyFont="1" applyFill="1"/>
    <xf numFmtId="167" fontId="7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5" fillId="0" borderId="0" xfId="0" applyNumberFormat="1" applyFont="1" applyBorder="1"/>
    <xf numFmtId="0" fontId="0" fillId="0" borderId="1" xfId="0"/>
    <xf numFmtId="0" fontId="2" fillId="0" borderId="1" xfId="1"/>
    <xf numFmtId="166" fontId="0" fillId="0" borderId="1" xfId="2" applyNumberFormat="1" applyFont="1"/>
    <xf numFmtId="9" fontId="2" fillId="0" borderId="1" xfId="1" applyNumberFormat="1"/>
    <xf numFmtId="9" fontId="0" fillId="0" borderId="1" xfId="3" applyFont="1"/>
    <xf numFmtId="3" fontId="2" fillId="0" borderId="1" xfId="1" applyNumberFormat="1"/>
    <xf numFmtId="0" fontId="13" fillId="3" borderId="1" xfId="1" applyFont="1" applyFill="1"/>
    <xf numFmtId="0" fontId="2" fillId="3" borderId="1" xfId="1" applyFill="1"/>
    <xf numFmtId="0" fontId="13" fillId="4" borderId="1" xfId="1" applyFont="1" applyFill="1"/>
    <xf numFmtId="0" fontId="14" fillId="0" borderId="1" xfId="1" applyFont="1"/>
    <xf numFmtId="44" fontId="2" fillId="0" borderId="1" xfId="1" applyNumberFormat="1"/>
    <xf numFmtId="0" fontId="14" fillId="0" borderId="16" xfId="1" applyFont="1" applyBorder="1"/>
    <xf numFmtId="0" fontId="13" fillId="0" borderId="1" xfId="1" applyFont="1"/>
    <xf numFmtId="166" fontId="2" fillId="0" borderId="1" xfId="1" applyNumberFormat="1"/>
    <xf numFmtId="0" fontId="15" fillId="0" borderId="1" xfId="4"/>
    <xf numFmtId="164" fontId="0" fillId="0" borderId="1" xfId="3" applyNumberFormat="1" applyFont="1"/>
    <xf numFmtId="44" fontId="0" fillId="0" borderId="1" xfId="2" applyFont="1"/>
    <xf numFmtId="168" fontId="0" fillId="0" borderId="1" xfId="2" applyNumberFormat="1" applyFont="1"/>
    <xf numFmtId="0" fontId="16" fillId="0" borderId="1" xfId="1" applyFont="1" applyAlignment="1">
      <alignment vertical="top"/>
    </xf>
    <xf numFmtId="1" fontId="0" fillId="0" borderId="1" xfId="2" applyNumberFormat="1" applyFont="1"/>
    <xf numFmtId="0" fontId="3" fillId="0" borderId="1" xfId="0" applyFont="1" applyBorder="1"/>
    <xf numFmtId="0" fontId="10" fillId="0" borderId="1" xfId="0" applyFont="1" applyBorder="1"/>
    <xf numFmtId="0" fontId="7" fillId="0" borderId="1" xfId="0" applyFont="1" applyBorder="1"/>
    <xf numFmtId="0" fontId="0" fillId="0" borderId="1" xfId="0" applyBorder="1"/>
    <xf numFmtId="0" fontId="13" fillId="0" borderId="1" xfId="0" applyFont="1"/>
    <xf numFmtId="167" fontId="0" fillId="0" borderId="1" xfId="0" applyNumberFormat="1"/>
    <xf numFmtId="6" fontId="7" fillId="0" borderId="1" xfId="0" applyNumberFormat="1" applyFont="1" applyBorder="1"/>
    <xf numFmtId="0" fontId="7" fillId="0" borderId="1" xfId="0" applyFont="1"/>
    <xf numFmtId="0" fontId="0" fillId="0" borderId="1" xfId="0"/>
    <xf numFmtId="0" fontId="1" fillId="0" borderId="1" xfId="6"/>
    <xf numFmtId="166" fontId="1" fillId="0" borderId="1" xfId="6" applyNumberFormat="1"/>
    <xf numFmtId="166" fontId="0" fillId="0" borderId="1" xfId="7" applyNumberFormat="1" applyFont="1"/>
    <xf numFmtId="44" fontId="1" fillId="0" borderId="1" xfId="6" applyNumberFormat="1"/>
    <xf numFmtId="44" fontId="1" fillId="0" borderId="1" xfId="8" applyFont="1" applyBorder="1"/>
    <xf numFmtId="9" fontId="1" fillId="0" borderId="1" xfId="6" applyNumberFormat="1"/>
    <xf numFmtId="9" fontId="0" fillId="0" borderId="1" xfId="9" applyFont="1"/>
    <xf numFmtId="3" fontId="1" fillId="0" borderId="1" xfId="6" applyNumberFormat="1"/>
    <xf numFmtId="0" fontId="13" fillId="3" borderId="1" xfId="6" applyFont="1" applyFill="1"/>
    <xf numFmtId="0" fontId="1" fillId="3" borderId="1" xfId="6" applyFill="1"/>
    <xf numFmtId="3" fontId="1" fillId="3" borderId="1" xfId="6" applyNumberFormat="1" applyFill="1"/>
    <xf numFmtId="6" fontId="1" fillId="0" borderId="1" xfId="6" applyNumberFormat="1"/>
    <xf numFmtId="0" fontId="17" fillId="0" borderId="1" xfId="10"/>
    <xf numFmtId="0" fontId="4" fillId="0" borderId="1" xfId="10" applyFont="1"/>
    <xf numFmtId="44" fontId="17" fillId="0" borderId="1" xfId="10" applyNumberFormat="1"/>
    <xf numFmtId="9" fontId="17" fillId="0" borderId="1" xfId="5" applyBorder="1"/>
    <xf numFmtId="0" fontId="7" fillId="0" borderId="1" xfId="0" applyFont="1" applyBorder="1" applyAlignment="1">
      <alignment horizontal="left"/>
    </xf>
    <xf numFmtId="2" fontId="10" fillId="0" borderId="0" xfId="0" applyNumberFormat="1" applyFont="1" applyBorder="1"/>
    <xf numFmtId="172" fontId="7" fillId="0" borderId="0" xfId="0" applyNumberFormat="1" applyFont="1" applyBorder="1"/>
  </cellXfs>
  <cellStyles count="11">
    <cellStyle name="Currency 2" xfId="2" xr:uid="{BC9F6E81-0B7B-4233-A100-6BCECE740A23}"/>
    <cellStyle name="Currency 2 2" xfId="7" xr:uid="{66BBAE26-3BD3-4666-AEF3-F05FC415D444}"/>
    <cellStyle name="Currency 3" xfId="8" xr:uid="{30EBF80F-873F-44B2-BC8D-EC84177FB76A}"/>
    <cellStyle name="Hyperlink 2" xfId="4" xr:uid="{D417D19A-F306-4C77-BCDC-6CA199416630}"/>
    <cellStyle name="Normal" xfId="0" builtinId="0"/>
    <cellStyle name="Normal 2" xfId="1" xr:uid="{2D49FDCE-53BC-42C5-967A-591F119C6C8B}"/>
    <cellStyle name="Normal 2 2" xfId="6" xr:uid="{654C7A43-3831-45FD-B7E9-DC3A6DC46DAA}"/>
    <cellStyle name="Normal 3" xfId="10" xr:uid="{9A682193-5524-43B6-BF37-0D94508B2D5A}"/>
    <cellStyle name="Percent" xfId="5" builtinId="5"/>
    <cellStyle name="Percent 2" xfId="3" xr:uid="{604C5CCF-F82C-45BC-B357-C4396401AD1F}"/>
    <cellStyle name="Percent 2 2" xfId="9" xr:uid="{1379D262-3E3C-487A-B3A1-4B5742E6537D}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62</xdr:row>
      <xdr:rowOff>0</xdr:rowOff>
    </xdr:from>
    <xdr:to>
      <xdr:col>2</xdr:col>
      <xdr:colOff>172170</xdr:colOff>
      <xdr:row>69</xdr:row>
      <xdr:rowOff>60511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77F9C4-CE65-455B-A8CE-CFB430BFE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391350"/>
          <a:ext cx="5480770" cy="14384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69851</xdr:colOff>
      <xdr:row>44</xdr:row>
      <xdr:rowOff>6350</xdr:rowOff>
    </xdr:from>
    <xdr:to>
      <xdr:col>10</xdr:col>
      <xdr:colOff>589388</xdr:colOff>
      <xdr:row>65</xdr:row>
      <xdr:rowOff>102424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80D5A5-E627-424D-94F5-DB7939B32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94551" y="8108950"/>
          <a:ext cx="3662787" cy="39632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171450</xdr:rowOff>
    </xdr:from>
    <xdr:to>
      <xdr:col>2</xdr:col>
      <xdr:colOff>913385</xdr:colOff>
      <xdr:row>105</xdr:row>
      <xdr:rowOff>146050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59A63C-68A5-492C-8EEE-43A552F2F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5640050"/>
          <a:ext cx="4647185" cy="3841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3</xdr:col>
      <xdr:colOff>262770</xdr:colOff>
      <xdr:row>144</xdr:row>
      <xdr:rowOff>577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57D402D-17C4-4509-9448-208722B80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3939500"/>
          <a:ext cx="5323720" cy="2578677"/>
        </a:xfrm>
        <a:prstGeom prst="rect">
          <a:avLst/>
        </a:prstGeom>
      </xdr:spPr>
    </xdr:pic>
    <xdr:clientData/>
  </xdr:twoCellAnchor>
  <xdr:twoCellAnchor editAs="oneCell">
    <xdr:from>
      <xdr:col>2</xdr:col>
      <xdr:colOff>1208216</xdr:colOff>
      <xdr:row>87</xdr:row>
      <xdr:rowOff>19050</xdr:rowOff>
    </xdr:from>
    <xdr:to>
      <xdr:col>11</xdr:col>
      <xdr:colOff>432989</xdr:colOff>
      <xdr:row>102</xdr:row>
      <xdr:rowOff>156116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A071EE6-FD60-436A-A3F3-36D81286B5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42016" y="16040100"/>
          <a:ext cx="6368523" cy="289931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70</xdr:row>
      <xdr:rowOff>76200</xdr:rowOff>
    </xdr:from>
    <xdr:to>
      <xdr:col>4</xdr:col>
      <xdr:colOff>179933</xdr:colOff>
      <xdr:row>84</xdr:row>
      <xdr:rowOff>89644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8C1CBF-B3E0-4C7B-96DB-7A355C030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966700"/>
          <a:ext cx="5215483" cy="259154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12</xdr:row>
      <xdr:rowOff>58200</xdr:rowOff>
    </xdr:from>
    <xdr:to>
      <xdr:col>1</xdr:col>
      <xdr:colOff>1327150</xdr:colOff>
      <xdr:row>13</xdr:row>
      <xdr:rowOff>119653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31D6E0-05A5-4B4E-ADE1-2B3D94AD7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2268000"/>
          <a:ext cx="2476500" cy="245603"/>
        </a:xfrm>
        <a:prstGeom prst="rect">
          <a:avLst/>
        </a:prstGeom>
      </xdr:spPr>
    </xdr:pic>
    <xdr:clientData/>
  </xdr:twoCellAnchor>
  <xdr:twoCellAnchor editAs="oneCell">
    <xdr:from>
      <xdr:col>4</xdr:col>
      <xdr:colOff>527050</xdr:colOff>
      <xdr:row>16</xdr:row>
      <xdr:rowOff>95250</xdr:rowOff>
    </xdr:from>
    <xdr:to>
      <xdr:col>9</xdr:col>
      <xdr:colOff>573558</xdr:colOff>
      <xdr:row>27</xdr:row>
      <xdr:rowOff>114664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60C3F8-302F-4ABB-8028-836881296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94250" y="3041650"/>
          <a:ext cx="4269258" cy="204506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risB/Dropbox%20(Energy%20Innovation)/Desktop/Current%20CA%20EPS%20update/Transportation/earlier%20Revised%20BAU%20EV%20Subsidy%20Per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evised%20BBSoEVP%20BAU%20Battery%20Share%20of%20Electric%20Vehicle%20Price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microsoft.com/office/2019/04/relationships/externalLinkLongPath" Target="/Users/niclutsey/Library/Application%20Support/Microsoft/Office/Office%202011%20AutoRecovery/PD%20US%20PV%202025/OMEGA%20PD%20TSD/omega-pd2016-omegasuite/02_FleetGen_Targets/2015-2025%20Production%20Summary%20and%20Data%20with%20Definitions.xlsx?C842E235" TargetMode="External"/><Relationship Id="rId1" Type="http://schemas.openxmlformats.org/officeDocument/2006/relationships/externalLinkPath" Target="file:///\\C842E235\2015-2025%20Production%20Summary%20and%20Data%20with%20Definition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TransEcoInfo/STAT/OICA/EXP-PRO-SURVEY/PROQUARTERS2005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ahajan/Documents/eps-us/InputData/trans/BNVP/BAU%20New%20Vehicle%20Pric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clutsey/Library/Application%20Support/Microsoft/Office/Office%202011%20AutoRecovery/PD%20US%20PV%202025/OMEGA%20PD%20TSD/omega-pd2016-omegasuite/02_FleetGen_Targets/MY2015_FleetsABC_aeoR_20161117.xlsb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lehall/Library/Containers/com.apple.mail/Data/Library/Mail%20Downloads/E08A986B-19D3-4794-A4F4-0DCF2A09C02C/IZEVA%20GHG%20paper/Roadmap_Model_112414_NL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clutsey/Desktop/EU%20EV%20incentive%20paper/BlueMarble%20Heising%202017/ICCT%20Heising%202016%202017/EV%20CO2%20integration/EPA%20eGRID%202014/egrid_data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clutsey/Desktop/EU%20EV%20incentive%20paper/BlueMarble%20Heising%202017/ICCT%20Heising%202016%202017/EV%20CO2%20integration/US%20EV%20GHG%20v0.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LDV psg EVs"/>
      <sheetName val="LDV psg gasoline"/>
      <sheetName val="LDV sales"/>
      <sheetName val="LDV psg battery"/>
      <sheetName val="LDV psg EV specs"/>
      <sheetName val="Car"/>
      <sheetName val="Pickup"/>
      <sheetName val="Crossover"/>
      <sheetName val="SUV"/>
      <sheetName val="CARB HVIP"/>
      <sheetName val="HDV frt"/>
      <sheetName val="LDV frt"/>
      <sheetName val="HDV psg"/>
      <sheetName val="Hydrogen"/>
      <sheetName val="CARB"/>
      <sheetName val="AEO 39"/>
      <sheetName val="AEO 42"/>
      <sheetName val="AEO 53"/>
      <sheetName val="Passenger Aircraft"/>
      <sheetName val="Ships"/>
      <sheetName val="Motorbikes"/>
      <sheetName val="BNVP-LDVs-psgr"/>
      <sheetName val="BNVP-LDVs-frgt"/>
      <sheetName val="BNVP-HDVs-frgt"/>
      <sheetName val="BNVP-HDVs-psgr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63">
          <cell r="A163">
            <v>0.98699999999999999</v>
          </cell>
        </row>
        <row r="167">
          <cell r="A167">
            <v>0.91400000000000003</v>
          </cell>
        </row>
        <row r="169">
          <cell r="A169">
            <v>0.85004982101339621</v>
          </cell>
          <cell r="B169" t="str">
            <v>2021 to 2012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2">
          <cell r="B2">
            <v>1.2857142857142858</v>
          </cell>
          <cell r="C2">
            <v>1.2413528661584494</v>
          </cell>
          <cell r="D2">
            <v>1.2154030992395268</v>
          </cell>
          <cell r="E2">
            <v>1.1969914466026128</v>
          </cell>
          <cell r="F2">
            <v>1.1827102593185035</v>
          </cell>
          <cell r="G2">
            <v>1.1710416796836902</v>
          </cell>
          <cell r="H2">
            <v>1.1611760361747459</v>
          </cell>
          <cell r="I2">
            <v>1.1526300270467762</v>
          </cell>
          <cell r="J2">
            <v>1.1450919127647678</v>
          </cell>
          <cell r="K2">
            <v>1.1383488397626669</v>
          </cell>
          <cell r="L2">
            <v>1.13224898825519</v>
          </cell>
          <cell r="M2">
            <v>1.1272334818258565</v>
          </cell>
          <cell r="N2">
            <v>1.1211336303183796</v>
          </cell>
          <cell r="O2">
            <v>1.1150337788109028</v>
          </cell>
          <cell r="P2">
            <v>1.108933927303426</v>
          </cell>
          <cell r="Q2">
            <v>1.1028340757959492</v>
          </cell>
          <cell r="R2">
            <v>1.0967342242884723</v>
          </cell>
          <cell r="S2">
            <v>1.0906343727809955</v>
          </cell>
          <cell r="T2">
            <v>1.0845345212735187</v>
          </cell>
          <cell r="U2">
            <v>1.0784346697660419</v>
          </cell>
          <cell r="V2">
            <v>1.072334818258565</v>
          </cell>
          <cell r="W2">
            <v>1.0662349667510882</v>
          </cell>
          <cell r="X2">
            <v>1.0601351152436114</v>
          </cell>
          <cell r="Y2">
            <v>1.0540352637361345</v>
          </cell>
          <cell r="Z2">
            <v>1.0479354122286577</v>
          </cell>
          <cell r="AA2">
            <v>1.0418355607211809</v>
          </cell>
          <cell r="AB2">
            <v>1.0357357092137041</v>
          </cell>
          <cell r="AC2">
            <v>1.0296358577062272</v>
          </cell>
          <cell r="AD2">
            <v>1.0235360061987504</v>
          </cell>
          <cell r="AE2">
            <v>1.0174361546912736</v>
          </cell>
          <cell r="AF2">
            <v>1.0113363031837967</v>
          </cell>
        </row>
      </sheetData>
      <sheetData sheetId="15">
        <row r="21">
          <cell r="C21">
            <v>10101</v>
          </cell>
          <cell r="D21">
            <v>12442</v>
          </cell>
        </row>
        <row r="23">
          <cell r="B23">
            <v>655.12846958956652</v>
          </cell>
          <cell r="C23">
            <v>1199.9710738828512</v>
          </cell>
          <cell r="D23">
            <v>1654.4517978280842</v>
          </cell>
        </row>
        <row r="30">
          <cell r="C30" t="str">
            <v>Vehicle Group</v>
          </cell>
          <cell r="D30" t="str">
            <v>Vehicle Price</v>
          </cell>
        </row>
        <row r="31">
          <cell r="E31">
            <v>0.9</v>
          </cell>
        </row>
        <row r="33">
          <cell r="C33" t="str">
            <v>Class 4-5</v>
          </cell>
          <cell r="D33">
            <v>55000</v>
          </cell>
        </row>
        <row r="34">
          <cell r="C34" t="str">
            <v>Class 6-7</v>
          </cell>
          <cell r="D34">
            <v>85000</v>
          </cell>
        </row>
        <row r="35">
          <cell r="C35" t="str">
            <v>Class 8</v>
          </cell>
          <cell r="D35">
            <v>120000</v>
          </cell>
        </row>
        <row r="52">
          <cell r="B52" t="str">
            <v>Class 2b-3</v>
          </cell>
        </row>
        <row r="53">
          <cell r="B53">
            <v>0.7762312805638798</v>
          </cell>
          <cell r="C53">
            <v>9.5230931548944325E-2</v>
          </cell>
          <cell r="D53">
            <v>0.11179710598420206</v>
          </cell>
          <cell r="E53">
            <v>1.6740681902973849E-2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Data"/>
      <sheetName val="Psgr LDV Calculations"/>
      <sheetName val="LDV psg EVs"/>
      <sheetName val="HDVs+LDV frt"/>
      <sheetName val="BBSoEVP-passenger"/>
      <sheetName val="BBSoEVP-freigh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B2">
            <v>0.24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fety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VP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Table 44"/>
      <sheetName val="Table 49"/>
      <sheetName val="AEO 39"/>
      <sheetName val="Table_38"/>
      <sheetName val="AEO 42"/>
      <sheetName val="AEO 52"/>
      <sheetName val="NREL_ATB_2020"/>
      <sheetName val="NREL Calcs"/>
      <sheetName val="LDV Cost Calcs"/>
      <sheetName val="PHEV Price Calcs"/>
      <sheetName val="Start Year psgr LDV EV Price"/>
      <sheetName val="CARB ACT ISOR"/>
      <sheetName val="LDV Shares"/>
      <sheetName val="Freight HDVs"/>
      <sheetName val="Hydrogen Vehicle Calc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kWhpMi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_byFleet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Chris Busch" refreshedDate="44677.563515046299" refreshedVersion="7" recordCount="45" xr:uid="{00000000-000A-0000-FFFF-FFFF03000000}">
  <cacheSource type="worksheet">
    <worksheetSource ref="A2:P47" sheet="LDV psg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6" applyNumberFormats="0" applyBorderFormats="0" applyFontFormats="0" applyPatternFormats="0" applyAlignmentFormats="0" applyWidthHeightFormats="0" dataCaption="" updatedVersion="7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6" applyNumberFormats="0" applyBorderFormats="0" applyFontFormats="0" applyPatternFormats="0" applyAlignmentFormats="0" applyWidthHeightFormats="0" dataCaption="" updatedVersion="7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theicct.org/wp-content/uploads/2022/02/purchase-cost-ze-trucks-feb22-1.pdf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theicct.org/wp-content/uploads/2022/02/purchase-cost-ze-trucks-feb22-1.pdf" TargetMode="External"/><Relationship Id="rId1" Type="http://schemas.openxmlformats.org/officeDocument/2006/relationships/hyperlink" Target="https://theicct.org/wp-content/uploads/2022/02/purchase-cost-ze-trucks-feb22-1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heicct.org/wp-content/uploads/2022/01/Final-Report-eTruck-Virtual-Teardown-Public-Version.pdf" TargetMode="External"/><Relationship Id="rId4" Type="http://schemas.openxmlformats.org/officeDocument/2006/relationships/hyperlink" Target="https://theicct.org/wp-content/uploads/2022/02/purchase-cost-ze-trucks-feb22-1.pdf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7"/>
  <sheetViews>
    <sheetView topLeftCell="A18" workbookViewId="0">
      <selection activeCell="A41" sqref="A41"/>
    </sheetView>
  </sheetViews>
  <sheetFormatPr defaultColWidth="12.6640625" defaultRowHeight="15" customHeight="1" x14ac:dyDescent="0.3"/>
  <cols>
    <col min="1" max="1" width="7.6640625" style="18" customWidth="1"/>
    <col min="2" max="2" width="62" style="18" customWidth="1"/>
    <col min="3" max="26" width="7.6640625" style="18" customWidth="1"/>
  </cols>
  <sheetData>
    <row r="1" spans="1:7" ht="14.5" x14ac:dyDescent="0.35">
      <c r="A1" s="1" t="s">
        <v>0</v>
      </c>
      <c r="B1" s="2" t="s">
        <v>15</v>
      </c>
      <c r="C1" s="50">
        <v>44420</v>
      </c>
      <c r="F1" s="3" t="s">
        <v>2</v>
      </c>
      <c r="G1" s="3" t="s">
        <v>2</v>
      </c>
    </row>
    <row r="2" spans="1:7" ht="14.5" x14ac:dyDescent="0.35">
      <c r="B2" s="4" t="str">
        <f>LOOKUP(B1,F2:G51,G2:G51)</f>
        <v>CA</v>
      </c>
      <c r="F2" s="5" t="s">
        <v>3</v>
      </c>
      <c r="G2" s="5" t="s">
        <v>4</v>
      </c>
    </row>
    <row r="3" spans="1:7" ht="14.5" x14ac:dyDescent="0.35">
      <c r="A3" s="1" t="s">
        <v>5</v>
      </c>
      <c r="B3" s="6" t="s">
        <v>6</v>
      </c>
      <c r="F3" s="5" t="s">
        <v>7</v>
      </c>
      <c r="G3" s="5" t="s">
        <v>8</v>
      </c>
    </row>
    <row r="4" spans="1:7" ht="14.5" x14ac:dyDescent="0.35">
      <c r="B4" s="4" t="s">
        <v>9</v>
      </c>
      <c r="F4" s="5" t="s">
        <v>10</v>
      </c>
      <c r="G4" s="5" t="s">
        <v>11</v>
      </c>
    </row>
    <row r="5" spans="1:7" ht="14.5" x14ac:dyDescent="0.35">
      <c r="B5" s="4">
        <v>2019</v>
      </c>
      <c r="F5" s="5" t="s">
        <v>12</v>
      </c>
      <c r="G5" s="5" t="s">
        <v>13</v>
      </c>
    </row>
    <row r="6" spans="1:7" ht="14.5" x14ac:dyDescent="0.35">
      <c r="B6" s="4" t="s">
        <v>14</v>
      </c>
      <c r="F6" s="5" t="s">
        <v>15</v>
      </c>
      <c r="G6" s="5" t="s">
        <v>16</v>
      </c>
    </row>
    <row r="7" spans="1:7" ht="14.5" x14ac:dyDescent="0.35">
      <c r="B7" s="7" t="s">
        <v>17</v>
      </c>
      <c r="F7" s="5" t="s">
        <v>18</v>
      </c>
      <c r="G7" s="5" t="s">
        <v>19</v>
      </c>
    </row>
    <row r="8" spans="1:7" ht="14.5" x14ac:dyDescent="0.35">
      <c r="B8" s="4"/>
      <c r="F8" s="5" t="s">
        <v>20</v>
      </c>
      <c r="G8" s="5" t="s">
        <v>21</v>
      </c>
    </row>
    <row r="9" spans="1:7" ht="14.5" x14ac:dyDescent="0.35">
      <c r="B9" s="6" t="s">
        <v>22</v>
      </c>
      <c r="F9" s="5" t="s">
        <v>23</v>
      </c>
      <c r="G9" s="5" t="s">
        <v>24</v>
      </c>
    </row>
    <row r="10" spans="1:7" ht="14.5" x14ac:dyDescent="0.35">
      <c r="B10" s="4" t="s">
        <v>25</v>
      </c>
      <c r="F10" s="5" t="s">
        <v>26</v>
      </c>
      <c r="G10" s="5" t="s">
        <v>27</v>
      </c>
    </row>
    <row r="11" spans="1:7" ht="14.5" x14ac:dyDescent="0.35">
      <c r="B11" s="4">
        <v>2019</v>
      </c>
      <c r="F11" s="5" t="s">
        <v>28</v>
      </c>
      <c r="G11" s="5" t="s">
        <v>29</v>
      </c>
    </row>
    <row r="12" spans="1:7" ht="14.5" x14ac:dyDescent="0.35">
      <c r="B12" s="4" t="s">
        <v>30</v>
      </c>
      <c r="F12" s="5" t="s">
        <v>31</v>
      </c>
      <c r="G12" s="5" t="s">
        <v>32</v>
      </c>
    </row>
    <row r="13" spans="1:7" ht="14.5" x14ac:dyDescent="0.35">
      <c r="B13" s="7" t="s">
        <v>33</v>
      </c>
      <c r="F13" s="5" t="s">
        <v>34</v>
      </c>
      <c r="G13" s="5" t="s">
        <v>35</v>
      </c>
    </row>
    <row r="14" spans="1:7" ht="14.5" x14ac:dyDescent="0.35">
      <c r="B14" s="4"/>
      <c r="F14" s="5" t="s">
        <v>36</v>
      </c>
      <c r="G14" s="5" t="s">
        <v>37</v>
      </c>
    </row>
    <row r="15" spans="1:7" ht="14.5" x14ac:dyDescent="0.35">
      <c r="B15" s="6" t="s">
        <v>38</v>
      </c>
      <c r="F15" s="5" t="s">
        <v>39</v>
      </c>
      <c r="G15" s="5" t="s">
        <v>40</v>
      </c>
    </row>
    <row r="16" spans="1:7" ht="14.5" x14ac:dyDescent="0.35">
      <c r="B16" s="4" t="s">
        <v>41</v>
      </c>
      <c r="F16" s="5" t="s">
        <v>42</v>
      </c>
      <c r="G16" s="5" t="s">
        <v>43</v>
      </c>
    </row>
    <row r="17" spans="2:7" ht="14.5" x14ac:dyDescent="0.35">
      <c r="B17" s="4">
        <v>2019</v>
      </c>
      <c r="F17" s="5" t="s">
        <v>44</v>
      </c>
      <c r="G17" s="5" t="s">
        <v>45</v>
      </c>
    </row>
    <row r="18" spans="2:7" ht="14.5" x14ac:dyDescent="0.35">
      <c r="B18" s="8" t="s">
        <v>46</v>
      </c>
      <c r="F18" s="5" t="s">
        <v>47</v>
      </c>
      <c r="G18" s="5" t="s">
        <v>48</v>
      </c>
    </row>
    <row r="19" spans="2:7" ht="14.5" x14ac:dyDescent="0.35">
      <c r="B19" s="7" t="s">
        <v>49</v>
      </c>
      <c r="F19" s="5" t="s">
        <v>50</v>
      </c>
      <c r="G19" s="5" t="s">
        <v>51</v>
      </c>
    </row>
    <row r="20" spans="2:7" ht="14.5" x14ac:dyDescent="0.35">
      <c r="B20" s="9"/>
      <c r="F20" s="5" t="s">
        <v>52</v>
      </c>
      <c r="G20" s="5" t="s">
        <v>53</v>
      </c>
    </row>
    <row r="21" spans="2:7" ht="15.75" customHeight="1" x14ac:dyDescent="0.35">
      <c r="B21" s="6" t="s">
        <v>54</v>
      </c>
      <c r="F21" s="5" t="s">
        <v>55</v>
      </c>
      <c r="G21" s="5" t="s">
        <v>56</v>
      </c>
    </row>
    <row r="22" spans="2:7" ht="15.75" customHeight="1" x14ac:dyDescent="0.35">
      <c r="B22" s="4" t="s">
        <v>57</v>
      </c>
      <c r="F22" s="5" t="s">
        <v>58</v>
      </c>
      <c r="G22" s="5" t="s">
        <v>59</v>
      </c>
    </row>
    <row r="23" spans="2:7" ht="15.75" customHeight="1" x14ac:dyDescent="0.35">
      <c r="B23" s="4">
        <v>2017</v>
      </c>
      <c r="F23" s="5" t="s">
        <v>60</v>
      </c>
      <c r="G23" s="5" t="s">
        <v>61</v>
      </c>
    </row>
    <row r="24" spans="2:7" ht="15.75" customHeight="1" x14ac:dyDescent="0.35">
      <c r="B24" s="4" t="s">
        <v>62</v>
      </c>
      <c r="F24" s="5" t="s">
        <v>1</v>
      </c>
      <c r="G24" s="5" t="s">
        <v>63</v>
      </c>
    </row>
    <row r="25" spans="2:7" ht="15.75" customHeight="1" x14ac:dyDescent="0.35">
      <c r="B25" s="4" t="s">
        <v>64</v>
      </c>
      <c r="F25" s="5" t="s">
        <v>65</v>
      </c>
      <c r="G25" s="5" t="s">
        <v>66</v>
      </c>
    </row>
    <row r="26" spans="2:7" ht="15.75" customHeight="1" x14ac:dyDescent="0.35">
      <c r="B26" s="4"/>
      <c r="F26" s="5" t="s">
        <v>67</v>
      </c>
      <c r="G26" s="5" t="s">
        <v>68</v>
      </c>
    </row>
    <row r="27" spans="2:7" ht="15.75" customHeight="1" x14ac:dyDescent="0.35">
      <c r="B27" s="6" t="s">
        <v>69</v>
      </c>
      <c r="F27" s="5" t="s">
        <v>70</v>
      </c>
      <c r="G27" s="5" t="s">
        <v>71</v>
      </c>
    </row>
    <row r="28" spans="2:7" ht="15.75" customHeight="1" x14ac:dyDescent="0.35">
      <c r="B28" s="4" t="s">
        <v>72</v>
      </c>
      <c r="F28" s="5" t="s">
        <v>73</v>
      </c>
      <c r="G28" s="5" t="s">
        <v>74</v>
      </c>
    </row>
    <row r="29" spans="2:7" ht="15.75" customHeight="1" x14ac:dyDescent="0.35">
      <c r="B29" s="4">
        <v>2017</v>
      </c>
      <c r="F29" s="5" t="s">
        <v>75</v>
      </c>
      <c r="G29" s="5" t="s">
        <v>76</v>
      </c>
    </row>
    <row r="30" spans="2:7" ht="15.75" customHeight="1" x14ac:dyDescent="0.35">
      <c r="B30" s="4" t="s">
        <v>77</v>
      </c>
      <c r="F30" s="5" t="s">
        <v>78</v>
      </c>
      <c r="G30" s="5" t="s">
        <v>79</v>
      </c>
    </row>
    <row r="31" spans="2:7" ht="15.75" customHeight="1" x14ac:dyDescent="0.35">
      <c r="B31" s="4" t="s">
        <v>80</v>
      </c>
      <c r="F31" s="5" t="s">
        <v>81</v>
      </c>
      <c r="G31" s="5" t="s">
        <v>82</v>
      </c>
    </row>
    <row r="32" spans="2:7" ht="15.75" customHeight="1" x14ac:dyDescent="0.35">
      <c r="B32" s="4"/>
      <c r="F32" s="5" t="s">
        <v>83</v>
      </c>
      <c r="G32" s="5" t="s">
        <v>84</v>
      </c>
    </row>
    <row r="33" spans="1:7" ht="15.75" customHeight="1" x14ac:dyDescent="0.35">
      <c r="A33" s="74"/>
      <c r="B33" s="6" t="s">
        <v>592</v>
      </c>
      <c r="F33" s="5" t="s">
        <v>86</v>
      </c>
      <c r="G33" s="5" t="s">
        <v>87</v>
      </c>
    </row>
    <row r="34" spans="1:7" ht="15.75" customHeight="1" x14ac:dyDescent="0.35">
      <c r="A34" s="74"/>
      <c r="B34" s="96" t="s">
        <v>594</v>
      </c>
      <c r="F34" s="5" t="s">
        <v>88</v>
      </c>
      <c r="G34" s="5" t="s">
        <v>89</v>
      </c>
    </row>
    <row r="35" spans="1:7" ht="15.75" customHeight="1" x14ac:dyDescent="0.35">
      <c r="A35" s="74"/>
      <c r="B35" s="96" t="s">
        <v>593</v>
      </c>
      <c r="F35" s="5" t="s">
        <v>91</v>
      </c>
      <c r="G35" s="5" t="s">
        <v>92</v>
      </c>
    </row>
    <row r="36" spans="1:7" ht="15.75" customHeight="1" x14ac:dyDescent="0.35">
      <c r="A36" s="74"/>
      <c r="B36" s="96" t="s">
        <v>595</v>
      </c>
      <c r="F36" s="5" t="s">
        <v>94</v>
      </c>
      <c r="G36" s="5" t="s">
        <v>95</v>
      </c>
    </row>
    <row r="37" spans="1:7" ht="15.75" customHeight="1" x14ac:dyDescent="0.35">
      <c r="A37" s="74"/>
      <c r="B37" s="96"/>
      <c r="F37" s="5" t="s">
        <v>96</v>
      </c>
      <c r="G37" s="5" t="s">
        <v>97</v>
      </c>
    </row>
    <row r="38" spans="1:7" ht="15.75" customHeight="1" x14ac:dyDescent="0.35">
      <c r="A38" s="74"/>
      <c r="B38" s="96"/>
      <c r="F38" s="5" t="s">
        <v>99</v>
      </c>
      <c r="G38" s="5" t="s">
        <v>100</v>
      </c>
    </row>
    <row r="39" spans="1:7" ht="15.75" customHeight="1" x14ac:dyDescent="0.35">
      <c r="A39" s="74"/>
      <c r="B39" s="96"/>
      <c r="F39" s="5" t="s">
        <v>101</v>
      </c>
      <c r="G39" s="5" t="s">
        <v>102</v>
      </c>
    </row>
    <row r="40" spans="1:7" ht="15.75" customHeight="1" x14ac:dyDescent="0.35">
      <c r="A40" s="1" t="s">
        <v>85</v>
      </c>
      <c r="B40" s="4"/>
      <c r="C40" s="51"/>
      <c r="F40" s="5" t="s">
        <v>103</v>
      </c>
      <c r="G40" s="5" t="s">
        <v>104</v>
      </c>
    </row>
    <row r="41" spans="1:7" ht="15.75" customHeight="1" x14ac:dyDescent="0.35">
      <c r="A41" s="10"/>
      <c r="B41" s="4"/>
      <c r="C41" s="51"/>
      <c r="F41" s="5" t="s">
        <v>105</v>
      </c>
      <c r="G41" s="5" t="s">
        <v>106</v>
      </c>
    </row>
    <row r="42" spans="1:7" ht="15.75" customHeight="1" x14ac:dyDescent="0.35">
      <c r="A42" s="8" t="s">
        <v>90</v>
      </c>
      <c r="B42" s="4"/>
      <c r="C42" s="51"/>
      <c r="F42" s="5" t="s">
        <v>107</v>
      </c>
      <c r="G42" s="5" t="s">
        <v>108</v>
      </c>
    </row>
    <row r="43" spans="1:7" ht="15.75" customHeight="1" x14ac:dyDescent="0.35">
      <c r="A43" s="8" t="s">
        <v>93</v>
      </c>
      <c r="B43" s="4"/>
      <c r="C43" s="51"/>
      <c r="F43" s="5" t="s">
        <v>109</v>
      </c>
      <c r="G43" s="5" t="s">
        <v>110</v>
      </c>
    </row>
    <row r="44" spans="1:7" ht="15.75" customHeight="1" x14ac:dyDescent="0.35">
      <c r="B44" s="4"/>
      <c r="C44" s="51"/>
      <c r="F44" s="5" t="s">
        <v>111</v>
      </c>
      <c r="G44" s="5" t="s">
        <v>112</v>
      </c>
    </row>
    <row r="45" spans="1:7" ht="15.75" customHeight="1" x14ac:dyDescent="0.35">
      <c r="A45" s="8" t="s">
        <v>98</v>
      </c>
      <c r="B45" s="4"/>
      <c r="C45" s="51"/>
      <c r="F45" s="5" t="s">
        <v>113</v>
      </c>
      <c r="G45" s="5" t="s">
        <v>114</v>
      </c>
    </row>
    <row r="46" spans="1:7" ht="15.75" customHeight="1" x14ac:dyDescent="0.35">
      <c r="B46" s="4"/>
      <c r="C46" s="51"/>
      <c r="F46" s="5" t="s">
        <v>115</v>
      </c>
      <c r="G46" s="5" t="s">
        <v>116</v>
      </c>
    </row>
    <row r="47" spans="1:7" ht="15.75" customHeight="1" x14ac:dyDescent="0.35">
      <c r="A47" s="75" t="s">
        <v>530</v>
      </c>
      <c r="B47" s="51"/>
      <c r="C47" s="51"/>
      <c r="F47" s="5" t="s">
        <v>117</v>
      </c>
      <c r="G47" s="5" t="s">
        <v>118</v>
      </c>
    </row>
    <row r="48" spans="1:7" ht="15.75" customHeight="1" x14ac:dyDescent="0.35">
      <c r="A48" s="51" t="s">
        <v>531</v>
      </c>
      <c r="B48" s="51"/>
      <c r="C48" s="51"/>
      <c r="F48" s="5" t="s">
        <v>119</v>
      </c>
      <c r="G48" s="5" t="s">
        <v>120</v>
      </c>
    </row>
    <row r="49" spans="1:7" ht="15.75" customHeight="1" x14ac:dyDescent="0.35">
      <c r="A49" s="51" t="s">
        <v>532</v>
      </c>
      <c r="B49" s="51"/>
      <c r="C49" s="51"/>
      <c r="F49" s="5" t="s">
        <v>121</v>
      </c>
      <c r="G49" s="5" t="s">
        <v>122</v>
      </c>
    </row>
    <row r="50" spans="1:7" ht="15.75" customHeight="1" x14ac:dyDescent="0.35">
      <c r="A50" s="51" t="s">
        <v>533</v>
      </c>
      <c r="B50" s="51"/>
      <c r="C50" s="51"/>
      <c r="F50" s="5" t="s">
        <v>123</v>
      </c>
      <c r="G50" s="5" t="s">
        <v>124</v>
      </c>
    </row>
    <row r="51" spans="1:7" ht="15.75" customHeight="1" x14ac:dyDescent="0.35">
      <c r="A51" s="51" t="s">
        <v>534</v>
      </c>
      <c r="B51" s="51"/>
      <c r="C51" s="51"/>
      <c r="F51" s="5" t="s">
        <v>125</v>
      </c>
      <c r="G51" s="5" t="s">
        <v>126</v>
      </c>
    </row>
    <row r="52" spans="1:7" ht="15.75" customHeight="1" x14ac:dyDescent="0.3">
      <c r="A52" s="51">
        <v>0.98699999999999999</v>
      </c>
      <c r="B52" s="51" t="s">
        <v>535</v>
      </c>
      <c r="C52" s="51"/>
    </row>
    <row r="53" spans="1:7" ht="15.75" customHeight="1" x14ac:dyDescent="0.3">
      <c r="A53" s="51">
        <v>0.97099999999999997</v>
      </c>
      <c r="B53" s="51" t="s">
        <v>536</v>
      </c>
      <c r="C53" s="51"/>
    </row>
    <row r="54" spans="1:7" ht="15.75" customHeight="1" x14ac:dyDescent="0.3">
      <c r="A54" s="51">
        <v>0.95299999999999996</v>
      </c>
      <c r="B54" s="51" t="s">
        <v>537</v>
      </c>
      <c r="C54" s="51"/>
    </row>
    <row r="55" spans="1:7" ht="15.75" customHeight="1" x14ac:dyDescent="0.3">
      <c r="A55" s="76">
        <v>0.93665959530026111</v>
      </c>
      <c r="B55" s="51" t="s">
        <v>538</v>
      </c>
      <c r="C55" s="51"/>
    </row>
    <row r="56" spans="1:7" ht="15.75" customHeight="1" x14ac:dyDescent="0.3">
      <c r="A56" s="76">
        <v>0.91400000000000003</v>
      </c>
      <c r="B56" s="51" t="s">
        <v>539</v>
      </c>
      <c r="C56" s="51"/>
    </row>
    <row r="57" spans="1:7" ht="15.75" customHeight="1" x14ac:dyDescent="0.3">
      <c r="A57" s="76">
        <v>0.89805481563188172</v>
      </c>
      <c r="B57" s="51" t="s">
        <v>540</v>
      </c>
      <c r="C57" s="51"/>
    </row>
    <row r="58" spans="1:7" ht="15.75" customHeight="1" x14ac:dyDescent="0.3">
      <c r="A58" s="51">
        <f>C100/270.97</f>
        <v>0.85004982101339621</v>
      </c>
      <c r="B58" s="51" t="s">
        <v>541</v>
      </c>
      <c r="C58" s="51"/>
    </row>
    <row r="59" spans="1:7" ht="15.75" customHeight="1" x14ac:dyDescent="0.3">
      <c r="A59" s="51">
        <f>270.29/C107</f>
        <v>1.0521091618237233</v>
      </c>
      <c r="B59" s="51" t="s">
        <v>542</v>
      </c>
      <c r="C59" s="51"/>
    </row>
    <row r="60" spans="1:7" ht="15.75" customHeight="1" x14ac:dyDescent="0.3">
      <c r="A60" s="51" t="s">
        <v>543</v>
      </c>
      <c r="B60" s="51"/>
      <c r="C60" s="51"/>
    </row>
    <row r="61" spans="1:7" ht="15.75" customHeight="1" x14ac:dyDescent="0.3">
      <c r="A61" s="51"/>
      <c r="B61" s="51"/>
      <c r="C61" s="51"/>
    </row>
    <row r="62" spans="1:7" ht="15.75" customHeight="1" x14ac:dyDescent="0.3">
      <c r="A62" s="51"/>
      <c r="B62" s="51"/>
      <c r="C62" s="51"/>
    </row>
    <row r="63" spans="1:7" ht="15.75" customHeight="1" x14ac:dyDescent="0.3">
      <c r="A63" s="51"/>
      <c r="B63" s="51"/>
      <c r="C63" s="51"/>
    </row>
    <row r="64" spans="1:7" ht="15.75" customHeight="1" x14ac:dyDescent="0.3">
      <c r="A64" s="51"/>
      <c r="B64" s="51"/>
      <c r="C64" s="51"/>
    </row>
    <row r="65" spans="1:3" ht="15.75" customHeight="1" x14ac:dyDescent="0.3">
      <c r="A65" s="51"/>
      <c r="B65" s="51"/>
      <c r="C65" s="51"/>
    </row>
    <row r="66" spans="1:3" ht="15.75" customHeight="1" x14ac:dyDescent="0.3">
      <c r="A66" s="51"/>
      <c r="B66" s="51"/>
      <c r="C66" s="51"/>
    </row>
    <row r="67" spans="1:3" ht="15.75" customHeight="1" x14ac:dyDescent="0.3">
      <c r="A67" s="51"/>
      <c r="B67" s="51"/>
      <c r="C67" s="51"/>
    </row>
    <row r="68" spans="1:3" ht="15.75" customHeight="1" x14ac:dyDescent="0.3">
      <c r="A68" s="51"/>
      <c r="B68" s="51"/>
      <c r="C68" s="51"/>
    </row>
    <row r="69" spans="1:3" ht="15.75" customHeight="1" x14ac:dyDescent="0.3">
      <c r="A69" s="51"/>
      <c r="B69" s="51"/>
      <c r="C69" s="51" t="s">
        <v>551</v>
      </c>
    </row>
    <row r="70" spans="1:3" ht="15.75" customHeight="1" x14ac:dyDescent="0.3">
      <c r="A70" s="51"/>
      <c r="B70" s="51"/>
      <c r="C70" s="51" t="s">
        <v>553</v>
      </c>
    </row>
    <row r="71" spans="1:3" ht="15.75" customHeight="1" x14ac:dyDescent="0.35">
      <c r="A71" s="75" t="s">
        <v>544</v>
      </c>
      <c r="B71" s="51"/>
      <c r="C71" s="51" t="s">
        <v>553</v>
      </c>
    </row>
    <row r="72" spans="1:3" ht="15.75" customHeight="1" x14ac:dyDescent="0.3">
      <c r="A72" s="51" t="s">
        <v>545</v>
      </c>
      <c r="B72" s="51"/>
      <c r="C72" s="51">
        <v>104.9</v>
      </c>
    </row>
    <row r="73" spans="1:3" ht="15.75" customHeight="1" x14ac:dyDescent="0.3">
      <c r="A73" s="51" t="s">
        <v>546</v>
      </c>
      <c r="B73" s="51"/>
      <c r="C73" s="51">
        <v>108.5</v>
      </c>
    </row>
    <row r="74" spans="1:3" ht="15.75" customHeight="1" x14ac:dyDescent="0.3">
      <c r="A74" s="51" t="s">
        <v>547</v>
      </c>
      <c r="B74" s="51"/>
      <c r="C74" s="51">
        <v>110.1</v>
      </c>
    </row>
    <row r="75" spans="1:3" ht="15.75" customHeight="1" x14ac:dyDescent="0.3">
      <c r="A75" s="51" t="s">
        <v>548</v>
      </c>
      <c r="B75" s="51" t="s">
        <v>549</v>
      </c>
      <c r="C75" s="51">
        <v>114.9</v>
      </c>
    </row>
    <row r="76" spans="1:3" ht="15.75" customHeight="1" x14ac:dyDescent="0.3">
      <c r="A76" s="51"/>
      <c r="B76" s="51" t="s">
        <v>550</v>
      </c>
      <c r="C76" s="51">
        <v>119.7</v>
      </c>
    </row>
    <row r="77" spans="1:3" ht="15.75" customHeight="1" x14ac:dyDescent="0.3">
      <c r="A77" s="51" t="s">
        <v>552</v>
      </c>
      <c r="B77" s="51" t="s">
        <v>553</v>
      </c>
      <c r="C77" s="51">
        <v>125.3</v>
      </c>
    </row>
    <row r="78" spans="1:3" ht="15.75" customHeight="1" x14ac:dyDescent="0.3">
      <c r="A78" s="51" t="s">
        <v>554</v>
      </c>
      <c r="B78" s="51" t="s">
        <v>553</v>
      </c>
      <c r="C78" s="51">
        <v>132.6</v>
      </c>
    </row>
    <row r="79" spans="1:3" ht="15.75" customHeight="1" x14ac:dyDescent="0.3">
      <c r="A79" s="51" t="s">
        <v>555</v>
      </c>
      <c r="B79" s="51">
        <v>102.9</v>
      </c>
      <c r="C79" s="51">
        <v>137.19999999999999</v>
      </c>
    </row>
    <row r="80" spans="1:3" ht="15.75" customHeight="1" x14ac:dyDescent="0.3">
      <c r="A80" s="51" t="s">
        <v>556</v>
      </c>
      <c r="B80" s="51">
        <v>106.6</v>
      </c>
      <c r="C80" s="51">
        <v>141.4</v>
      </c>
    </row>
    <row r="81" spans="1:3" ht="15.75" customHeight="1" x14ac:dyDescent="0.3">
      <c r="A81" s="51" t="s">
        <v>557</v>
      </c>
      <c r="B81" s="51">
        <v>109.1</v>
      </c>
      <c r="C81" s="51">
        <v>145.30000000000001</v>
      </c>
    </row>
    <row r="82" spans="1:3" ht="15.75" customHeight="1" x14ac:dyDescent="0.3">
      <c r="A82" s="51" t="s">
        <v>558</v>
      </c>
      <c r="B82" s="51">
        <v>112.4</v>
      </c>
      <c r="C82" s="51">
        <v>149.30000000000001</v>
      </c>
    </row>
    <row r="83" spans="1:3" ht="15.75" customHeight="1" x14ac:dyDescent="0.3">
      <c r="A83" s="51" t="s">
        <v>559</v>
      </c>
      <c r="B83" s="51">
        <v>116.8</v>
      </c>
      <c r="C83" s="51">
        <v>153.19999999999999</v>
      </c>
    </row>
    <row r="84" spans="1:3" ht="15.75" customHeight="1" x14ac:dyDescent="0.3">
      <c r="A84" s="51" t="s">
        <v>560</v>
      </c>
      <c r="B84" s="51">
        <v>122.7</v>
      </c>
      <c r="C84" s="51">
        <v>157.9</v>
      </c>
    </row>
    <row r="85" spans="1:3" ht="15.75" customHeight="1" x14ac:dyDescent="0.3">
      <c r="A85" s="51" t="s">
        <v>561</v>
      </c>
      <c r="B85" s="51">
        <v>128.69999999999999</v>
      </c>
      <c r="C85" s="51">
        <v>161.19999999999999</v>
      </c>
    </row>
    <row r="86" spans="1:3" ht="15.75" customHeight="1" x14ac:dyDescent="0.3">
      <c r="A86" s="51" t="s">
        <v>562</v>
      </c>
      <c r="B86" s="51">
        <v>135.19999999999999</v>
      </c>
      <c r="C86" s="51">
        <v>163.69999999999999</v>
      </c>
    </row>
    <row r="87" spans="1:3" ht="15.75" customHeight="1" x14ac:dyDescent="0.3">
      <c r="A87" s="51" t="s">
        <v>563</v>
      </c>
      <c r="B87" s="51">
        <v>139.19999999999999</v>
      </c>
      <c r="C87" s="51">
        <v>167.8</v>
      </c>
    </row>
    <row r="88" spans="1:3" ht="15.75" customHeight="1" x14ac:dyDescent="0.3">
      <c r="A88" s="51" t="s">
        <v>564</v>
      </c>
      <c r="B88" s="51">
        <v>143.69999999999999</v>
      </c>
      <c r="C88" s="51">
        <v>173.6</v>
      </c>
    </row>
    <row r="89" spans="1:3" ht="15.75" customHeight="1" x14ac:dyDescent="0.3">
      <c r="A89" s="51" t="s">
        <v>565</v>
      </c>
      <c r="B89" s="51">
        <v>147.19999999999999</v>
      </c>
      <c r="C89" s="51">
        <v>177.5</v>
      </c>
    </row>
    <row r="90" spans="1:3" ht="15.75" customHeight="1" x14ac:dyDescent="0.3">
      <c r="A90" s="51" t="s">
        <v>566</v>
      </c>
      <c r="B90" s="51">
        <v>151.5</v>
      </c>
      <c r="C90" s="51">
        <v>180.9</v>
      </c>
    </row>
    <row r="91" spans="1:3" ht="15.75" customHeight="1" x14ac:dyDescent="0.3">
      <c r="A91" s="51" t="s">
        <v>567</v>
      </c>
      <c r="B91" s="51">
        <v>155.80000000000001</v>
      </c>
      <c r="C91" s="51">
        <v>184.6</v>
      </c>
    </row>
    <row r="92" spans="1:3" ht="15.75" customHeight="1" x14ac:dyDescent="0.3">
      <c r="A92" s="51" t="s">
        <v>568</v>
      </c>
      <c r="B92" s="51">
        <v>159.9</v>
      </c>
      <c r="C92" s="51">
        <v>190.2</v>
      </c>
    </row>
    <row r="93" spans="1:3" ht="15.75" customHeight="1" x14ac:dyDescent="0.3">
      <c r="A93" s="51" t="s">
        <v>569</v>
      </c>
      <c r="B93" s="51">
        <v>162.30000000000001</v>
      </c>
      <c r="C93" s="51">
        <v>197.4</v>
      </c>
    </row>
    <row r="94" spans="1:3" ht="15.75" customHeight="1" x14ac:dyDescent="0.3">
      <c r="A94" s="51" t="s">
        <v>570</v>
      </c>
      <c r="B94" s="51">
        <v>165.4</v>
      </c>
      <c r="C94" s="51">
        <v>202.6</v>
      </c>
    </row>
    <row r="95" spans="1:3" ht="15.75" customHeight="1" x14ac:dyDescent="0.3">
      <c r="A95" s="51" t="s">
        <v>571</v>
      </c>
      <c r="B95" s="51">
        <v>170.8</v>
      </c>
      <c r="C95" s="51">
        <v>208.976</v>
      </c>
    </row>
    <row r="96" spans="1:3" ht="15.75" customHeight="1" x14ac:dyDescent="0.3">
      <c r="A96" s="51" t="s">
        <v>572</v>
      </c>
      <c r="B96" s="51">
        <v>176.6</v>
      </c>
      <c r="C96" s="51">
        <v>216.17699999999999</v>
      </c>
    </row>
    <row r="97" spans="1:3" ht="15.75" customHeight="1" x14ac:dyDescent="0.3">
      <c r="A97" s="51" t="s">
        <v>573</v>
      </c>
      <c r="B97" s="51">
        <v>178.9</v>
      </c>
      <c r="C97" s="51">
        <v>215.935</v>
      </c>
    </row>
    <row r="98" spans="1:3" ht="15.75" customHeight="1" x14ac:dyDescent="0.3">
      <c r="A98" s="51" t="s">
        <v>574</v>
      </c>
      <c r="B98" s="51">
        <v>183.3</v>
      </c>
      <c r="C98" s="51">
        <v>218.57599999999999</v>
      </c>
    </row>
    <row r="99" spans="1:3" ht="15.75" customHeight="1" x14ac:dyDescent="0.3">
      <c r="A99" s="51" t="s">
        <v>575</v>
      </c>
      <c r="B99" s="51">
        <v>187.6</v>
      </c>
      <c r="C99" s="51">
        <v>226.28</v>
      </c>
    </row>
    <row r="100" spans="1:3" ht="15.75" customHeight="1" x14ac:dyDescent="0.3">
      <c r="A100" s="51" t="s">
        <v>576</v>
      </c>
      <c r="B100" s="51">
        <v>193.2</v>
      </c>
      <c r="C100" s="51">
        <v>230.33799999999999</v>
      </c>
    </row>
    <row r="101" spans="1:3" ht="15.75" customHeight="1" x14ac:dyDescent="0.3">
      <c r="A101" s="51" t="s">
        <v>577</v>
      </c>
      <c r="B101" s="51">
        <v>200.6</v>
      </c>
      <c r="C101" s="51">
        <v>233.548</v>
      </c>
    </row>
    <row r="102" spans="1:3" ht="15.75" customHeight="1" x14ac:dyDescent="0.3">
      <c r="A102" s="51" t="s">
        <v>578</v>
      </c>
      <c r="B102" s="51">
        <v>205.709</v>
      </c>
      <c r="C102" s="51">
        <v>237.08799999999999</v>
      </c>
    </row>
    <row r="103" spans="1:3" ht="15.75" customHeight="1" x14ac:dyDescent="0.3">
      <c r="A103" s="51" t="s">
        <v>579</v>
      </c>
      <c r="B103" s="51">
        <v>214.429</v>
      </c>
      <c r="C103" s="51">
        <v>237.76900000000001</v>
      </c>
    </row>
    <row r="104" spans="1:3" ht="15.75" customHeight="1" x14ac:dyDescent="0.3">
      <c r="A104" s="51" t="s">
        <v>580</v>
      </c>
      <c r="B104" s="51">
        <v>213.13900000000001</v>
      </c>
      <c r="C104" s="51">
        <v>241.23699999999999</v>
      </c>
    </row>
    <row r="105" spans="1:3" ht="15.75" customHeight="1" x14ac:dyDescent="0.3">
      <c r="A105" s="51" t="s">
        <v>581</v>
      </c>
      <c r="B105" s="51">
        <v>217.535</v>
      </c>
      <c r="C105" s="51">
        <v>246.16300000000001</v>
      </c>
    </row>
    <row r="106" spans="1:3" ht="15.75" customHeight="1" x14ac:dyDescent="0.3">
      <c r="A106" s="51" t="s">
        <v>582</v>
      </c>
      <c r="B106" s="51">
        <v>223.59800000000001</v>
      </c>
      <c r="C106" s="51">
        <v>252.125</v>
      </c>
    </row>
    <row r="107" spans="1:3" ht="15.75" customHeight="1" x14ac:dyDescent="0.3">
      <c r="A107" s="51" t="s">
        <v>583</v>
      </c>
      <c r="B107" s="51">
        <v>228.85</v>
      </c>
      <c r="C107" s="51">
        <v>256.90300000000002</v>
      </c>
    </row>
    <row r="108" spans="1:3" ht="15.75" customHeight="1" x14ac:dyDescent="0.3">
      <c r="A108" s="51" t="s">
        <v>584</v>
      </c>
      <c r="B108" s="51">
        <v>232.36600000000001</v>
      </c>
    </row>
    <row r="109" spans="1:3" ht="15.75" customHeight="1" x14ac:dyDescent="0.3">
      <c r="A109" s="51" t="s">
        <v>585</v>
      </c>
      <c r="B109" s="51">
        <v>236.38399999999999</v>
      </c>
    </row>
    <row r="110" spans="1:3" ht="15.75" customHeight="1" x14ac:dyDescent="0.3">
      <c r="A110" s="51" t="s">
        <v>586</v>
      </c>
      <c r="B110" s="51">
        <v>236.26499999999999</v>
      </c>
    </row>
    <row r="111" spans="1:3" ht="15.75" customHeight="1" x14ac:dyDescent="0.3">
      <c r="A111" s="51" t="s">
        <v>587</v>
      </c>
      <c r="B111" s="51">
        <v>238.77799999999999</v>
      </c>
    </row>
    <row r="112" spans="1:3" ht="15.75" customHeight="1" x14ac:dyDescent="0.3">
      <c r="A112" s="51" t="s">
        <v>588</v>
      </c>
      <c r="B112" s="51">
        <v>244.07599999999999</v>
      </c>
    </row>
    <row r="113" spans="1:2" ht="15.75" customHeight="1" x14ac:dyDescent="0.3">
      <c r="A113" s="51" t="s">
        <v>589</v>
      </c>
      <c r="B113" s="51">
        <v>250.089</v>
      </c>
    </row>
    <row r="114" spans="1:2" ht="15.75" customHeight="1" x14ac:dyDescent="0.3">
      <c r="A114" s="51" t="s">
        <v>590</v>
      </c>
      <c r="B114" s="51">
        <v>254.41200000000001</v>
      </c>
    </row>
    <row r="115" spans="1:2" ht="15.75" customHeight="1" x14ac:dyDescent="0.35">
      <c r="B115" s="4"/>
    </row>
    <row r="116" spans="1:2" ht="15.75" customHeight="1" x14ac:dyDescent="0.35">
      <c r="B116" s="4"/>
    </row>
    <row r="117" spans="1:2" ht="15.75" customHeight="1" x14ac:dyDescent="0.35">
      <c r="B117" s="4"/>
    </row>
    <row r="118" spans="1:2" ht="15.75" customHeight="1" x14ac:dyDescent="0.35">
      <c r="B118" s="4"/>
    </row>
    <row r="119" spans="1:2" ht="15.75" customHeight="1" x14ac:dyDescent="0.35">
      <c r="B119" s="4"/>
    </row>
    <row r="120" spans="1:2" ht="15.75" customHeight="1" x14ac:dyDescent="0.35">
      <c r="B120" s="4"/>
    </row>
    <row r="121" spans="1:2" ht="15.75" customHeight="1" x14ac:dyDescent="0.35">
      <c r="B121" s="4"/>
    </row>
    <row r="122" spans="1:2" ht="15.75" customHeight="1" x14ac:dyDescent="0.35">
      <c r="B122" s="4"/>
    </row>
    <row r="123" spans="1:2" ht="15.75" customHeight="1" x14ac:dyDescent="0.35">
      <c r="B123" s="4"/>
    </row>
    <row r="124" spans="1:2" ht="15.75" customHeight="1" x14ac:dyDescent="0.35">
      <c r="B124" s="4"/>
    </row>
    <row r="125" spans="1:2" ht="15.75" customHeight="1" x14ac:dyDescent="0.35">
      <c r="B125" s="4"/>
    </row>
    <row r="126" spans="1:2" ht="15.75" customHeight="1" x14ac:dyDescent="0.35">
      <c r="B126" s="4"/>
    </row>
    <row r="127" spans="1:2" ht="15.75" customHeight="1" x14ac:dyDescent="0.35">
      <c r="B127" s="4"/>
    </row>
    <row r="128" spans="1:2" ht="15.75" customHeight="1" x14ac:dyDescent="0.35">
      <c r="B128" s="4"/>
    </row>
    <row r="129" spans="2:2" ht="15.75" customHeight="1" x14ac:dyDescent="0.35">
      <c r="B129" s="4"/>
    </row>
    <row r="130" spans="2:2" ht="15.75" customHeight="1" x14ac:dyDescent="0.35">
      <c r="B130" s="4"/>
    </row>
    <row r="131" spans="2:2" ht="15.75" customHeight="1" x14ac:dyDescent="0.35">
      <c r="B131" s="4"/>
    </row>
    <row r="132" spans="2:2" ht="15.75" customHeight="1" x14ac:dyDescent="0.35">
      <c r="B132" s="4"/>
    </row>
    <row r="133" spans="2:2" ht="15.75" customHeight="1" x14ac:dyDescent="0.35">
      <c r="B133" s="4"/>
    </row>
    <row r="134" spans="2:2" ht="15.75" customHeight="1" x14ac:dyDescent="0.35">
      <c r="B134" s="4"/>
    </row>
    <row r="135" spans="2:2" ht="15.75" customHeight="1" x14ac:dyDescent="0.35">
      <c r="B135" s="4"/>
    </row>
    <row r="136" spans="2:2" ht="15.75" customHeight="1" x14ac:dyDescent="0.35">
      <c r="B136" s="4"/>
    </row>
    <row r="137" spans="2:2" ht="15.75" customHeight="1" x14ac:dyDescent="0.35">
      <c r="B137" s="4"/>
    </row>
    <row r="138" spans="2:2" ht="15.75" customHeight="1" x14ac:dyDescent="0.35">
      <c r="B138" s="4"/>
    </row>
    <row r="139" spans="2:2" ht="15.75" customHeight="1" x14ac:dyDescent="0.35">
      <c r="B139" s="4"/>
    </row>
    <row r="140" spans="2:2" ht="15.75" customHeight="1" x14ac:dyDescent="0.35">
      <c r="B140" s="4"/>
    </row>
    <row r="141" spans="2:2" ht="15.75" customHeight="1" x14ac:dyDescent="0.35">
      <c r="B141" s="4"/>
    </row>
    <row r="142" spans="2:2" ht="15.75" customHeight="1" x14ac:dyDescent="0.35">
      <c r="B142" s="4"/>
    </row>
    <row r="143" spans="2:2" ht="15.75" customHeight="1" x14ac:dyDescent="0.35">
      <c r="B143" s="4"/>
    </row>
    <row r="144" spans="2:2" ht="15.75" customHeight="1" x14ac:dyDescent="0.35">
      <c r="B144" s="4"/>
    </row>
    <row r="145" spans="2:2" ht="15.75" customHeight="1" x14ac:dyDescent="0.35">
      <c r="B145" s="4"/>
    </row>
    <row r="146" spans="2:2" ht="15.75" customHeight="1" x14ac:dyDescent="0.35">
      <c r="B146" s="4"/>
    </row>
    <row r="147" spans="2:2" ht="15.75" customHeight="1" x14ac:dyDescent="0.35">
      <c r="B147" s="4"/>
    </row>
    <row r="148" spans="2:2" ht="15.75" customHeight="1" x14ac:dyDescent="0.35">
      <c r="B148" s="4"/>
    </row>
    <row r="149" spans="2:2" ht="15.75" customHeight="1" x14ac:dyDescent="0.35">
      <c r="B149" s="4"/>
    </row>
    <row r="150" spans="2:2" ht="15.75" customHeight="1" x14ac:dyDescent="0.35">
      <c r="B150" s="4"/>
    </row>
    <row r="151" spans="2:2" ht="15.75" customHeight="1" x14ac:dyDescent="0.35">
      <c r="B151" s="4"/>
    </row>
    <row r="152" spans="2:2" ht="15.75" customHeight="1" x14ac:dyDescent="0.35">
      <c r="B152" s="4"/>
    </row>
    <row r="153" spans="2:2" ht="15.75" customHeight="1" x14ac:dyDescent="0.35">
      <c r="B153" s="4"/>
    </row>
    <row r="154" spans="2:2" ht="15.75" customHeight="1" x14ac:dyDescent="0.35">
      <c r="B154" s="4"/>
    </row>
    <row r="155" spans="2:2" ht="15.75" customHeight="1" x14ac:dyDescent="0.35">
      <c r="B155" s="4"/>
    </row>
    <row r="156" spans="2:2" ht="15.75" customHeight="1" x14ac:dyDescent="0.35">
      <c r="B156" s="4"/>
    </row>
    <row r="157" spans="2:2" ht="15.75" customHeight="1" x14ac:dyDescent="0.35">
      <c r="B157" s="4"/>
    </row>
    <row r="158" spans="2:2" ht="15.75" customHeight="1" x14ac:dyDescent="0.35">
      <c r="B158" s="4"/>
    </row>
    <row r="159" spans="2:2" ht="15.75" customHeight="1" x14ac:dyDescent="0.35">
      <c r="B159" s="4"/>
    </row>
    <row r="160" spans="2:2" ht="15.75" customHeight="1" x14ac:dyDescent="0.35">
      <c r="B160" s="4"/>
    </row>
    <row r="161" spans="2:2" ht="15.75" customHeight="1" x14ac:dyDescent="0.35">
      <c r="B161" s="4"/>
    </row>
    <row r="162" spans="2:2" ht="15.75" customHeight="1" x14ac:dyDescent="0.35">
      <c r="B162" s="4"/>
    </row>
    <row r="163" spans="2:2" ht="15.75" customHeight="1" x14ac:dyDescent="0.35">
      <c r="B163" s="4"/>
    </row>
    <row r="164" spans="2:2" ht="15.75" customHeight="1" x14ac:dyDescent="0.35">
      <c r="B164" s="4"/>
    </row>
    <row r="165" spans="2:2" ht="15.75" customHeight="1" x14ac:dyDescent="0.35">
      <c r="B165" s="4"/>
    </row>
    <row r="166" spans="2:2" ht="15.75" customHeight="1" x14ac:dyDescent="0.35">
      <c r="B166" s="4"/>
    </row>
    <row r="167" spans="2:2" ht="15.75" customHeight="1" x14ac:dyDescent="0.35">
      <c r="B167" s="4"/>
    </row>
    <row r="168" spans="2:2" ht="15.75" customHeight="1" x14ac:dyDescent="0.35">
      <c r="B168" s="4"/>
    </row>
    <row r="169" spans="2:2" ht="15.75" customHeight="1" x14ac:dyDescent="0.35">
      <c r="B169" s="4"/>
    </row>
    <row r="170" spans="2:2" ht="15.75" customHeight="1" x14ac:dyDescent="0.35">
      <c r="B170" s="4"/>
    </row>
    <row r="171" spans="2:2" ht="15.75" customHeight="1" x14ac:dyDescent="0.35">
      <c r="B171" s="4"/>
    </row>
    <row r="172" spans="2:2" ht="15.75" customHeight="1" x14ac:dyDescent="0.35">
      <c r="B172" s="4"/>
    </row>
    <row r="173" spans="2:2" ht="15.75" customHeight="1" x14ac:dyDescent="0.35">
      <c r="B173" s="4"/>
    </row>
    <row r="174" spans="2:2" ht="15.75" customHeight="1" x14ac:dyDescent="0.35">
      <c r="B174" s="4"/>
    </row>
    <row r="175" spans="2:2" ht="15.75" customHeight="1" x14ac:dyDescent="0.35">
      <c r="B175" s="4"/>
    </row>
    <row r="176" spans="2:2" ht="15.75" customHeight="1" x14ac:dyDescent="0.35">
      <c r="B176" s="4"/>
    </row>
    <row r="177" spans="2:2" ht="15.75" customHeight="1" x14ac:dyDescent="0.35">
      <c r="B177" s="4"/>
    </row>
    <row r="178" spans="2:2" ht="15.75" customHeight="1" x14ac:dyDescent="0.35">
      <c r="B178" s="4"/>
    </row>
    <row r="179" spans="2:2" ht="15.75" customHeight="1" x14ac:dyDescent="0.35">
      <c r="B179" s="4"/>
    </row>
    <row r="180" spans="2:2" ht="15.75" customHeight="1" x14ac:dyDescent="0.35">
      <c r="B180" s="4"/>
    </row>
    <row r="181" spans="2:2" ht="15.75" customHeight="1" x14ac:dyDescent="0.35">
      <c r="B181" s="4"/>
    </row>
    <row r="182" spans="2:2" ht="15.75" customHeight="1" x14ac:dyDescent="0.35">
      <c r="B182" s="4"/>
    </row>
    <row r="183" spans="2:2" ht="15.75" customHeight="1" x14ac:dyDescent="0.35">
      <c r="B183" s="4"/>
    </row>
    <row r="184" spans="2:2" ht="15.75" customHeight="1" x14ac:dyDescent="0.35">
      <c r="B184" s="4"/>
    </row>
    <row r="185" spans="2:2" ht="15.75" customHeight="1" x14ac:dyDescent="0.35">
      <c r="B185" s="4"/>
    </row>
    <row r="186" spans="2:2" ht="15.75" customHeight="1" x14ac:dyDescent="0.35">
      <c r="B186" s="4"/>
    </row>
    <row r="187" spans="2:2" ht="15.75" customHeight="1" x14ac:dyDescent="0.35">
      <c r="B187" s="4"/>
    </row>
    <row r="188" spans="2:2" ht="15.75" customHeight="1" x14ac:dyDescent="0.35">
      <c r="B188" s="4"/>
    </row>
    <row r="189" spans="2:2" ht="15.75" customHeight="1" x14ac:dyDescent="0.35">
      <c r="B189" s="4"/>
    </row>
    <row r="190" spans="2:2" ht="15.75" customHeight="1" x14ac:dyDescent="0.35">
      <c r="B190" s="4"/>
    </row>
    <row r="191" spans="2:2" ht="15.75" customHeight="1" x14ac:dyDescent="0.35">
      <c r="B191" s="4"/>
    </row>
    <row r="192" spans="2:2" ht="15.75" customHeight="1" x14ac:dyDescent="0.35">
      <c r="B192" s="4"/>
    </row>
    <row r="193" spans="2:2" ht="15.75" customHeight="1" x14ac:dyDescent="0.35">
      <c r="B193" s="4"/>
    </row>
    <row r="194" spans="2:2" ht="15.75" customHeight="1" x14ac:dyDescent="0.35">
      <c r="B194" s="4"/>
    </row>
    <row r="195" spans="2:2" ht="15.75" customHeight="1" x14ac:dyDescent="0.35">
      <c r="B195" s="4"/>
    </row>
    <row r="196" spans="2:2" ht="15.75" customHeight="1" x14ac:dyDescent="0.35">
      <c r="B196" s="4"/>
    </row>
    <row r="197" spans="2:2" ht="15.75" customHeight="1" x14ac:dyDescent="0.35">
      <c r="B197" s="4"/>
    </row>
    <row r="198" spans="2:2" ht="15.75" customHeight="1" x14ac:dyDescent="0.35">
      <c r="B198" s="4"/>
    </row>
    <row r="199" spans="2:2" ht="15.75" customHeight="1" x14ac:dyDescent="0.35">
      <c r="B199" s="4"/>
    </row>
    <row r="200" spans="2:2" ht="15.75" customHeight="1" x14ac:dyDescent="0.35">
      <c r="B200" s="4"/>
    </row>
    <row r="201" spans="2:2" ht="15.75" customHeight="1" x14ac:dyDescent="0.35">
      <c r="B201" s="4"/>
    </row>
    <row r="202" spans="2:2" ht="15.75" customHeight="1" x14ac:dyDescent="0.35">
      <c r="B202" s="4"/>
    </row>
    <row r="203" spans="2:2" ht="15.75" customHeight="1" x14ac:dyDescent="0.35">
      <c r="B203" s="4"/>
    </row>
    <row r="204" spans="2:2" ht="15.75" customHeight="1" x14ac:dyDescent="0.35">
      <c r="B204" s="4"/>
    </row>
    <row r="205" spans="2:2" ht="15.75" customHeight="1" x14ac:dyDescent="0.35">
      <c r="B205" s="4"/>
    </row>
    <row r="206" spans="2:2" ht="15.75" customHeight="1" x14ac:dyDescent="0.35">
      <c r="B206" s="4"/>
    </row>
    <row r="207" spans="2:2" ht="15.75" customHeight="1" x14ac:dyDescent="0.35">
      <c r="B207" s="4"/>
    </row>
    <row r="208" spans="2:2" ht="15.75" customHeight="1" x14ac:dyDescent="0.35">
      <c r="B208" s="4"/>
    </row>
    <row r="209" spans="2:2" ht="15.75" customHeight="1" x14ac:dyDescent="0.35">
      <c r="B209" s="4"/>
    </row>
    <row r="210" spans="2:2" ht="15.75" customHeight="1" x14ac:dyDescent="0.35">
      <c r="B210" s="4"/>
    </row>
    <row r="211" spans="2:2" ht="15.75" customHeight="1" x14ac:dyDescent="0.35">
      <c r="B211" s="4"/>
    </row>
    <row r="212" spans="2:2" ht="15.75" customHeight="1" x14ac:dyDescent="0.35">
      <c r="B212" s="4"/>
    </row>
    <row r="213" spans="2:2" ht="15.75" customHeight="1" x14ac:dyDescent="0.35">
      <c r="B213" s="4"/>
    </row>
    <row r="214" spans="2:2" ht="15.75" customHeight="1" x14ac:dyDescent="0.35">
      <c r="B214" s="4"/>
    </row>
    <row r="215" spans="2:2" ht="15.75" customHeight="1" x14ac:dyDescent="0.35">
      <c r="B215" s="4"/>
    </row>
    <row r="216" spans="2:2" ht="15.75" customHeight="1" x14ac:dyDescent="0.35">
      <c r="B216" s="4"/>
    </row>
    <row r="217" spans="2:2" ht="15.75" customHeight="1" x14ac:dyDescent="0.35">
      <c r="B217" s="4"/>
    </row>
    <row r="218" spans="2:2" ht="15.75" customHeight="1" x14ac:dyDescent="0.35">
      <c r="B218" s="4"/>
    </row>
    <row r="219" spans="2:2" ht="15.75" customHeight="1" x14ac:dyDescent="0.35">
      <c r="B219" s="4"/>
    </row>
    <row r="220" spans="2:2" ht="15.75" customHeight="1" x14ac:dyDescent="0.35">
      <c r="B220" s="4"/>
    </row>
    <row r="221" spans="2:2" ht="15.75" customHeight="1" x14ac:dyDescent="0.35">
      <c r="B221" s="4"/>
    </row>
    <row r="222" spans="2:2" ht="15.75" customHeight="1" x14ac:dyDescent="0.35">
      <c r="B222" s="4"/>
    </row>
    <row r="223" spans="2:2" ht="15.75" customHeight="1" x14ac:dyDescent="0.35">
      <c r="B223" s="4"/>
    </row>
    <row r="224" spans="2:2" ht="15.75" customHeight="1" x14ac:dyDescent="0.35">
      <c r="B224" s="4"/>
    </row>
    <row r="225" spans="2:2" ht="15.75" customHeight="1" x14ac:dyDescent="0.35">
      <c r="B225" s="4"/>
    </row>
    <row r="226" spans="2:2" ht="15.75" customHeight="1" x14ac:dyDescent="0.35">
      <c r="B226" s="4"/>
    </row>
    <row r="227" spans="2:2" ht="15.75" customHeight="1" x14ac:dyDescent="0.35">
      <c r="B227" s="4"/>
    </row>
    <row r="228" spans="2:2" ht="15.75" customHeight="1" x14ac:dyDescent="0.35">
      <c r="B228" s="4"/>
    </row>
    <row r="229" spans="2:2" ht="15.75" customHeight="1" x14ac:dyDescent="0.35">
      <c r="B229" s="4"/>
    </row>
    <row r="230" spans="2:2" ht="15.75" customHeight="1" x14ac:dyDescent="0.35">
      <c r="B230" s="4"/>
    </row>
    <row r="231" spans="2:2" ht="15.75" customHeight="1" x14ac:dyDescent="0.35">
      <c r="B231" s="4"/>
    </row>
    <row r="232" spans="2:2" ht="15.75" customHeight="1" x14ac:dyDescent="0.35">
      <c r="B232" s="4"/>
    </row>
    <row r="233" spans="2:2" ht="15.75" customHeight="1" x14ac:dyDescent="0.35">
      <c r="B233" s="4"/>
    </row>
    <row r="234" spans="2:2" ht="15.75" customHeight="1" x14ac:dyDescent="0.35">
      <c r="B234" s="4"/>
    </row>
    <row r="235" spans="2:2" ht="15.75" customHeight="1" x14ac:dyDescent="0.35">
      <c r="B235" s="4"/>
    </row>
    <row r="236" spans="2:2" ht="15.75" customHeight="1" x14ac:dyDescent="0.35">
      <c r="B236" s="4"/>
    </row>
    <row r="237" spans="2:2" ht="15.75" customHeight="1" x14ac:dyDescent="0.35">
      <c r="B237" s="4"/>
    </row>
    <row r="238" spans="2:2" ht="15.75" customHeight="1" x14ac:dyDescent="0.35">
      <c r="B238" s="4"/>
    </row>
    <row r="239" spans="2:2" ht="15.75" customHeight="1" x14ac:dyDescent="0.35">
      <c r="B239" s="4"/>
    </row>
    <row r="240" spans="2:2" ht="15.75" customHeight="1" x14ac:dyDescent="0.35">
      <c r="B240" s="4"/>
    </row>
    <row r="241" spans="2:2" ht="15.75" customHeight="1" x14ac:dyDescent="0.35">
      <c r="B241" s="4"/>
    </row>
    <row r="242" spans="2:2" ht="15.75" customHeight="1" x14ac:dyDescent="0.35">
      <c r="B242" s="4"/>
    </row>
    <row r="243" spans="2:2" ht="15.75" customHeight="1" x14ac:dyDescent="0.35">
      <c r="B243" s="4"/>
    </row>
    <row r="244" spans="2:2" ht="15.75" customHeight="1" x14ac:dyDescent="0.35">
      <c r="B244" s="4"/>
    </row>
    <row r="245" spans="2:2" ht="15.75" customHeight="1" x14ac:dyDescent="0.35">
      <c r="B245" s="4"/>
    </row>
    <row r="246" spans="2:2" ht="15.75" customHeight="1" x14ac:dyDescent="0.35">
      <c r="B246" s="4"/>
    </row>
    <row r="247" spans="2:2" ht="15.75" customHeight="1" x14ac:dyDescent="0.35">
      <c r="B247" s="4"/>
    </row>
    <row r="248" spans="2:2" ht="15.75" customHeight="1" x14ac:dyDescent="0.35">
      <c r="B248" s="4"/>
    </row>
    <row r="249" spans="2:2" ht="15.75" customHeight="1" x14ac:dyDescent="0.35">
      <c r="B249" s="4"/>
    </row>
    <row r="250" spans="2:2" ht="15.75" customHeight="1" x14ac:dyDescent="0.35">
      <c r="B250" s="4"/>
    </row>
    <row r="251" spans="2:2" ht="15.75" customHeight="1" x14ac:dyDescent="0.35">
      <c r="B251" s="4"/>
    </row>
    <row r="252" spans="2:2" ht="15.75" customHeight="1" x14ac:dyDescent="0.35">
      <c r="B252" s="4"/>
    </row>
    <row r="253" spans="2:2" ht="15.75" customHeight="1" x14ac:dyDescent="0.35">
      <c r="B253" s="4"/>
    </row>
    <row r="254" spans="2:2" ht="15.75" customHeight="1" x14ac:dyDescent="0.35">
      <c r="B254" s="4"/>
    </row>
    <row r="255" spans="2:2" ht="15.75" customHeight="1" x14ac:dyDescent="0.35">
      <c r="B255" s="4"/>
    </row>
    <row r="256" spans="2:2" ht="15.75" customHeight="1" x14ac:dyDescent="0.35">
      <c r="B256" s="4"/>
    </row>
    <row r="257" spans="2:2" ht="15.75" customHeight="1" x14ac:dyDescent="0.35">
      <c r="B257" s="4"/>
    </row>
    <row r="258" spans="2:2" ht="15.75" customHeight="1" x14ac:dyDescent="0.35">
      <c r="B258" s="4"/>
    </row>
    <row r="259" spans="2:2" ht="15.75" customHeight="1" x14ac:dyDescent="0.35">
      <c r="B259" s="4"/>
    </row>
    <row r="260" spans="2:2" ht="15.75" customHeight="1" x14ac:dyDescent="0.35">
      <c r="B260" s="4"/>
    </row>
    <row r="261" spans="2:2" ht="15.75" customHeight="1" x14ac:dyDescent="0.35">
      <c r="B261" s="4"/>
    </row>
    <row r="262" spans="2:2" ht="15.75" customHeight="1" x14ac:dyDescent="0.35">
      <c r="B262" s="4"/>
    </row>
    <row r="263" spans="2:2" ht="15.75" customHeight="1" x14ac:dyDescent="0.35">
      <c r="B263" s="4"/>
    </row>
    <row r="264" spans="2:2" ht="15.75" customHeight="1" x14ac:dyDescent="0.35">
      <c r="B264" s="4"/>
    </row>
    <row r="265" spans="2:2" ht="15.75" customHeight="1" x14ac:dyDescent="0.35">
      <c r="B265" s="4"/>
    </row>
    <row r="266" spans="2:2" ht="15.75" customHeight="1" x14ac:dyDescent="0.35">
      <c r="B266" s="4"/>
    </row>
    <row r="267" spans="2:2" ht="15.75" customHeight="1" x14ac:dyDescent="0.35">
      <c r="B267" s="4"/>
    </row>
    <row r="268" spans="2:2" ht="15.75" customHeight="1" x14ac:dyDescent="0.35">
      <c r="B268" s="4"/>
    </row>
    <row r="269" spans="2:2" ht="15.75" customHeight="1" x14ac:dyDescent="0.35">
      <c r="B269" s="4"/>
    </row>
    <row r="270" spans="2:2" ht="15.75" customHeight="1" x14ac:dyDescent="0.35">
      <c r="B270" s="4"/>
    </row>
    <row r="271" spans="2:2" ht="15.75" customHeight="1" x14ac:dyDescent="0.35">
      <c r="B271" s="4"/>
    </row>
    <row r="272" spans="2:2" ht="15.75" customHeight="1" x14ac:dyDescent="0.35">
      <c r="B272" s="4"/>
    </row>
    <row r="273" spans="2:2" ht="15.75" customHeight="1" x14ac:dyDescent="0.35">
      <c r="B273" s="4"/>
    </row>
    <row r="274" spans="2:2" ht="15.75" customHeight="1" x14ac:dyDescent="0.35">
      <c r="B274" s="4"/>
    </row>
    <row r="275" spans="2:2" ht="15.75" customHeight="1" x14ac:dyDescent="0.35">
      <c r="B275" s="4"/>
    </row>
    <row r="276" spans="2:2" ht="15.75" customHeight="1" x14ac:dyDescent="0.35">
      <c r="B276" s="4"/>
    </row>
    <row r="277" spans="2:2" ht="15.75" customHeight="1" x14ac:dyDescent="0.35">
      <c r="B277" s="4"/>
    </row>
    <row r="278" spans="2:2" ht="15.75" customHeight="1" x14ac:dyDescent="0.35">
      <c r="B278" s="4"/>
    </row>
    <row r="279" spans="2:2" ht="15.75" customHeight="1" x14ac:dyDescent="0.35">
      <c r="B279" s="4"/>
    </row>
    <row r="280" spans="2:2" ht="15.75" customHeight="1" x14ac:dyDescent="0.35">
      <c r="B280" s="4"/>
    </row>
    <row r="281" spans="2:2" ht="15.75" customHeight="1" x14ac:dyDescent="0.35">
      <c r="B281" s="4"/>
    </row>
    <row r="282" spans="2:2" ht="15.75" customHeight="1" x14ac:dyDescent="0.35">
      <c r="B282" s="4"/>
    </row>
    <row r="283" spans="2:2" ht="15.75" customHeight="1" x14ac:dyDescent="0.35">
      <c r="B283" s="4"/>
    </row>
    <row r="284" spans="2:2" ht="15.75" customHeight="1" x14ac:dyDescent="0.35">
      <c r="B284" s="4"/>
    </row>
    <row r="285" spans="2:2" ht="15.75" customHeight="1" x14ac:dyDescent="0.35">
      <c r="B285" s="4"/>
    </row>
    <row r="286" spans="2:2" ht="15.75" customHeight="1" x14ac:dyDescent="0.35">
      <c r="B286" s="4"/>
    </row>
    <row r="287" spans="2:2" ht="15.75" customHeight="1" x14ac:dyDescent="0.35">
      <c r="B287" s="4"/>
    </row>
    <row r="288" spans="2:2" ht="15.75" customHeight="1" x14ac:dyDescent="0.35">
      <c r="B288" s="4"/>
    </row>
    <row r="289" spans="2:2" ht="15.75" customHeight="1" x14ac:dyDescent="0.35">
      <c r="B289" s="4"/>
    </row>
    <row r="290" spans="2:2" ht="15.75" customHeight="1" x14ac:dyDescent="0.35">
      <c r="B290" s="4"/>
    </row>
    <row r="291" spans="2:2" ht="15.75" customHeight="1" x14ac:dyDescent="0.35">
      <c r="B291" s="4"/>
    </row>
    <row r="292" spans="2:2" ht="15.75" customHeight="1" x14ac:dyDescent="0.35">
      <c r="B292" s="4"/>
    </row>
    <row r="293" spans="2:2" ht="15.75" customHeight="1" x14ac:dyDescent="0.35">
      <c r="B293" s="4"/>
    </row>
    <row r="294" spans="2:2" ht="15.75" customHeight="1" x14ac:dyDescent="0.35">
      <c r="B294" s="4"/>
    </row>
    <row r="295" spans="2:2" ht="15.75" customHeight="1" x14ac:dyDescent="0.35">
      <c r="B295" s="4"/>
    </row>
    <row r="296" spans="2:2" ht="15.75" customHeight="1" x14ac:dyDescent="0.35">
      <c r="B296" s="4"/>
    </row>
    <row r="297" spans="2:2" ht="15.75" customHeight="1" x14ac:dyDescent="0.35">
      <c r="B297" s="4"/>
    </row>
    <row r="298" spans="2:2" ht="15.75" customHeight="1" x14ac:dyDescent="0.35">
      <c r="B298" s="4"/>
    </row>
    <row r="299" spans="2:2" ht="15.75" customHeight="1" x14ac:dyDescent="0.35">
      <c r="B299" s="4"/>
    </row>
    <row r="300" spans="2:2" ht="15.75" customHeight="1" x14ac:dyDescent="0.35">
      <c r="B300" s="4"/>
    </row>
    <row r="301" spans="2:2" ht="15.75" customHeight="1" x14ac:dyDescent="0.35">
      <c r="B301" s="4"/>
    </row>
    <row r="302" spans="2:2" ht="15.75" customHeight="1" x14ac:dyDescent="0.35">
      <c r="B302" s="4"/>
    </row>
    <row r="303" spans="2:2" ht="15.75" customHeight="1" x14ac:dyDescent="0.35">
      <c r="B303" s="4"/>
    </row>
    <row r="304" spans="2:2" ht="15.75" customHeight="1" x14ac:dyDescent="0.35">
      <c r="B304" s="4"/>
    </row>
    <row r="305" spans="2:2" ht="15.75" customHeight="1" x14ac:dyDescent="0.35">
      <c r="B305" s="4"/>
    </row>
    <row r="306" spans="2:2" ht="15.75" customHeight="1" x14ac:dyDescent="0.35">
      <c r="B306" s="4"/>
    </row>
    <row r="307" spans="2:2" ht="15.75" customHeight="1" x14ac:dyDescent="0.35">
      <c r="B307" s="4"/>
    </row>
    <row r="308" spans="2:2" ht="15.75" customHeight="1" x14ac:dyDescent="0.35">
      <c r="B308" s="4"/>
    </row>
    <row r="309" spans="2:2" ht="15.75" customHeight="1" x14ac:dyDescent="0.35">
      <c r="B309" s="4"/>
    </row>
    <row r="310" spans="2:2" ht="15.75" customHeight="1" x14ac:dyDescent="0.35">
      <c r="B310" s="4"/>
    </row>
    <row r="311" spans="2:2" ht="15.75" customHeight="1" x14ac:dyDescent="0.35">
      <c r="B311" s="4"/>
    </row>
    <row r="312" spans="2:2" ht="15.75" customHeight="1" x14ac:dyDescent="0.35">
      <c r="B312" s="4"/>
    </row>
    <row r="313" spans="2:2" ht="15.75" customHeight="1" x14ac:dyDescent="0.35">
      <c r="B313" s="4"/>
    </row>
    <row r="314" spans="2:2" ht="15.75" customHeight="1" x14ac:dyDescent="0.35">
      <c r="B314" s="4"/>
    </row>
    <row r="315" spans="2:2" ht="15.75" customHeight="1" x14ac:dyDescent="0.35">
      <c r="B315" s="4"/>
    </row>
    <row r="316" spans="2:2" ht="15.75" customHeight="1" x14ac:dyDescent="0.35">
      <c r="B316" s="4"/>
    </row>
    <row r="317" spans="2:2" ht="15.75" customHeight="1" x14ac:dyDescent="0.35">
      <c r="B317" s="4"/>
    </row>
    <row r="318" spans="2:2" ht="15.75" customHeight="1" x14ac:dyDescent="0.35">
      <c r="B318" s="4"/>
    </row>
    <row r="319" spans="2:2" ht="15.75" customHeight="1" x14ac:dyDescent="0.35">
      <c r="B319" s="4"/>
    </row>
    <row r="320" spans="2:2" ht="15.75" customHeight="1" x14ac:dyDescent="0.35">
      <c r="B320" s="4"/>
    </row>
    <row r="321" spans="2:2" ht="15.75" customHeight="1" x14ac:dyDescent="0.35">
      <c r="B321" s="4"/>
    </row>
    <row r="322" spans="2:2" ht="15.75" customHeight="1" x14ac:dyDescent="0.35">
      <c r="B322" s="4"/>
    </row>
    <row r="323" spans="2:2" ht="15.75" customHeight="1" x14ac:dyDescent="0.35">
      <c r="B323" s="4"/>
    </row>
    <row r="324" spans="2:2" ht="15.75" customHeight="1" x14ac:dyDescent="0.35">
      <c r="B324" s="4"/>
    </row>
    <row r="325" spans="2:2" ht="15.75" customHeight="1" x14ac:dyDescent="0.35">
      <c r="B325" s="4"/>
    </row>
    <row r="326" spans="2:2" ht="15.75" customHeight="1" x14ac:dyDescent="0.35">
      <c r="B326" s="4"/>
    </row>
    <row r="327" spans="2:2" ht="15.75" customHeight="1" x14ac:dyDescent="0.35">
      <c r="B327" s="4"/>
    </row>
    <row r="328" spans="2:2" ht="15.75" customHeight="1" x14ac:dyDescent="0.35">
      <c r="B328" s="4"/>
    </row>
    <row r="329" spans="2:2" ht="15.75" customHeight="1" x14ac:dyDescent="0.35">
      <c r="B329" s="4"/>
    </row>
    <row r="330" spans="2:2" ht="15.75" customHeight="1" x14ac:dyDescent="0.35">
      <c r="B330" s="4"/>
    </row>
    <row r="331" spans="2:2" ht="15.75" customHeight="1" x14ac:dyDescent="0.35">
      <c r="B331" s="4"/>
    </row>
    <row r="332" spans="2:2" ht="15.75" customHeight="1" x14ac:dyDescent="0.35">
      <c r="B332" s="4"/>
    </row>
    <row r="333" spans="2:2" ht="15.75" customHeight="1" x14ac:dyDescent="0.35">
      <c r="B333" s="4"/>
    </row>
    <row r="334" spans="2:2" ht="15.75" customHeight="1" x14ac:dyDescent="0.35">
      <c r="B334" s="4"/>
    </row>
    <row r="335" spans="2:2" ht="15.75" customHeight="1" x14ac:dyDescent="0.35">
      <c r="B335" s="4"/>
    </row>
    <row r="336" spans="2:2" ht="15.75" customHeight="1" x14ac:dyDescent="0.35">
      <c r="B336" s="4"/>
    </row>
    <row r="337" spans="2:2" ht="15.75" customHeight="1" x14ac:dyDescent="0.35">
      <c r="B337" s="4"/>
    </row>
    <row r="338" spans="2:2" ht="15.75" customHeight="1" x14ac:dyDescent="0.35">
      <c r="B338" s="4"/>
    </row>
    <row r="339" spans="2:2" ht="15.75" customHeight="1" x14ac:dyDescent="0.35">
      <c r="B339" s="4"/>
    </row>
    <row r="340" spans="2:2" ht="15.75" customHeight="1" x14ac:dyDescent="0.35">
      <c r="B340" s="4"/>
    </row>
    <row r="341" spans="2:2" ht="15.75" customHeight="1" x14ac:dyDescent="0.35">
      <c r="B341" s="4"/>
    </row>
    <row r="342" spans="2:2" ht="15.75" customHeight="1" x14ac:dyDescent="0.35">
      <c r="B342" s="4"/>
    </row>
    <row r="343" spans="2:2" ht="15.75" customHeight="1" x14ac:dyDescent="0.35">
      <c r="B343" s="4"/>
    </row>
    <row r="344" spans="2:2" ht="15.75" customHeight="1" x14ac:dyDescent="0.35">
      <c r="B344" s="4"/>
    </row>
    <row r="345" spans="2:2" ht="15.75" customHeight="1" x14ac:dyDescent="0.35">
      <c r="B345" s="4"/>
    </row>
    <row r="346" spans="2:2" ht="15.75" customHeight="1" x14ac:dyDescent="0.35">
      <c r="B346" s="4"/>
    </row>
    <row r="347" spans="2:2" ht="15.75" customHeight="1" x14ac:dyDescent="0.35">
      <c r="B347" s="4"/>
    </row>
    <row r="348" spans="2:2" ht="15.75" customHeight="1" x14ac:dyDescent="0.35">
      <c r="B348" s="4"/>
    </row>
    <row r="349" spans="2:2" ht="15.75" customHeight="1" x14ac:dyDescent="0.35">
      <c r="B349" s="4"/>
    </row>
    <row r="350" spans="2:2" ht="15.75" customHeight="1" x14ac:dyDescent="0.35">
      <c r="B350" s="4"/>
    </row>
    <row r="351" spans="2:2" ht="15.75" customHeight="1" x14ac:dyDescent="0.35">
      <c r="B351" s="4"/>
    </row>
    <row r="352" spans="2:2" ht="15.75" customHeight="1" x14ac:dyDescent="0.35">
      <c r="B352" s="4"/>
    </row>
    <row r="353" spans="2:2" ht="15.75" customHeight="1" x14ac:dyDescent="0.35">
      <c r="B353" s="4"/>
    </row>
    <row r="354" spans="2:2" ht="15.75" customHeight="1" x14ac:dyDescent="0.35">
      <c r="B354" s="4"/>
    </row>
    <row r="355" spans="2:2" ht="15.75" customHeight="1" x14ac:dyDescent="0.35">
      <c r="B355" s="4"/>
    </row>
    <row r="356" spans="2:2" ht="15.75" customHeight="1" x14ac:dyDescent="0.35">
      <c r="B356" s="4"/>
    </row>
    <row r="357" spans="2:2" ht="15.75" customHeight="1" x14ac:dyDescent="0.35">
      <c r="B357" s="4"/>
    </row>
    <row r="358" spans="2:2" ht="15.75" customHeight="1" x14ac:dyDescent="0.35">
      <c r="B358" s="4"/>
    </row>
    <row r="359" spans="2:2" ht="15.75" customHeight="1" x14ac:dyDescent="0.35">
      <c r="B359" s="4"/>
    </row>
    <row r="360" spans="2:2" ht="15.75" customHeight="1" x14ac:dyDescent="0.35">
      <c r="B360" s="4"/>
    </row>
    <row r="361" spans="2:2" ht="15.75" customHeight="1" x14ac:dyDescent="0.35">
      <c r="B361" s="4"/>
    </row>
    <row r="362" spans="2:2" ht="15.75" customHeight="1" x14ac:dyDescent="0.35">
      <c r="B362" s="4"/>
    </row>
    <row r="363" spans="2:2" ht="15.75" customHeight="1" x14ac:dyDescent="0.35">
      <c r="B363" s="4"/>
    </row>
    <row r="364" spans="2:2" ht="15.75" customHeight="1" x14ac:dyDescent="0.35">
      <c r="B364" s="4"/>
    </row>
    <row r="365" spans="2:2" ht="15.75" customHeight="1" x14ac:dyDescent="0.35">
      <c r="B365" s="4"/>
    </row>
    <row r="366" spans="2:2" ht="15.75" customHeight="1" x14ac:dyDescent="0.35">
      <c r="B366" s="4"/>
    </row>
    <row r="367" spans="2:2" ht="15.75" customHeight="1" x14ac:dyDescent="0.35">
      <c r="B367" s="4"/>
    </row>
    <row r="368" spans="2:2" ht="15.75" customHeight="1" x14ac:dyDescent="0.35">
      <c r="B368" s="4"/>
    </row>
    <row r="369" spans="2:2" ht="15.75" customHeight="1" x14ac:dyDescent="0.35">
      <c r="B369" s="4"/>
    </row>
    <row r="370" spans="2:2" ht="15.75" customHeight="1" x14ac:dyDescent="0.35">
      <c r="B370" s="4"/>
    </row>
    <row r="371" spans="2:2" ht="15.75" customHeight="1" x14ac:dyDescent="0.35">
      <c r="B371" s="4"/>
    </row>
    <row r="372" spans="2:2" ht="15.75" customHeight="1" x14ac:dyDescent="0.35">
      <c r="B372" s="4"/>
    </row>
    <row r="373" spans="2:2" ht="15.75" customHeight="1" x14ac:dyDescent="0.35">
      <c r="B373" s="4"/>
    </row>
    <row r="374" spans="2:2" ht="15.75" customHeight="1" x14ac:dyDescent="0.35">
      <c r="B374" s="4"/>
    </row>
    <row r="375" spans="2:2" ht="15.75" customHeight="1" x14ac:dyDescent="0.35">
      <c r="B375" s="4"/>
    </row>
    <row r="376" spans="2:2" ht="15.75" customHeight="1" x14ac:dyDescent="0.35">
      <c r="B376" s="4"/>
    </row>
    <row r="377" spans="2:2" ht="15.75" customHeight="1" x14ac:dyDescent="0.35">
      <c r="B377" s="4"/>
    </row>
    <row r="378" spans="2:2" ht="15.75" customHeight="1" x14ac:dyDescent="0.35">
      <c r="B378" s="4"/>
    </row>
    <row r="379" spans="2:2" ht="15.75" customHeight="1" x14ac:dyDescent="0.35">
      <c r="B379" s="4"/>
    </row>
    <row r="380" spans="2:2" ht="15.75" customHeight="1" x14ac:dyDescent="0.35">
      <c r="B380" s="4"/>
    </row>
    <row r="381" spans="2:2" ht="15.75" customHeight="1" x14ac:dyDescent="0.35">
      <c r="B381" s="4"/>
    </row>
    <row r="382" spans="2:2" ht="15.75" customHeight="1" x14ac:dyDescent="0.35">
      <c r="B382" s="4"/>
    </row>
    <row r="383" spans="2:2" ht="15.75" customHeight="1" x14ac:dyDescent="0.35">
      <c r="B383" s="4"/>
    </row>
    <row r="384" spans="2:2" ht="15.75" customHeight="1" x14ac:dyDescent="0.35">
      <c r="B384" s="4"/>
    </row>
    <row r="385" spans="2:2" ht="15.75" customHeight="1" x14ac:dyDescent="0.35">
      <c r="B385" s="4"/>
    </row>
    <row r="386" spans="2:2" ht="15.75" customHeight="1" x14ac:dyDescent="0.35">
      <c r="B386" s="4"/>
    </row>
    <row r="387" spans="2:2" ht="15.75" customHeight="1" x14ac:dyDescent="0.35">
      <c r="B387" s="4"/>
    </row>
    <row r="388" spans="2:2" ht="15.75" customHeight="1" x14ac:dyDescent="0.35">
      <c r="B388" s="4"/>
    </row>
    <row r="389" spans="2:2" ht="15.75" customHeight="1" x14ac:dyDescent="0.35">
      <c r="B389" s="4"/>
    </row>
    <row r="390" spans="2:2" ht="15.75" customHeight="1" x14ac:dyDescent="0.35">
      <c r="B390" s="4"/>
    </row>
    <row r="391" spans="2:2" ht="15.75" customHeight="1" x14ac:dyDescent="0.35">
      <c r="B391" s="4"/>
    </row>
    <row r="392" spans="2:2" ht="15.75" customHeight="1" x14ac:dyDescent="0.35">
      <c r="B392" s="4"/>
    </row>
    <row r="393" spans="2:2" ht="15.75" customHeight="1" x14ac:dyDescent="0.35">
      <c r="B393" s="4"/>
    </row>
    <row r="394" spans="2:2" ht="15.75" customHeight="1" x14ac:dyDescent="0.35">
      <c r="B394" s="4"/>
    </row>
    <row r="395" spans="2:2" ht="15.75" customHeight="1" x14ac:dyDescent="0.35">
      <c r="B395" s="4"/>
    </row>
    <row r="396" spans="2:2" ht="15.75" customHeight="1" x14ac:dyDescent="0.35">
      <c r="B396" s="4"/>
    </row>
    <row r="397" spans="2:2" ht="15.75" customHeight="1" x14ac:dyDescent="0.35">
      <c r="B397" s="4"/>
    </row>
    <row r="398" spans="2:2" ht="15.75" customHeight="1" x14ac:dyDescent="0.35">
      <c r="B398" s="4"/>
    </row>
    <row r="399" spans="2:2" ht="15.75" customHeight="1" x14ac:dyDescent="0.35">
      <c r="B399" s="4"/>
    </row>
    <row r="400" spans="2:2" ht="15.75" customHeight="1" x14ac:dyDescent="0.35">
      <c r="B400" s="4"/>
    </row>
    <row r="401" spans="2:2" ht="15.75" customHeight="1" x14ac:dyDescent="0.35">
      <c r="B401" s="4"/>
    </row>
    <row r="402" spans="2:2" ht="15.75" customHeight="1" x14ac:dyDescent="0.35">
      <c r="B402" s="4"/>
    </row>
    <row r="403" spans="2:2" ht="15.75" customHeight="1" x14ac:dyDescent="0.35">
      <c r="B403" s="4"/>
    </row>
    <row r="404" spans="2:2" ht="15.75" customHeight="1" x14ac:dyDescent="0.35">
      <c r="B404" s="4"/>
    </row>
    <row r="405" spans="2:2" ht="15.75" customHeight="1" x14ac:dyDescent="0.35">
      <c r="B405" s="4"/>
    </row>
    <row r="406" spans="2:2" ht="15.75" customHeight="1" x14ac:dyDescent="0.35">
      <c r="B406" s="4"/>
    </row>
    <row r="407" spans="2:2" ht="15.75" customHeight="1" x14ac:dyDescent="0.35">
      <c r="B407" s="4"/>
    </row>
    <row r="408" spans="2:2" ht="15.75" customHeight="1" x14ac:dyDescent="0.35">
      <c r="B408" s="4"/>
    </row>
    <row r="409" spans="2:2" ht="15.75" customHeight="1" x14ac:dyDescent="0.35">
      <c r="B409" s="4"/>
    </row>
    <row r="410" spans="2:2" ht="15.75" customHeight="1" x14ac:dyDescent="0.35">
      <c r="B410" s="4"/>
    </row>
    <row r="411" spans="2:2" ht="15.75" customHeight="1" x14ac:dyDescent="0.35">
      <c r="B411" s="4"/>
    </row>
    <row r="412" spans="2:2" ht="15.75" customHeight="1" x14ac:dyDescent="0.35">
      <c r="B412" s="4"/>
    </row>
    <row r="413" spans="2:2" ht="15.75" customHeight="1" x14ac:dyDescent="0.35">
      <c r="B413" s="4"/>
    </row>
    <row r="414" spans="2:2" ht="15.75" customHeight="1" x14ac:dyDescent="0.35">
      <c r="B414" s="4"/>
    </row>
    <row r="415" spans="2:2" ht="15.75" customHeight="1" x14ac:dyDescent="0.35">
      <c r="B415" s="4"/>
    </row>
    <row r="416" spans="2:2" ht="15.75" customHeight="1" x14ac:dyDescent="0.35">
      <c r="B416" s="4"/>
    </row>
    <row r="417" spans="2:2" ht="15.75" customHeight="1" x14ac:dyDescent="0.35">
      <c r="B417" s="4"/>
    </row>
    <row r="418" spans="2:2" ht="15.75" customHeight="1" x14ac:dyDescent="0.35">
      <c r="B418" s="4"/>
    </row>
    <row r="419" spans="2:2" ht="15.75" customHeight="1" x14ac:dyDescent="0.35">
      <c r="B419" s="4"/>
    </row>
    <row r="420" spans="2:2" ht="15.75" customHeight="1" x14ac:dyDescent="0.35">
      <c r="B420" s="4"/>
    </row>
    <row r="421" spans="2:2" ht="15.75" customHeight="1" x14ac:dyDescent="0.35">
      <c r="B421" s="4"/>
    </row>
    <row r="422" spans="2:2" ht="15.75" customHeight="1" x14ac:dyDescent="0.35">
      <c r="B422" s="4"/>
    </row>
    <row r="423" spans="2:2" ht="15.75" customHeight="1" x14ac:dyDescent="0.35">
      <c r="B423" s="4"/>
    </row>
    <row r="424" spans="2:2" ht="15.75" customHeight="1" x14ac:dyDescent="0.35">
      <c r="B424" s="4"/>
    </row>
    <row r="425" spans="2:2" ht="15.75" customHeight="1" x14ac:dyDescent="0.35">
      <c r="B425" s="4"/>
    </row>
    <row r="426" spans="2:2" ht="15.75" customHeight="1" x14ac:dyDescent="0.35">
      <c r="B426" s="4"/>
    </row>
    <row r="427" spans="2:2" ht="15.75" customHeight="1" x14ac:dyDescent="0.35">
      <c r="B427" s="4"/>
    </row>
    <row r="428" spans="2:2" ht="15.75" customHeight="1" x14ac:dyDescent="0.35">
      <c r="B428" s="4"/>
    </row>
    <row r="429" spans="2:2" ht="15.75" customHeight="1" x14ac:dyDescent="0.35">
      <c r="B429" s="4"/>
    </row>
    <row r="430" spans="2:2" ht="15.75" customHeight="1" x14ac:dyDescent="0.35">
      <c r="B430" s="4"/>
    </row>
    <row r="431" spans="2:2" ht="15.75" customHeight="1" x14ac:dyDescent="0.35">
      <c r="B431" s="4"/>
    </row>
    <row r="432" spans="2:2" ht="15.75" customHeight="1" x14ac:dyDescent="0.35">
      <c r="B432" s="4"/>
    </row>
    <row r="433" spans="2:2" ht="15.75" customHeight="1" x14ac:dyDescent="0.35">
      <c r="B433" s="4"/>
    </row>
    <row r="434" spans="2:2" ht="15.75" customHeight="1" x14ac:dyDescent="0.35">
      <c r="B434" s="4"/>
    </row>
    <row r="435" spans="2:2" ht="15.75" customHeight="1" x14ac:dyDescent="0.35">
      <c r="B435" s="4"/>
    </row>
    <row r="436" spans="2:2" ht="15.75" customHeight="1" x14ac:dyDescent="0.35">
      <c r="B436" s="4"/>
    </row>
    <row r="437" spans="2:2" ht="15.75" customHeight="1" x14ac:dyDescent="0.35">
      <c r="B437" s="4"/>
    </row>
    <row r="438" spans="2:2" ht="15.75" customHeight="1" x14ac:dyDescent="0.35">
      <c r="B438" s="4"/>
    </row>
    <row r="439" spans="2:2" ht="15.75" customHeight="1" x14ac:dyDescent="0.35">
      <c r="B439" s="4"/>
    </row>
    <row r="440" spans="2:2" ht="15.75" customHeight="1" x14ac:dyDescent="0.35">
      <c r="B440" s="4"/>
    </row>
    <row r="441" spans="2:2" ht="15.75" customHeight="1" x14ac:dyDescent="0.35">
      <c r="B441" s="4"/>
    </row>
    <row r="442" spans="2:2" ht="15.75" customHeight="1" x14ac:dyDescent="0.35">
      <c r="B442" s="4"/>
    </row>
    <row r="443" spans="2:2" ht="15.75" customHeight="1" x14ac:dyDescent="0.35">
      <c r="B443" s="4"/>
    </row>
    <row r="444" spans="2:2" ht="15.75" customHeight="1" x14ac:dyDescent="0.35">
      <c r="B444" s="4"/>
    </row>
    <row r="445" spans="2:2" ht="15.75" customHeight="1" x14ac:dyDescent="0.35">
      <c r="B445" s="4"/>
    </row>
    <row r="446" spans="2:2" ht="15.75" customHeight="1" x14ac:dyDescent="0.35">
      <c r="B446" s="4"/>
    </row>
    <row r="447" spans="2:2" ht="15.75" customHeight="1" x14ac:dyDescent="0.35">
      <c r="B447" s="4"/>
    </row>
    <row r="448" spans="2:2" ht="15.75" customHeight="1" x14ac:dyDescent="0.35">
      <c r="B448" s="4"/>
    </row>
    <row r="449" spans="2:2" ht="15.75" customHeight="1" x14ac:dyDescent="0.35">
      <c r="B449" s="4"/>
    </row>
    <row r="450" spans="2:2" ht="15.75" customHeight="1" x14ac:dyDescent="0.35">
      <c r="B450" s="4"/>
    </row>
    <row r="451" spans="2:2" ht="15.75" customHeight="1" x14ac:dyDescent="0.35">
      <c r="B451" s="4"/>
    </row>
    <row r="452" spans="2:2" ht="15.75" customHeight="1" x14ac:dyDescent="0.35">
      <c r="B452" s="4"/>
    </row>
    <row r="453" spans="2:2" ht="15.75" customHeight="1" x14ac:dyDescent="0.35">
      <c r="B453" s="4"/>
    </row>
    <row r="454" spans="2:2" ht="15.75" customHeight="1" x14ac:dyDescent="0.35">
      <c r="B454" s="4"/>
    </row>
    <row r="455" spans="2:2" ht="15.75" customHeight="1" x14ac:dyDescent="0.35">
      <c r="B455" s="4"/>
    </row>
    <row r="456" spans="2:2" ht="15.75" customHeight="1" x14ac:dyDescent="0.35">
      <c r="B456" s="4"/>
    </row>
    <row r="457" spans="2:2" ht="15.75" customHeight="1" x14ac:dyDescent="0.35">
      <c r="B457" s="4"/>
    </row>
    <row r="458" spans="2:2" ht="15.75" customHeight="1" x14ac:dyDescent="0.35">
      <c r="B458" s="4"/>
    </row>
    <row r="459" spans="2:2" ht="15.75" customHeight="1" x14ac:dyDescent="0.35">
      <c r="B459" s="4"/>
    </row>
    <row r="460" spans="2:2" ht="15.75" customHeight="1" x14ac:dyDescent="0.35">
      <c r="B460" s="4"/>
    </row>
    <row r="461" spans="2:2" ht="15.75" customHeight="1" x14ac:dyDescent="0.35">
      <c r="B461" s="4"/>
    </row>
    <row r="462" spans="2:2" ht="15.75" customHeight="1" x14ac:dyDescent="0.35">
      <c r="B462" s="4"/>
    </row>
    <row r="463" spans="2:2" ht="15.75" customHeight="1" x14ac:dyDescent="0.35">
      <c r="B463" s="4"/>
    </row>
    <row r="464" spans="2:2" ht="15.75" customHeight="1" x14ac:dyDescent="0.35">
      <c r="B464" s="4"/>
    </row>
    <row r="465" spans="2:2" ht="15.75" customHeight="1" x14ac:dyDescent="0.35">
      <c r="B465" s="4"/>
    </row>
    <row r="466" spans="2:2" ht="15.75" customHeight="1" x14ac:dyDescent="0.35">
      <c r="B466" s="4"/>
    </row>
    <row r="467" spans="2:2" ht="15.75" customHeight="1" x14ac:dyDescent="0.35">
      <c r="B467" s="4"/>
    </row>
    <row r="468" spans="2:2" ht="15.75" customHeight="1" x14ac:dyDescent="0.35">
      <c r="B468" s="4"/>
    </row>
    <row r="469" spans="2:2" ht="15.75" customHeight="1" x14ac:dyDescent="0.35">
      <c r="B469" s="4"/>
    </row>
    <row r="470" spans="2:2" ht="15.75" customHeight="1" x14ac:dyDescent="0.35">
      <c r="B470" s="4"/>
    </row>
    <row r="471" spans="2:2" ht="15.75" customHeight="1" x14ac:dyDescent="0.35">
      <c r="B471" s="4"/>
    </row>
    <row r="472" spans="2:2" ht="15.75" customHeight="1" x14ac:dyDescent="0.35">
      <c r="B472" s="4"/>
    </row>
    <row r="473" spans="2:2" ht="15.75" customHeight="1" x14ac:dyDescent="0.35">
      <c r="B473" s="4"/>
    </row>
    <row r="474" spans="2:2" ht="15.75" customHeight="1" x14ac:dyDescent="0.35">
      <c r="B474" s="4"/>
    </row>
    <row r="475" spans="2:2" ht="15.75" customHeight="1" x14ac:dyDescent="0.35">
      <c r="B475" s="4"/>
    </row>
    <row r="476" spans="2:2" ht="15.75" customHeight="1" x14ac:dyDescent="0.35">
      <c r="B476" s="4"/>
    </row>
    <row r="477" spans="2:2" ht="15.75" customHeight="1" x14ac:dyDescent="0.35">
      <c r="B477" s="4"/>
    </row>
    <row r="478" spans="2:2" ht="15.75" customHeight="1" x14ac:dyDescent="0.35">
      <c r="B478" s="4"/>
    </row>
    <row r="479" spans="2:2" ht="15.75" customHeight="1" x14ac:dyDescent="0.35">
      <c r="B479" s="4"/>
    </row>
    <row r="480" spans="2:2" ht="15.75" customHeight="1" x14ac:dyDescent="0.35">
      <c r="B480" s="4"/>
    </row>
    <row r="481" spans="2:2" ht="15.75" customHeight="1" x14ac:dyDescent="0.35">
      <c r="B481" s="4"/>
    </row>
    <row r="482" spans="2:2" ht="15.75" customHeight="1" x14ac:dyDescent="0.35">
      <c r="B482" s="4"/>
    </row>
    <row r="483" spans="2:2" ht="15.75" customHeight="1" x14ac:dyDescent="0.35">
      <c r="B483" s="4"/>
    </row>
    <row r="484" spans="2:2" ht="15.75" customHeight="1" x14ac:dyDescent="0.35">
      <c r="B484" s="4"/>
    </row>
    <row r="485" spans="2:2" ht="15.75" customHeight="1" x14ac:dyDescent="0.35">
      <c r="B485" s="4"/>
    </row>
    <row r="486" spans="2:2" ht="15.75" customHeight="1" x14ac:dyDescent="0.35">
      <c r="B486" s="4"/>
    </row>
    <row r="487" spans="2:2" ht="15.75" customHeight="1" x14ac:dyDescent="0.35">
      <c r="B487" s="4"/>
    </row>
    <row r="488" spans="2:2" ht="15.75" customHeight="1" x14ac:dyDescent="0.35">
      <c r="B488" s="4"/>
    </row>
    <row r="489" spans="2:2" ht="15.75" customHeight="1" x14ac:dyDescent="0.35">
      <c r="B489" s="4"/>
    </row>
    <row r="490" spans="2:2" ht="15.75" customHeight="1" x14ac:dyDescent="0.35">
      <c r="B490" s="4"/>
    </row>
    <row r="491" spans="2:2" ht="15.75" customHeight="1" x14ac:dyDescent="0.35">
      <c r="B491" s="4"/>
    </row>
    <row r="492" spans="2:2" ht="15.75" customHeight="1" x14ac:dyDescent="0.35">
      <c r="B492" s="4"/>
    </row>
    <row r="493" spans="2:2" ht="15.75" customHeight="1" x14ac:dyDescent="0.35">
      <c r="B493" s="4"/>
    </row>
    <row r="494" spans="2:2" ht="15.75" customHeight="1" x14ac:dyDescent="0.35">
      <c r="B494" s="4"/>
    </row>
    <row r="495" spans="2:2" ht="15.75" customHeight="1" x14ac:dyDescent="0.35">
      <c r="B495" s="4"/>
    </row>
    <row r="496" spans="2:2" ht="15.75" customHeight="1" x14ac:dyDescent="0.35">
      <c r="B496" s="4"/>
    </row>
    <row r="497" spans="2:2" ht="15.75" customHeight="1" x14ac:dyDescent="0.35">
      <c r="B497" s="4"/>
    </row>
    <row r="498" spans="2:2" ht="15.75" customHeight="1" x14ac:dyDescent="0.35">
      <c r="B498" s="4"/>
    </row>
    <row r="499" spans="2:2" ht="15.75" customHeight="1" x14ac:dyDescent="0.35">
      <c r="B499" s="4"/>
    </row>
    <row r="500" spans="2:2" ht="15.75" customHeight="1" x14ac:dyDescent="0.35">
      <c r="B500" s="4"/>
    </row>
    <row r="501" spans="2:2" ht="15.75" customHeight="1" x14ac:dyDescent="0.35">
      <c r="B501" s="4"/>
    </row>
    <row r="502" spans="2:2" ht="15.75" customHeight="1" x14ac:dyDescent="0.35">
      <c r="B502" s="4"/>
    </row>
    <row r="503" spans="2:2" ht="15.75" customHeight="1" x14ac:dyDescent="0.35">
      <c r="B503" s="4"/>
    </row>
    <row r="504" spans="2:2" ht="15.75" customHeight="1" x14ac:dyDescent="0.35">
      <c r="B504" s="4"/>
    </row>
    <row r="505" spans="2:2" ht="15.75" customHeight="1" x14ac:dyDescent="0.35">
      <c r="B505" s="4"/>
    </row>
    <row r="506" spans="2:2" ht="15.75" customHeight="1" x14ac:dyDescent="0.35">
      <c r="B506" s="4"/>
    </row>
    <row r="507" spans="2:2" ht="15.75" customHeight="1" x14ac:dyDescent="0.35">
      <c r="B507" s="4"/>
    </row>
    <row r="508" spans="2:2" ht="15.75" customHeight="1" x14ac:dyDescent="0.35">
      <c r="B508" s="4"/>
    </row>
    <row r="509" spans="2:2" ht="15.75" customHeight="1" x14ac:dyDescent="0.35">
      <c r="B509" s="4"/>
    </row>
    <row r="510" spans="2:2" ht="15.75" customHeight="1" x14ac:dyDescent="0.35">
      <c r="B510" s="4"/>
    </row>
    <row r="511" spans="2:2" ht="15.75" customHeight="1" x14ac:dyDescent="0.35">
      <c r="B511" s="4"/>
    </row>
    <row r="512" spans="2:2" ht="15.75" customHeight="1" x14ac:dyDescent="0.35">
      <c r="B512" s="4"/>
    </row>
    <row r="513" spans="2:2" ht="15.75" customHeight="1" x14ac:dyDescent="0.35">
      <c r="B513" s="4"/>
    </row>
    <row r="514" spans="2:2" ht="15.75" customHeight="1" x14ac:dyDescent="0.35">
      <c r="B514" s="4"/>
    </row>
    <row r="515" spans="2:2" ht="15.75" customHeight="1" x14ac:dyDescent="0.35">
      <c r="B515" s="4"/>
    </row>
    <row r="516" spans="2:2" ht="15.75" customHeight="1" x14ac:dyDescent="0.35">
      <c r="B516" s="4"/>
    </row>
    <row r="517" spans="2:2" ht="15.75" customHeight="1" x14ac:dyDescent="0.35">
      <c r="B517" s="4"/>
    </row>
    <row r="518" spans="2:2" ht="15.75" customHeight="1" x14ac:dyDescent="0.35">
      <c r="B518" s="4"/>
    </row>
    <row r="519" spans="2:2" ht="15.75" customHeight="1" x14ac:dyDescent="0.35">
      <c r="B519" s="4"/>
    </row>
    <row r="520" spans="2:2" ht="15.75" customHeight="1" x14ac:dyDescent="0.35">
      <c r="B520" s="4"/>
    </row>
    <row r="521" spans="2:2" ht="15.75" customHeight="1" x14ac:dyDescent="0.35">
      <c r="B521" s="4"/>
    </row>
    <row r="522" spans="2:2" ht="15.75" customHeight="1" x14ac:dyDescent="0.35">
      <c r="B522" s="4"/>
    </row>
    <row r="523" spans="2:2" ht="15.75" customHeight="1" x14ac:dyDescent="0.35">
      <c r="B523" s="4"/>
    </row>
    <row r="524" spans="2:2" ht="15.75" customHeight="1" x14ac:dyDescent="0.35">
      <c r="B524" s="4"/>
    </row>
    <row r="525" spans="2:2" ht="15.75" customHeight="1" x14ac:dyDescent="0.35">
      <c r="B525" s="4"/>
    </row>
    <row r="526" spans="2:2" ht="15.75" customHeight="1" x14ac:dyDescent="0.35">
      <c r="B526" s="4"/>
    </row>
    <row r="527" spans="2:2" ht="15.75" customHeight="1" x14ac:dyDescent="0.35">
      <c r="B527" s="4"/>
    </row>
    <row r="528" spans="2:2" ht="15.75" customHeight="1" x14ac:dyDescent="0.35">
      <c r="B528" s="4"/>
    </row>
    <row r="529" spans="2:2" ht="15.75" customHeight="1" x14ac:dyDescent="0.35">
      <c r="B529" s="4"/>
    </row>
    <row r="530" spans="2:2" ht="15.75" customHeight="1" x14ac:dyDescent="0.35">
      <c r="B530" s="4"/>
    </row>
    <row r="531" spans="2:2" ht="15.75" customHeight="1" x14ac:dyDescent="0.35">
      <c r="B531" s="4"/>
    </row>
    <row r="532" spans="2:2" ht="15.75" customHeight="1" x14ac:dyDescent="0.35">
      <c r="B532" s="4"/>
    </row>
    <row r="533" spans="2:2" ht="15.75" customHeight="1" x14ac:dyDescent="0.35">
      <c r="B533" s="4"/>
    </row>
    <row r="534" spans="2:2" ht="15.75" customHeight="1" x14ac:dyDescent="0.35">
      <c r="B534" s="4"/>
    </row>
    <row r="535" spans="2:2" ht="15.75" customHeight="1" x14ac:dyDescent="0.35">
      <c r="B535" s="4"/>
    </row>
    <row r="536" spans="2:2" ht="15.75" customHeight="1" x14ac:dyDescent="0.35">
      <c r="B536" s="4"/>
    </row>
    <row r="537" spans="2:2" ht="15.75" customHeight="1" x14ac:dyDescent="0.35">
      <c r="B537" s="4"/>
    </row>
    <row r="538" spans="2:2" ht="15.75" customHeight="1" x14ac:dyDescent="0.35">
      <c r="B538" s="4"/>
    </row>
    <row r="539" spans="2:2" ht="15.75" customHeight="1" x14ac:dyDescent="0.35">
      <c r="B539" s="4"/>
    </row>
    <row r="540" spans="2:2" ht="15.75" customHeight="1" x14ac:dyDescent="0.35">
      <c r="B540" s="4"/>
    </row>
    <row r="541" spans="2:2" ht="15.75" customHeight="1" x14ac:dyDescent="0.35">
      <c r="B541" s="4"/>
    </row>
    <row r="542" spans="2:2" ht="15.75" customHeight="1" x14ac:dyDescent="0.35">
      <c r="B542" s="4"/>
    </row>
    <row r="543" spans="2:2" ht="15.75" customHeight="1" x14ac:dyDescent="0.35">
      <c r="B543" s="4"/>
    </row>
    <row r="544" spans="2:2" ht="15.75" customHeight="1" x14ac:dyDescent="0.35">
      <c r="B544" s="4"/>
    </row>
    <row r="545" spans="2:2" ht="15.75" customHeight="1" x14ac:dyDescent="0.35">
      <c r="B545" s="4"/>
    </row>
    <row r="546" spans="2:2" ht="15.75" customHeight="1" x14ac:dyDescent="0.35">
      <c r="B546" s="4"/>
    </row>
    <row r="547" spans="2:2" ht="15.75" customHeight="1" x14ac:dyDescent="0.35">
      <c r="B547" s="4"/>
    </row>
    <row r="548" spans="2:2" ht="15.75" customHeight="1" x14ac:dyDescent="0.35">
      <c r="B548" s="4"/>
    </row>
    <row r="549" spans="2:2" ht="15.75" customHeight="1" x14ac:dyDescent="0.35">
      <c r="B549" s="4"/>
    </row>
    <row r="550" spans="2:2" ht="15.75" customHeight="1" x14ac:dyDescent="0.35">
      <c r="B550" s="4"/>
    </row>
    <row r="551" spans="2:2" ht="15.75" customHeight="1" x14ac:dyDescent="0.35">
      <c r="B551" s="4"/>
    </row>
    <row r="552" spans="2:2" ht="15.75" customHeight="1" x14ac:dyDescent="0.35">
      <c r="B552" s="4"/>
    </row>
    <row r="553" spans="2:2" ht="15.75" customHeight="1" x14ac:dyDescent="0.35">
      <c r="B553" s="4"/>
    </row>
    <row r="554" spans="2:2" ht="15.75" customHeight="1" x14ac:dyDescent="0.35">
      <c r="B554" s="4"/>
    </row>
    <row r="555" spans="2:2" ht="15.75" customHeight="1" x14ac:dyDescent="0.35">
      <c r="B555" s="4"/>
    </row>
    <row r="556" spans="2:2" ht="15.75" customHeight="1" x14ac:dyDescent="0.35">
      <c r="B556" s="4"/>
    </row>
    <row r="557" spans="2:2" ht="15.75" customHeight="1" x14ac:dyDescent="0.35">
      <c r="B557" s="4"/>
    </row>
    <row r="558" spans="2:2" ht="15.75" customHeight="1" x14ac:dyDescent="0.35">
      <c r="B558" s="4"/>
    </row>
    <row r="559" spans="2:2" ht="15.75" customHeight="1" x14ac:dyDescent="0.35">
      <c r="B559" s="4"/>
    </row>
    <row r="560" spans="2:2" ht="15.75" customHeight="1" x14ac:dyDescent="0.35">
      <c r="B560" s="4"/>
    </row>
    <row r="561" spans="2:2" ht="15.75" customHeight="1" x14ac:dyDescent="0.35">
      <c r="B561" s="4"/>
    </row>
    <row r="562" spans="2:2" ht="15.75" customHeight="1" x14ac:dyDescent="0.35">
      <c r="B562" s="4"/>
    </row>
    <row r="563" spans="2:2" ht="15.75" customHeight="1" x14ac:dyDescent="0.35">
      <c r="B563" s="4"/>
    </row>
    <row r="564" spans="2:2" ht="15.75" customHeight="1" x14ac:dyDescent="0.35">
      <c r="B564" s="4"/>
    </row>
    <row r="565" spans="2:2" ht="15.75" customHeight="1" x14ac:dyDescent="0.35">
      <c r="B565" s="4"/>
    </row>
    <row r="566" spans="2:2" ht="15.75" customHeight="1" x14ac:dyDescent="0.35">
      <c r="B566" s="4"/>
    </row>
    <row r="567" spans="2:2" ht="15.75" customHeight="1" x14ac:dyDescent="0.35">
      <c r="B567" s="4"/>
    </row>
    <row r="568" spans="2:2" ht="15.75" customHeight="1" x14ac:dyDescent="0.35">
      <c r="B568" s="4"/>
    </row>
    <row r="569" spans="2:2" ht="15.75" customHeight="1" x14ac:dyDescent="0.35">
      <c r="B569" s="4"/>
    </row>
    <row r="570" spans="2:2" ht="15.75" customHeight="1" x14ac:dyDescent="0.35">
      <c r="B570" s="4"/>
    </row>
    <row r="571" spans="2:2" ht="15.75" customHeight="1" x14ac:dyDescent="0.35">
      <c r="B571" s="4"/>
    </row>
    <row r="572" spans="2:2" ht="15.75" customHeight="1" x14ac:dyDescent="0.35">
      <c r="B572" s="4"/>
    </row>
    <row r="573" spans="2:2" ht="15.75" customHeight="1" x14ac:dyDescent="0.35">
      <c r="B573" s="4"/>
    </row>
    <row r="574" spans="2:2" ht="15.75" customHeight="1" x14ac:dyDescent="0.35">
      <c r="B574" s="4"/>
    </row>
    <row r="575" spans="2:2" ht="15.75" customHeight="1" x14ac:dyDescent="0.35">
      <c r="B575" s="4"/>
    </row>
    <row r="576" spans="2:2" ht="15.75" customHeight="1" x14ac:dyDescent="0.35">
      <c r="B576" s="4"/>
    </row>
    <row r="577" spans="2:2" ht="15.75" customHeight="1" x14ac:dyDescent="0.35">
      <c r="B577" s="4"/>
    </row>
    <row r="578" spans="2:2" ht="15.75" customHeight="1" x14ac:dyDescent="0.35">
      <c r="B578" s="4"/>
    </row>
    <row r="579" spans="2:2" ht="15.75" customHeight="1" x14ac:dyDescent="0.35">
      <c r="B579" s="4"/>
    </row>
    <row r="580" spans="2:2" ht="15.75" customHeight="1" x14ac:dyDescent="0.35">
      <c r="B580" s="4"/>
    </row>
    <row r="581" spans="2:2" ht="15.75" customHeight="1" x14ac:dyDescent="0.35">
      <c r="B581" s="4"/>
    </row>
    <row r="582" spans="2:2" ht="15.75" customHeight="1" x14ac:dyDescent="0.35">
      <c r="B582" s="4"/>
    </row>
    <row r="583" spans="2:2" ht="15.75" customHeight="1" x14ac:dyDescent="0.35">
      <c r="B583" s="4"/>
    </row>
    <row r="584" spans="2:2" ht="15.75" customHeight="1" x14ac:dyDescent="0.35">
      <c r="B584" s="4"/>
    </row>
    <row r="585" spans="2:2" ht="15.75" customHeight="1" x14ac:dyDescent="0.35">
      <c r="B585" s="4"/>
    </row>
    <row r="586" spans="2:2" ht="15.75" customHeight="1" x14ac:dyDescent="0.35">
      <c r="B586" s="4"/>
    </row>
    <row r="587" spans="2:2" ht="15.75" customHeight="1" x14ac:dyDescent="0.35">
      <c r="B587" s="4"/>
    </row>
    <row r="588" spans="2:2" ht="15.75" customHeight="1" x14ac:dyDescent="0.35">
      <c r="B588" s="4"/>
    </row>
    <row r="589" spans="2:2" ht="15.75" customHeight="1" x14ac:dyDescent="0.35">
      <c r="B589" s="4"/>
    </row>
    <row r="590" spans="2:2" ht="15.75" customHeight="1" x14ac:dyDescent="0.35">
      <c r="B590" s="4"/>
    </row>
    <row r="591" spans="2:2" ht="15.75" customHeight="1" x14ac:dyDescent="0.35">
      <c r="B591" s="4"/>
    </row>
    <row r="592" spans="2:2" ht="15.75" customHeight="1" x14ac:dyDescent="0.35">
      <c r="B592" s="4"/>
    </row>
    <row r="593" spans="2:2" ht="15.75" customHeight="1" x14ac:dyDescent="0.35">
      <c r="B593" s="4"/>
    </row>
    <row r="594" spans="2:2" ht="15.75" customHeight="1" x14ac:dyDescent="0.35">
      <c r="B594" s="4"/>
    </row>
    <row r="595" spans="2:2" ht="15.75" customHeight="1" x14ac:dyDescent="0.35">
      <c r="B595" s="4"/>
    </row>
    <row r="596" spans="2:2" ht="15.75" customHeight="1" x14ac:dyDescent="0.35">
      <c r="B596" s="4"/>
    </row>
    <row r="597" spans="2:2" ht="15.75" customHeight="1" x14ac:dyDescent="0.35">
      <c r="B597" s="4"/>
    </row>
    <row r="598" spans="2:2" ht="15.75" customHeight="1" x14ac:dyDescent="0.35">
      <c r="B598" s="4"/>
    </row>
    <row r="599" spans="2:2" ht="15.75" customHeight="1" x14ac:dyDescent="0.35">
      <c r="B599" s="4"/>
    </row>
    <row r="600" spans="2:2" ht="15.75" customHeight="1" x14ac:dyDescent="0.35">
      <c r="B600" s="4"/>
    </row>
    <row r="601" spans="2:2" ht="15.75" customHeight="1" x14ac:dyDescent="0.35">
      <c r="B601" s="4"/>
    </row>
    <row r="602" spans="2:2" ht="15.75" customHeight="1" x14ac:dyDescent="0.35">
      <c r="B602" s="4"/>
    </row>
    <row r="603" spans="2:2" ht="15.75" customHeight="1" x14ac:dyDescent="0.35">
      <c r="B603" s="4"/>
    </row>
    <row r="604" spans="2:2" ht="15.75" customHeight="1" x14ac:dyDescent="0.35">
      <c r="B604" s="4"/>
    </row>
    <row r="605" spans="2:2" ht="15.75" customHeight="1" x14ac:dyDescent="0.35">
      <c r="B605" s="4"/>
    </row>
    <row r="606" spans="2:2" ht="15.75" customHeight="1" x14ac:dyDescent="0.35">
      <c r="B606" s="4"/>
    </row>
    <row r="607" spans="2:2" ht="15.75" customHeight="1" x14ac:dyDescent="0.35">
      <c r="B607" s="4"/>
    </row>
    <row r="608" spans="2:2" ht="15.75" customHeight="1" x14ac:dyDescent="0.35">
      <c r="B608" s="4"/>
    </row>
    <row r="609" spans="2:2" ht="15.75" customHeight="1" x14ac:dyDescent="0.35">
      <c r="B609" s="4"/>
    </row>
    <row r="610" spans="2:2" ht="15.75" customHeight="1" x14ac:dyDescent="0.35">
      <c r="B610" s="4"/>
    </row>
    <row r="611" spans="2:2" ht="15.75" customHeight="1" x14ac:dyDescent="0.35">
      <c r="B611" s="4"/>
    </row>
    <row r="612" spans="2:2" ht="15.75" customHeight="1" x14ac:dyDescent="0.35">
      <c r="B612" s="4"/>
    </row>
    <row r="613" spans="2:2" ht="15.75" customHeight="1" x14ac:dyDescent="0.35">
      <c r="B613" s="4"/>
    </row>
    <row r="614" spans="2:2" ht="15.75" customHeight="1" x14ac:dyDescent="0.35">
      <c r="B614" s="4"/>
    </row>
    <row r="615" spans="2:2" ht="15.75" customHeight="1" x14ac:dyDescent="0.35">
      <c r="B615" s="4"/>
    </row>
    <row r="616" spans="2:2" ht="15.75" customHeight="1" x14ac:dyDescent="0.35">
      <c r="B616" s="4"/>
    </row>
    <row r="617" spans="2:2" ht="15.75" customHeight="1" x14ac:dyDescent="0.35">
      <c r="B617" s="4"/>
    </row>
    <row r="618" spans="2:2" ht="15.75" customHeight="1" x14ac:dyDescent="0.35">
      <c r="B618" s="4"/>
    </row>
    <row r="619" spans="2:2" ht="15.75" customHeight="1" x14ac:dyDescent="0.35">
      <c r="B619" s="4"/>
    </row>
    <row r="620" spans="2:2" ht="15.75" customHeight="1" x14ac:dyDescent="0.35">
      <c r="B620" s="4"/>
    </row>
    <row r="621" spans="2:2" ht="15.75" customHeight="1" x14ac:dyDescent="0.35">
      <c r="B621" s="4"/>
    </row>
    <row r="622" spans="2:2" ht="15.75" customHeight="1" x14ac:dyDescent="0.35">
      <c r="B622" s="4"/>
    </row>
    <row r="623" spans="2:2" ht="15.75" customHeight="1" x14ac:dyDescent="0.35">
      <c r="B623" s="4"/>
    </row>
    <row r="624" spans="2:2" ht="15.75" customHeight="1" x14ac:dyDescent="0.35">
      <c r="B624" s="4"/>
    </row>
    <row r="625" spans="2:2" ht="15.75" customHeight="1" x14ac:dyDescent="0.35">
      <c r="B625" s="4"/>
    </row>
    <row r="626" spans="2:2" ht="15.75" customHeight="1" x14ac:dyDescent="0.35">
      <c r="B626" s="4"/>
    </row>
    <row r="627" spans="2:2" ht="15.75" customHeight="1" x14ac:dyDescent="0.35">
      <c r="B627" s="4"/>
    </row>
    <row r="628" spans="2:2" ht="15.75" customHeight="1" x14ac:dyDescent="0.35">
      <c r="B628" s="4"/>
    </row>
    <row r="629" spans="2:2" ht="15.75" customHeight="1" x14ac:dyDescent="0.35">
      <c r="B629" s="4"/>
    </row>
    <row r="630" spans="2:2" ht="15.75" customHeight="1" x14ac:dyDescent="0.35">
      <c r="B630" s="4"/>
    </row>
    <row r="631" spans="2:2" ht="15.75" customHeight="1" x14ac:dyDescent="0.35">
      <c r="B631" s="4"/>
    </row>
    <row r="632" spans="2:2" ht="15.75" customHeight="1" x14ac:dyDescent="0.35">
      <c r="B632" s="4"/>
    </row>
    <row r="633" spans="2:2" ht="15.75" customHeight="1" x14ac:dyDescent="0.35">
      <c r="B633" s="4"/>
    </row>
    <row r="634" spans="2:2" ht="15.75" customHeight="1" x14ac:dyDescent="0.35">
      <c r="B634" s="4"/>
    </row>
    <row r="635" spans="2:2" ht="15.75" customHeight="1" x14ac:dyDescent="0.35">
      <c r="B635" s="4"/>
    </row>
    <row r="636" spans="2:2" ht="15.75" customHeight="1" x14ac:dyDescent="0.35">
      <c r="B636" s="4"/>
    </row>
    <row r="637" spans="2:2" ht="15.75" customHeight="1" x14ac:dyDescent="0.35">
      <c r="B637" s="4"/>
    </row>
    <row r="638" spans="2:2" ht="15.75" customHeight="1" x14ac:dyDescent="0.35">
      <c r="B638" s="4"/>
    </row>
    <row r="639" spans="2:2" ht="15.75" customHeight="1" x14ac:dyDescent="0.35">
      <c r="B639" s="4"/>
    </row>
    <row r="640" spans="2:2" ht="15.75" customHeight="1" x14ac:dyDescent="0.35">
      <c r="B640" s="4"/>
    </row>
    <row r="641" spans="2:2" ht="15.75" customHeight="1" x14ac:dyDescent="0.35">
      <c r="B641" s="4"/>
    </row>
    <row r="642" spans="2:2" ht="15.75" customHeight="1" x14ac:dyDescent="0.35">
      <c r="B642" s="4"/>
    </row>
    <row r="643" spans="2:2" ht="15.75" customHeight="1" x14ac:dyDescent="0.35">
      <c r="B643" s="4"/>
    </row>
    <row r="644" spans="2:2" ht="15.75" customHeight="1" x14ac:dyDescent="0.35">
      <c r="B644" s="4"/>
    </row>
    <row r="645" spans="2:2" ht="15.75" customHeight="1" x14ac:dyDescent="0.35">
      <c r="B645" s="4"/>
    </row>
    <row r="646" spans="2:2" ht="15.75" customHeight="1" x14ac:dyDescent="0.35">
      <c r="B646" s="4"/>
    </row>
    <row r="647" spans="2:2" ht="15.75" customHeight="1" x14ac:dyDescent="0.35">
      <c r="B647" s="4"/>
    </row>
    <row r="648" spans="2:2" ht="15.75" customHeight="1" x14ac:dyDescent="0.35">
      <c r="B648" s="4"/>
    </row>
    <row r="649" spans="2:2" ht="15.75" customHeight="1" x14ac:dyDescent="0.35">
      <c r="B649" s="4"/>
    </row>
    <row r="650" spans="2:2" ht="15.75" customHeight="1" x14ac:dyDescent="0.35">
      <c r="B650" s="4"/>
    </row>
    <row r="651" spans="2:2" ht="15.75" customHeight="1" x14ac:dyDescent="0.35">
      <c r="B651" s="4"/>
    </row>
    <row r="652" spans="2:2" ht="15.75" customHeight="1" x14ac:dyDescent="0.35">
      <c r="B652" s="4"/>
    </row>
    <row r="653" spans="2:2" ht="15.75" customHeight="1" x14ac:dyDescent="0.35">
      <c r="B653" s="4"/>
    </row>
    <row r="654" spans="2:2" ht="15.75" customHeight="1" x14ac:dyDescent="0.35">
      <c r="B654" s="4"/>
    </row>
    <row r="655" spans="2:2" ht="15.75" customHeight="1" x14ac:dyDescent="0.35">
      <c r="B655" s="4"/>
    </row>
    <row r="656" spans="2:2" ht="15.75" customHeight="1" x14ac:dyDescent="0.35">
      <c r="B656" s="4"/>
    </row>
    <row r="657" spans="2:2" ht="15.75" customHeight="1" x14ac:dyDescent="0.35">
      <c r="B657" s="4"/>
    </row>
    <row r="658" spans="2:2" ht="15.75" customHeight="1" x14ac:dyDescent="0.35">
      <c r="B658" s="4"/>
    </row>
    <row r="659" spans="2:2" ht="15.75" customHeight="1" x14ac:dyDescent="0.35">
      <c r="B659" s="4"/>
    </row>
    <row r="660" spans="2:2" ht="15.75" customHeight="1" x14ac:dyDescent="0.35">
      <c r="B660" s="4"/>
    </row>
    <row r="661" spans="2:2" ht="15.75" customHeight="1" x14ac:dyDescent="0.35">
      <c r="B661" s="4"/>
    </row>
    <row r="662" spans="2:2" ht="15.75" customHeight="1" x14ac:dyDescent="0.35">
      <c r="B662" s="4"/>
    </row>
    <row r="663" spans="2:2" ht="15.75" customHeight="1" x14ac:dyDescent="0.35">
      <c r="B663" s="4"/>
    </row>
    <row r="664" spans="2:2" ht="15.75" customHeight="1" x14ac:dyDescent="0.35">
      <c r="B664" s="4"/>
    </row>
    <row r="665" spans="2:2" ht="15.75" customHeight="1" x14ac:dyDescent="0.35">
      <c r="B665" s="4"/>
    </row>
    <row r="666" spans="2:2" ht="15.75" customHeight="1" x14ac:dyDescent="0.35">
      <c r="B666" s="4"/>
    </row>
    <row r="667" spans="2:2" ht="15.75" customHeight="1" x14ac:dyDescent="0.35">
      <c r="B667" s="4"/>
    </row>
    <row r="668" spans="2:2" ht="15.75" customHeight="1" x14ac:dyDescent="0.35">
      <c r="B668" s="4"/>
    </row>
    <row r="669" spans="2:2" ht="15.75" customHeight="1" x14ac:dyDescent="0.35">
      <c r="B669" s="4"/>
    </row>
    <row r="670" spans="2:2" ht="15.75" customHeight="1" x14ac:dyDescent="0.35">
      <c r="B670" s="4"/>
    </row>
    <row r="671" spans="2:2" ht="15.75" customHeight="1" x14ac:dyDescent="0.35">
      <c r="B671" s="4"/>
    </row>
    <row r="672" spans="2:2" ht="15.75" customHeight="1" x14ac:dyDescent="0.35">
      <c r="B672" s="4"/>
    </row>
    <row r="673" spans="2:2" ht="15.75" customHeight="1" x14ac:dyDescent="0.35">
      <c r="B673" s="4"/>
    </row>
    <row r="674" spans="2:2" ht="15.75" customHeight="1" x14ac:dyDescent="0.35">
      <c r="B674" s="4"/>
    </row>
    <row r="675" spans="2:2" ht="15.75" customHeight="1" x14ac:dyDescent="0.35">
      <c r="B675" s="4"/>
    </row>
    <row r="676" spans="2:2" ht="15.75" customHeight="1" x14ac:dyDescent="0.35">
      <c r="B676" s="4"/>
    </row>
    <row r="677" spans="2:2" ht="15.75" customHeight="1" x14ac:dyDescent="0.35">
      <c r="B677" s="4"/>
    </row>
    <row r="678" spans="2:2" ht="15.75" customHeight="1" x14ac:dyDescent="0.35">
      <c r="B678" s="4"/>
    </row>
    <row r="679" spans="2:2" ht="15.75" customHeight="1" x14ac:dyDescent="0.35">
      <c r="B679" s="4"/>
    </row>
    <row r="680" spans="2:2" ht="15.75" customHeight="1" x14ac:dyDescent="0.35">
      <c r="B680" s="4"/>
    </row>
    <row r="681" spans="2:2" ht="15.75" customHeight="1" x14ac:dyDescent="0.35">
      <c r="B681" s="4"/>
    </row>
    <row r="682" spans="2:2" ht="15.75" customHeight="1" x14ac:dyDescent="0.35">
      <c r="B682" s="4"/>
    </row>
    <row r="683" spans="2:2" ht="15.75" customHeight="1" x14ac:dyDescent="0.35">
      <c r="B683" s="4"/>
    </row>
    <row r="684" spans="2:2" ht="15.75" customHeight="1" x14ac:dyDescent="0.35">
      <c r="B684" s="4"/>
    </row>
    <row r="685" spans="2:2" ht="15.75" customHeight="1" x14ac:dyDescent="0.35">
      <c r="B685" s="4"/>
    </row>
    <row r="686" spans="2:2" ht="15.75" customHeight="1" x14ac:dyDescent="0.35">
      <c r="B686" s="4"/>
    </row>
    <row r="687" spans="2:2" ht="15.75" customHeight="1" x14ac:dyDescent="0.35">
      <c r="B687" s="4"/>
    </row>
    <row r="688" spans="2:2" ht="15.75" customHeight="1" x14ac:dyDescent="0.35">
      <c r="B688" s="4"/>
    </row>
    <row r="689" spans="2:2" ht="15.75" customHeight="1" x14ac:dyDescent="0.35">
      <c r="B689" s="4"/>
    </row>
    <row r="690" spans="2:2" ht="15.75" customHeight="1" x14ac:dyDescent="0.35">
      <c r="B690" s="4"/>
    </row>
    <row r="691" spans="2:2" ht="15.75" customHeight="1" x14ac:dyDescent="0.35">
      <c r="B691" s="4"/>
    </row>
    <row r="692" spans="2:2" ht="15.75" customHeight="1" x14ac:dyDescent="0.35">
      <c r="B692" s="4"/>
    </row>
    <row r="693" spans="2:2" ht="15.75" customHeight="1" x14ac:dyDescent="0.35">
      <c r="B693" s="4"/>
    </row>
    <row r="694" spans="2:2" ht="15.75" customHeight="1" x14ac:dyDescent="0.35">
      <c r="B694" s="4"/>
    </row>
    <row r="695" spans="2:2" ht="15.75" customHeight="1" x14ac:dyDescent="0.35">
      <c r="B695" s="4"/>
    </row>
    <row r="696" spans="2:2" ht="15.75" customHeight="1" x14ac:dyDescent="0.35">
      <c r="B696" s="4"/>
    </row>
    <row r="697" spans="2:2" ht="15.75" customHeight="1" x14ac:dyDescent="0.35">
      <c r="B697" s="4"/>
    </row>
    <row r="698" spans="2:2" ht="15.75" customHeight="1" x14ac:dyDescent="0.35">
      <c r="B698" s="4"/>
    </row>
    <row r="699" spans="2:2" ht="15.75" customHeight="1" x14ac:dyDescent="0.35">
      <c r="B699" s="4"/>
    </row>
    <row r="700" spans="2:2" ht="15.75" customHeight="1" x14ac:dyDescent="0.35">
      <c r="B700" s="4"/>
    </row>
    <row r="701" spans="2:2" ht="15.75" customHeight="1" x14ac:dyDescent="0.35">
      <c r="B701" s="4"/>
    </row>
    <row r="702" spans="2:2" ht="15.75" customHeight="1" x14ac:dyDescent="0.35">
      <c r="B702" s="4"/>
    </row>
    <row r="703" spans="2:2" ht="15.75" customHeight="1" x14ac:dyDescent="0.35">
      <c r="B703" s="4"/>
    </row>
    <row r="704" spans="2:2" ht="15.75" customHeight="1" x14ac:dyDescent="0.35">
      <c r="B704" s="4"/>
    </row>
    <row r="705" spans="2:2" ht="15.75" customHeight="1" x14ac:dyDescent="0.35">
      <c r="B705" s="4"/>
    </row>
    <row r="706" spans="2:2" ht="15.75" customHeight="1" x14ac:dyDescent="0.35">
      <c r="B706" s="4"/>
    </row>
    <row r="707" spans="2:2" ht="15.75" customHeight="1" x14ac:dyDescent="0.35">
      <c r="B707" s="4"/>
    </row>
    <row r="708" spans="2:2" ht="15.75" customHeight="1" x14ac:dyDescent="0.35">
      <c r="B708" s="4"/>
    </row>
    <row r="709" spans="2:2" ht="15.75" customHeight="1" x14ac:dyDescent="0.35">
      <c r="B709" s="4"/>
    </row>
    <row r="710" spans="2:2" ht="15.75" customHeight="1" x14ac:dyDescent="0.35">
      <c r="B710" s="4"/>
    </row>
    <row r="711" spans="2:2" ht="15.75" customHeight="1" x14ac:dyDescent="0.35">
      <c r="B711" s="4"/>
    </row>
    <row r="712" spans="2:2" ht="15.75" customHeight="1" x14ac:dyDescent="0.35">
      <c r="B712" s="4"/>
    </row>
    <row r="713" spans="2:2" ht="15.75" customHeight="1" x14ac:dyDescent="0.35">
      <c r="B713" s="4"/>
    </row>
    <row r="714" spans="2:2" ht="15.75" customHeight="1" x14ac:dyDescent="0.35">
      <c r="B714" s="4"/>
    </row>
    <row r="715" spans="2:2" ht="15.75" customHeight="1" x14ac:dyDescent="0.35">
      <c r="B715" s="4"/>
    </row>
    <row r="716" spans="2:2" ht="15.75" customHeight="1" x14ac:dyDescent="0.35">
      <c r="B716" s="4"/>
    </row>
    <row r="717" spans="2:2" ht="15.75" customHeight="1" x14ac:dyDescent="0.35">
      <c r="B717" s="4"/>
    </row>
    <row r="718" spans="2:2" ht="15.75" customHeight="1" x14ac:dyDescent="0.35">
      <c r="B718" s="4"/>
    </row>
    <row r="719" spans="2:2" ht="15.75" customHeight="1" x14ac:dyDescent="0.35">
      <c r="B719" s="4"/>
    </row>
    <row r="720" spans="2:2" ht="15.75" customHeight="1" x14ac:dyDescent="0.35">
      <c r="B720" s="4"/>
    </row>
    <row r="721" spans="2:2" ht="15.75" customHeight="1" x14ac:dyDescent="0.35">
      <c r="B721" s="4"/>
    </row>
    <row r="722" spans="2:2" ht="15.75" customHeight="1" x14ac:dyDescent="0.35">
      <c r="B722" s="4"/>
    </row>
    <row r="723" spans="2:2" ht="15.75" customHeight="1" x14ac:dyDescent="0.35">
      <c r="B723" s="4"/>
    </row>
    <row r="724" spans="2:2" ht="15.75" customHeight="1" x14ac:dyDescent="0.35">
      <c r="B724" s="4"/>
    </row>
    <row r="725" spans="2:2" ht="15.75" customHeight="1" x14ac:dyDescent="0.35">
      <c r="B725" s="4"/>
    </row>
    <row r="726" spans="2:2" ht="15.75" customHeight="1" x14ac:dyDescent="0.35">
      <c r="B726" s="4"/>
    </row>
    <row r="727" spans="2:2" ht="15.75" customHeight="1" x14ac:dyDescent="0.35">
      <c r="B727" s="4"/>
    </row>
    <row r="728" spans="2:2" ht="15.75" customHeight="1" x14ac:dyDescent="0.35">
      <c r="B728" s="4"/>
    </row>
    <row r="729" spans="2:2" ht="15.75" customHeight="1" x14ac:dyDescent="0.35">
      <c r="B729" s="4"/>
    </row>
    <row r="730" spans="2:2" ht="15.75" customHeight="1" x14ac:dyDescent="0.35">
      <c r="B730" s="4"/>
    </row>
    <row r="731" spans="2:2" ht="15.75" customHeight="1" x14ac:dyDescent="0.35">
      <c r="B731" s="4"/>
    </row>
    <row r="732" spans="2:2" ht="15.75" customHeight="1" x14ac:dyDescent="0.35">
      <c r="B732" s="4"/>
    </row>
    <row r="733" spans="2:2" ht="15.75" customHeight="1" x14ac:dyDescent="0.35">
      <c r="B733" s="4"/>
    </row>
    <row r="734" spans="2:2" ht="15.75" customHeight="1" x14ac:dyDescent="0.35">
      <c r="B734" s="4"/>
    </row>
    <row r="735" spans="2:2" ht="15.75" customHeight="1" x14ac:dyDescent="0.35">
      <c r="B735" s="4"/>
    </row>
    <row r="736" spans="2:2" ht="15.75" customHeight="1" x14ac:dyDescent="0.35">
      <c r="B736" s="4"/>
    </row>
    <row r="737" spans="2:2" ht="15.75" customHeight="1" x14ac:dyDescent="0.35">
      <c r="B737" s="4"/>
    </row>
    <row r="738" spans="2:2" ht="15.75" customHeight="1" x14ac:dyDescent="0.35">
      <c r="B738" s="4"/>
    </row>
    <row r="739" spans="2:2" ht="15.75" customHeight="1" x14ac:dyDescent="0.35">
      <c r="B739" s="4"/>
    </row>
    <row r="740" spans="2:2" ht="15.75" customHeight="1" x14ac:dyDescent="0.35">
      <c r="B740" s="4"/>
    </row>
    <row r="741" spans="2:2" ht="15.75" customHeight="1" x14ac:dyDescent="0.35">
      <c r="B741" s="4"/>
    </row>
    <row r="742" spans="2:2" ht="15.75" customHeight="1" x14ac:dyDescent="0.35">
      <c r="B742" s="4"/>
    </row>
    <row r="743" spans="2:2" ht="15.75" customHeight="1" x14ac:dyDescent="0.35">
      <c r="B743" s="4"/>
    </row>
    <row r="744" spans="2:2" ht="15.75" customHeight="1" x14ac:dyDescent="0.35">
      <c r="B744" s="4"/>
    </row>
    <row r="745" spans="2:2" ht="15.75" customHeight="1" x14ac:dyDescent="0.35">
      <c r="B745" s="4"/>
    </row>
    <row r="746" spans="2:2" ht="15.75" customHeight="1" x14ac:dyDescent="0.35">
      <c r="B746" s="4"/>
    </row>
    <row r="747" spans="2:2" ht="15.75" customHeight="1" x14ac:dyDescent="0.35">
      <c r="B747" s="4"/>
    </row>
    <row r="748" spans="2:2" ht="15.75" customHeight="1" x14ac:dyDescent="0.35">
      <c r="B748" s="4"/>
    </row>
    <row r="749" spans="2:2" ht="15.75" customHeight="1" x14ac:dyDescent="0.35">
      <c r="B749" s="4"/>
    </row>
    <row r="750" spans="2:2" ht="15.75" customHeight="1" x14ac:dyDescent="0.35">
      <c r="B750" s="4"/>
    </row>
    <row r="751" spans="2:2" ht="15.75" customHeight="1" x14ac:dyDescent="0.35">
      <c r="B751" s="4"/>
    </row>
    <row r="752" spans="2:2" ht="15.75" customHeight="1" x14ac:dyDescent="0.35">
      <c r="B752" s="4"/>
    </row>
    <row r="753" spans="2:2" ht="15.75" customHeight="1" x14ac:dyDescent="0.35">
      <c r="B753" s="4"/>
    </row>
    <row r="754" spans="2:2" ht="15.75" customHeight="1" x14ac:dyDescent="0.35">
      <c r="B754" s="4"/>
    </row>
    <row r="755" spans="2:2" ht="15.75" customHeight="1" x14ac:dyDescent="0.35">
      <c r="B755" s="4"/>
    </row>
    <row r="756" spans="2:2" ht="15.75" customHeight="1" x14ac:dyDescent="0.35">
      <c r="B756" s="4"/>
    </row>
    <row r="757" spans="2:2" ht="15.75" customHeight="1" x14ac:dyDescent="0.35">
      <c r="B757" s="4"/>
    </row>
    <row r="758" spans="2:2" ht="15.75" customHeight="1" x14ac:dyDescent="0.35">
      <c r="B758" s="4"/>
    </row>
    <row r="759" spans="2:2" ht="15.75" customHeight="1" x14ac:dyDescent="0.35">
      <c r="B759" s="4"/>
    </row>
    <row r="760" spans="2:2" ht="15.75" customHeight="1" x14ac:dyDescent="0.35">
      <c r="B760" s="4"/>
    </row>
    <row r="761" spans="2:2" ht="15.75" customHeight="1" x14ac:dyDescent="0.35">
      <c r="B761" s="4"/>
    </row>
    <row r="762" spans="2:2" ht="15.75" customHeight="1" x14ac:dyDescent="0.35">
      <c r="B762" s="4"/>
    </row>
    <row r="763" spans="2:2" ht="15.75" customHeight="1" x14ac:dyDescent="0.35">
      <c r="B763" s="4"/>
    </row>
    <row r="764" spans="2:2" ht="15.75" customHeight="1" x14ac:dyDescent="0.35">
      <c r="B764" s="4"/>
    </row>
    <row r="765" spans="2:2" ht="15.75" customHeight="1" x14ac:dyDescent="0.35">
      <c r="B765" s="4"/>
    </row>
    <row r="766" spans="2:2" ht="15.75" customHeight="1" x14ac:dyDescent="0.35">
      <c r="B766" s="4"/>
    </row>
    <row r="767" spans="2:2" ht="15.75" customHeight="1" x14ac:dyDescent="0.35">
      <c r="B767" s="4"/>
    </row>
    <row r="768" spans="2:2" ht="15.75" customHeight="1" x14ac:dyDescent="0.35">
      <c r="B768" s="4"/>
    </row>
    <row r="769" spans="2:2" ht="15.75" customHeight="1" x14ac:dyDescent="0.35">
      <c r="B769" s="4"/>
    </row>
    <row r="770" spans="2:2" ht="15.75" customHeight="1" x14ac:dyDescent="0.35">
      <c r="B770" s="4"/>
    </row>
    <row r="771" spans="2:2" ht="15.75" customHeight="1" x14ac:dyDescent="0.35">
      <c r="B771" s="4"/>
    </row>
    <row r="772" spans="2:2" ht="15.75" customHeight="1" x14ac:dyDescent="0.35">
      <c r="B772" s="4"/>
    </row>
    <row r="773" spans="2:2" ht="15.75" customHeight="1" x14ac:dyDescent="0.35">
      <c r="B773" s="4"/>
    </row>
    <row r="774" spans="2:2" ht="15.75" customHeight="1" x14ac:dyDescent="0.35">
      <c r="B774" s="4"/>
    </row>
    <row r="775" spans="2:2" ht="15.75" customHeight="1" x14ac:dyDescent="0.35">
      <c r="B775" s="4"/>
    </row>
    <row r="776" spans="2:2" ht="15.75" customHeight="1" x14ac:dyDescent="0.35">
      <c r="B776" s="4"/>
    </row>
    <row r="777" spans="2:2" ht="15.75" customHeight="1" x14ac:dyDescent="0.35">
      <c r="B777" s="4"/>
    </row>
    <row r="778" spans="2:2" ht="15.75" customHeight="1" x14ac:dyDescent="0.35">
      <c r="B778" s="4"/>
    </row>
    <row r="779" spans="2:2" ht="15.75" customHeight="1" x14ac:dyDescent="0.35">
      <c r="B779" s="4"/>
    </row>
    <row r="780" spans="2:2" ht="15.75" customHeight="1" x14ac:dyDescent="0.35">
      <c r="B780" s="4"/>
    </row>
    <row r="781" spans="2:2" ht="15.75" customHeight="1" x14ac:dyDescent="0.35">
      <c r="B781" s="4"/>
    </row>
    <row r="782" spans="2:2" ht="15.75" customHeight="1" x14ac:dyDescent="0.35">
      <c r="B782" s="4"/>
    </row>
    <row r="783" spans="2:2" ht="15.75" customHeight="1" x14ac:dyDescent="0.35">
      <c r="B783" s="4"/>
    </row>
    <row r="784" spans="2:2" ht="15.75" customHeight="1" x14ac:dyDescent="0.35">
      <c r="B784" s="4"/>
    </row>
    <row r="785" spans="2:2" ht="15.75" customHeight="1" x14ac:dyDescent="0.35">
      <c r="B785" s="4"/>
    </row>
    <row r="786" spans="2:2" ht="15.75" customHeight="1" x14ac:dyDescent="0.35">
      <c r="B786" s="4"/>
    </row>
    <row r="787" spans="2:2" ht="15.75" customHeight="1" x14ac:dyDescent="0.35">
      <c r="B787" s="4"/>
    </row>
    <row r="788" spans="2:2" ht="15.75" customHeight="1" x14ac:dyDescent="0.35">
      <c r="B788" s="4"/>
    </row>
    <row r="789" spans="2:2" ht="15.75" customHeight="1" x14ac:dyDescent="0.35">
      <c r="B789" s="4"/>
    </row>
    <row r="790" spans="2:2" ht="15.75" customHeight="1" x14ac:dyDescent="0.35">
      <c r="B790" s="4"/>
    </row>
    <row r="791" spans="2:2" ht="15.75" customHeight="1" x14ac:dyDescent="0.35">
      <c r="B791" s="4"/>
    </row>
    <row r="792" spans="2:2" ht="15.75" customHeight="1" x14ac:dyDescent="0.35">
      <c r="B792" s="4"/>
    </row>
    <row r="793" spans="2:2" ht="15.75" customHeight="1" x14ac:dyDescent="0.35">
      <c r="B793" s="4"/>
    </row>
    <row r="794" spans="2:2" ht="15.75" customHeight="1" x14ac:dyDescent="0.35">
      <c r="B794" s="4"/>
    </row>
    <row r="795" spans="2:2" ht="15.75" customHeight="1" x14ac:dyDescent="0.35">
      <c r="B795" s="4"/>
    </row>
    <row r="796" spans="2:2" ht="15.75" customHeight="1" x14ac:dyDescent="0.35">
      <c r="B796" s="4"/>
    </row>
    <row r="797" spans="2:2" ht="15.75" customHeight="1" x14ac:dyDescent="0.35">
      <c r="B797" s="4"/>
    </row>
    <row r="798" spans="2:2" ht="15.75" customHeight="1" x14ac:dyDescent="0.35">
      <c r="B798" s="4"/>
    </row>
    <row r="799" spans="2:2" ht="15.75" customHeight="1" x14ac:dyDescent="0.35">
      <c r="B799" s="4"/>
    </row>
    <row r="800" spans="2:2" ht="15.75" customHeight="1" x14ac:dyDescent="0.35">
      <c r="B800" s="4"/>
    </row>
    <row r="801" spans="2:2" ht="15.75" customHeight="1" x14ac:dyDescent="0.35">
      <c r="B801" s="4"/>
    </row>
    <row r="802" spans="2:2" ht="15.75" customHeight="1" x14ac:dyDescent="0.35">
      <c r="B802" s="4"/>
    </row>
    <row r="803" spans="2:2" ht="15.75" customHeight="1" x14ac:dyDescent="0.35">
      <c r="B803" s="4"/>
    </row>
    <row r="804" spans="2:2" ht="15.75" customHeight="1" x14ac:dyDescent="0.35">
      <c r="B804" s="4"/>
    </row>
    <row r="805" spans="2:2" ht="15.75" customHeight="1" x14ac:dyDescent="0.35">
      <c r="B805" s="4"/>
    </row>
    <row r="806" spans="2:2" ht="15.75" customHeight="1" x14ac:dyDescent="0.35">
      <c r="B806" s="4"/>
    </row>
    <row r="807" spans="2:2" ht="15.75" customHeight="1" x14ac:dyDescent="0.35">
      <c r="B807" s="4"/>
    </row>
    <row r="808" spans="2:2" ht="15.75" customHeight="1" x14ac:dyDescent="0.35">
      <c r="B808" s="4"/>
    </row>
    <row r="809" spans="2:2" ht="15.75" customHeight="1" x14ac:dyDescent="0.35">
      <c r="B809" s="4"/>
    </row>
    <row r="810" spans="2:2" ht="15.75" customHeight="1" x14ac:dyDescent="0.35">
      <c r="B810" s="4"/>
    </row>
    <row r="811" spans="2:2" ht="15.75" customHeight="1" x14ac:dyDescent="0.35">
      <c r="B811" s="4"/>
    </row>
    <row r="812" spans="2:2" ht="15.75" customHeight="1" x14ac:dyDescent="0.35">
      <c r="B812" s="4"/>
    </row>
    <row r="813" spans="2:2" ht="15.75" customHeight="1" x14ac:dyDescent="0.35">
      <c r="B813" s="4"/>
    </row>
    <row r="814" spans="2:2" ht="15.75" customHeight="1" x14ac:dyDescent="0.35">
      <c r="B814" s="4"/>
    </row>
    <row r="815" spans="2:2" ht="15.75" customHeight="1" x14ac:dyDescent="0.35">
      <c r="B815" s="4"/>
    </row>
    <row r="816" spans="2:2" ht="15.75" customHeight="1" x14ac:dyDescent="0.35">
      <c r="B816" s="4"/>
    </row>
    <row r="817" spans="2:2" ht="15.75" customHeight="1" x14ac:dyDescent="0.35">
      <c r="B817" s="4"/>
    </row>
    <row r="818" spans="2:2" ht="15.75" customHeight="1" x14ac:dyDescent="0.35">
      <c r="B818" s="4"/>
    </row>
    <row r="819" spans="2:2" ht="15.75" customHeight="1" x14ac:dyDescent="0.35">
      <c r="B819" s="4"/>
    </row>
    <row r="820" spans="2:2" ht="15.75" customHeight="1" x14ac:dyDescent="0.35">
      <c r="B820" s="4"/>
    </row>
    <row r="821" spans="2:2" ht="15.75" customHeight="1" x14ac:dyDescent="0.35">
      <c r="B821" s="4"/>
    </row>
    <row r="822" spans="2:2" ht="15.75" customHeight="1" x14ac:dyDescent="0.35">
      <c r="B822" s="4"/>
    </row>
    <row r="823" spans="2:2" ht="15.75" customHeight="1" x14ac:dyDescent="0.35">
      <c r="B823" s="4"/>
    </row>
    <row r="824" spans="2:2" ht="15.75" customHeight="1" x14ac:dyDescent="0.35">
      <c r="B824" s="4"/>
    </row>
    <row r="825" spans="2:2" ht="15.75" customHeight="1" x14ac:dyDescent="0.35">
      <c r="B825" s="4"/>
    </row>
    <row r="826" spans="2:2" ht="15.75" customHeight="1" x14ac:dyDescent="0.35">
      <c r="B826" s="4"/>
    </row>
    <row r="827" spans="2:2" ht="15.75" customHeight="1" x14ac:dyDescent="0.35">
      <c r="B827" s="4"/>
    </row>
    <row r="828" spans="2:2" ht="15.75" customHeight="1" x14ac:dyDescent="0.35">
      <c r="B828" s="4"/>
    </row>
    <row r="829" spans="2:2" ht="15.75" customHeight="1" x14ac:dyDescent="0.35">
      <c r="B829" s="4"/>
    </row>
    <row r="830" spans="2:2" ht="15.75" customHeight="1" x14ac:dyDescent="0.35">
      <c r="B830" s="4"/>
    </row>
    <row r="831" spans="2:2" ht="15.75" customHeight="1" x14ac:dyDescent="0.35">
      <c r="B831" s="4"/>
    </row>
    <row r="832" spans="2:2" ht="15.75" customHeight="1" x14ac:dyDescent="0.35">
      <c r="B832" s="4"/>
    </row>
    <row r="833" spans="2:2" ht="15.75" customHeight="1" x14ac:dyDescent="0.35">
      <c r="B833" s="4"/>
    </row>
    <row r="834" spans="2:2" ht="15.75" customHeight="1" x14ac:dyDescent="0.35">
      <c r="B834" s="4"/>
    </row>
    <row r="835" spans="2:2" ht="15.75" customHeight="1" x14ac:dyDescent="0.35">
      <c r="B835" s="4"/>
    </row>
    <row r="836" spans="2:2" ht="15.75" customHeight="1" x14ac:dyDescent="0.35">
      <c r="B836" s="4"/>
    </row>
    <row r="837" spans="2:2" ht="15.75" customHeight="1" x14ac:dyDescent="0.35">
      <c r="B837" s="4"/>
    </row>
    <row r="838" spans="2:2" ht="15.75" customHeight="1" x14ac:dyDescent="0.35">
      <c r="B838" s="4"/>
    </row>
    <row r="839" spans="2:2" ht="15.75" customHeight="1" x14ac:dyDescent="0.35">
      <c r="B839" s="4"/>
    </row>
    <row r="840" spans="2:2" ht="15.75" customHeight="1" x14ac:dyDescent="0.35">
      <c r="B840" s="4"/>
    </row>
    <row r="841" spans="2:2" ht="15.75" customHeight="1" x14ac:dyDescent="0.35">
      <c r="B841" s="4"/>
    </row>
    <row r="842" spans="2:2" ht="15.75" customHeight="1" x14ac:dyDescent="0.35">
      <c r="B842" s="4"/>
    </row>
    <row r="843" spans="2:2" ht="15.75" customHeight="1" x14ac:dyDescent="0.35">
      <c r="B843" s="4"/>
    </row>
    <row r="844" spans="2:2" ht="15.75" customHeight="1" x14ac:dyDescent="0.35">
      <c r="B844" s="4"/>
    </row>
    <row r="845" spans="2:2" ht="15.75" customHeight="1" x14ac:dyDescent="0.35">
      <c r="B845" s="4"/>
    </row>
    <row r="846" spans="2:2" ht="15.75" customHeight="1" x14ac:dyDescent="0.35">
      <c r="B846" s="4"/>
    </row>
    <row r="847" spans="2:2" ht="15.75" customHeight="1" x14ac:dyDescent="0.35">
      <c r="B847" s="4"/>
    </row>
    <row r="848" spans="2:2" ht="15.75" customHeight="1" x14ac:dyDescent="0.35">
      <c r="B848" s="4"/>
    </row>
    <row r="849" spans="2:2" ht="15.75" customHeight="1" x14ac:dyDescent="0.35">
      <c r="B849" s="4"/>
    </row>
    <row r="850" spans="2:2" ht="15.75" customHeight="1" x14ac:dyDescent="0.35">
      <c r="B850" s="4"/>
    </row>
    <row r="851" spans="2:2" ht="15.75" customHeight="1" x14ac:dyDescent="0.35">
      <c r="B851" s="4"/>
    </row>
    <row r="852" spans="2:2" ht="15.75" customHeight="1" x14ac:dyDescent="0.35">
      <c r="B852" s="4"/>
    </row>
    <row r="853" spans="2:2" ht="15.75" customHeight="1" x14ac:dyDescent="0.35">
      <c r="B853" s="4"/>
    </row>
    <row r="854" spans="2:2" ht="15.75" customHeight="1" x14ac:dyDescent="0.35">
      <c r="B854" s="4"/>
    </row>
    <row r="855" spans="2:2" ht="15.75" customHeight="1" x14ac:dyDescent="0.35">
      <c r="B855" s="4"/>
    </row>
    <row r="856" spans="2:2" ht="15.75" customHeight="1" x14ac:dyDescent="0.35">
      <c r="B856" s="4"/>
    </row>
    <row r="857" spans="2:2" ht="15.75" customHeight="1" x14ac:dyDescent="0.35">
      <c r="B857" s="4"/>
    </row>
    <row r="858" spans="2:2" ht="15.75" customHeight="1" x14ac:dyDescent="0.35">
      <c r="B858" s="4"/>
    </row>
    <row r="859" spans="2:2" ht="15.75" customHeight="1" x14ac:dyDescent="0.35">
      <c r="B859" s="4"/>
    </row>
    <row r="860" spans="2:2" ht="15.75" customHeight="1" x14ac:dyDescent="0.35">
      <c r="B860" s="4"/>
    </row>
    <row r="861" spans="2:2" ht="15.75" customHeight="1" x14ac:dyDescent="0.35">
      <c r="B861" s="4"/>
    </row>
    <row r="862" spans="2:2" ht="15.75" customHeight="1" x14ac:dyDescent="0.35">
      <c r="B862" s="4"/>
    </row>
    <row r="863" spans="2:2" ht="15.75" customHeight="1" x14ac:dyDescent="0.35">
      <c r="B863" s="4"/>
    </row>
    <row r="864" spans="2:2" ht="15.75" customHeight="1" x14ac:dyDescent="0.35">
      <c r="B864" s="4"/>
    </row>
    <row r="865" spans="2:2" ht="15.75" customHeight="1" x14ac:dyDescent="0.35">
      <c r="B865" s="4"/>
    </row>
    <row r="866" spans="2:2" ht="15.75" customHeight="1" x14ac:dyDescent="0.35">
      <c r="B866" s="4"/>
    </row>
    <row r="867" spans="2:2" ht="15.75" customHeight="1" x14ac:dyDescent="0.35">
      <c r="B867" s="4"/>
    </row>
    <row r="868" spans="2:2" ht="15.75" customHeight="1" x14ac:dyDescent="0.35">
      <c r="B868" s="4"/>
    </row>
    <row r="869" spans="2:2" ht="15.75" customHeight="1" x14ac:dyDescent="0.35">
      <c r="B869" s="4"/>
    </row>
    <row r="870" spans="2:2" ht="15.75" customHeight="1" x14ac:dyDescent="0.35">
      <c r="B870" s="4"/>
    </row>
    <row r="871" spans="2:2" ht="15.75" customHeight="1" x14ac:dyDescent="0.35">
      <c r="B871" s="4"/>
    </row>
    <row r="872" spans="2:2" ht="15.75" customHeight="1" x14ac:dyDescent="0.35">
      <c r="B872" s="4"/>
    </row>
    <row r="873" spans="2:2" ht="15.75" customHeight="1" x14ac:dyDescent="0.35">
      <c r="B873" s="4"/>
    </row>
    <row r="874" spans="2:2" ht="15.75" customHeight="1" x14ac:dyDescent="0.35">
      <c r="B874" s="4"/>
    </row>
    <row r="875" spans="2:2" ht="15.75" customHeight="1" x14ac:dyDescent="0.35">
      <c r="B875" s="4"/>
    </row>
    <row r="876" spans="2:2" ht="15.75" customHeight="1" x14ac:dyDescent="0.35">
      <c r="B876" s="4"/>
    </row>
    <row r="877" spans="2:2" ht="15.75" customHeight="1" x14ac:dyDescent="0.35">
      <c r="B877" s="4"/>
    </row>
    <row r="878" spans="2:2" ht="15.75" customHeight="1" x14ac:dyDescent="0.35">
      <c r="B878" s="4"/>
    </row>
    <row r="879" spans="2:2" ht="15.75" customHeight="1" x14ac:dyDescent="0.35">
      <c r="B879" s="4"/>
    </row>
    <row r="880" spans="2:2" ht="15.75" customHeight="1" x14ac:dyDescent="0.35">
      <c r="B880" s="4"/>
    </row>
    <row r="881" spans="2:2" ht="15.75" customHeight="1" x14ac:dyDescent="0.35">
      <c r="B881" s="4"/>
    </row>
    <row r="882" spans="2:2" ht="15.75" customHeight="1" x14ac:dyDescent="0.35">
      <c r="B882" s="4"/>
    </row>
    <row r="883" spans="2:2" ht="15.75" customHeight="1" x14ac:dyDescent="0.35">
      <c r="B883" s="4"/>
    </row>
    <row r="884" spans="2:2" ht="15.75" customHeight="1" x14ac:dyDescent="0.35">
      <c r="B884" s="4"/>
    </row>
    <row r="885" spans="2:2" ht="15.75" customHeight="1" x14ac:dyDescent="0.35">
      <c r="B885" s="4"/>
    </row>
    <row r="886" spans="2:2" ht="15.75" customHeight="1" x14ac:dyDescent="0.35">
      <c r="B886" s="4"/>
    </row>
    <row r="887" spans="2:2" ht="15.75" customHeight="1" x14ac:dyDescent="0.35">
      <c r="B887" s="4"/>
    </row>
    <row r="888" spans="2:2" ht="15.75" customHeight="1" x14ac:dyDescent="0.35">
      <c r="B888" s="4"/>
    </row>
    <row r="889" spans="2:2" ht="15.75" customHeight="1" x14ac:dyDescent="0.35">
      <c r="B889" s="4"/>
    </row>
    <row r="890" spans="2:2" ht="15.75" customHeight="1" x14ac:dyDescent="0.35">
      <c r="B890" s="4"/>
    </row>
    <row r="891" spans="2:2" ht="15.75" customHeight="1" x14ac:dyDescent="0.35">
      <c r="B891" s="4"/>
    </row>
    <row r="892" spans="2:2" ht="15.75" customHeight="1" x14ac:dyDescent="0.35">
      <c r="B892" s="4"/>
    </row>
    <row r="893" spans="2:2" ht="15.75" customHeight="1" x14ac:dyDescent="0.35">
      <c r="B893" s="4"/>
    </row>
    <row r="894" spans="2:2" ht="15.75" customHeight="1" x14ac:dyDescent="0.35">
      <c r="B894" s="4"/>
    </row>
    <row r="895" spans="2:2" ht="15.75" customHeight="1" x14ac:dyDescent="0.35">
      <c r="B895" s="4"/>
    </row>
    <row r="896" spans="2:2" ht="15.75" customHeight="1" x14ac:dyDescent="0.35">
      <c r="B896" s="4"/>
    </row>
    <row r="897" spans="2:2" ht="15.75" customHeight="1" x14ac:dyDescent="0.35">
      <c r="B897" s="4"/>
    </row>
    <row r="898" spans="2:2" ht="15.75" customHeight="1" x14ac:dyDescent="0.35">
      <c r="B898" s="4"/>
    </row>
    <row r="899" spans="2:2" ht="15.75" customHeight="1" x14ac:dyDescent="0.35">
      <c r="B899" s="4"/>
    </row>
    <row r="900" spans="2:2" ht="15.75" customHeight="1" x14ac:dyDescent="0.35">
      <c r="B900" s="4"/>
    </row>
    <row r="901" spans="2:2" ht="15.75" customHeight="1" x14ac:dyDescent="0.35">
      <c r="B901" s="4"/>
    </row>
    <row r="902" spans="2:2" ht="15.75" customHeight="1" x14ac:dyDescent="0.35">
      <c r="B902" s="4"/>
    </row>
    <row r="903" spans="2:2" ht="15.75" customHeight="1" x14ac:dyDescent="0.35">
      <c r="B903" s="4"/>
    </row>
    <row r="904" spans="2:2" ht="15.75" customHeight="1" x14ac:dyDescent="0.35">
      <c r="B904" s="4"/>
    </row>
    <row r="905" spans="2:2" ht="15.75" customHeight="1" x14ac:dyDescent="0.35">
      <c r="B905" s="4"/>
    </row>
    <row r="906" spans="2:2" ht="15.75" customHeight="1" x14ac:dyDescent="0.35">
      <c r="B906" s="4"/>
    </row>
    <row r="907" spans="2:2" ht="15.75" customHeight="1" x14ac:dyDescent="0.35">
      <c r="B907" s="4"/>
    </row>
    <row r="908" spans="2:2" ht="15.75" customHeight="1" x14ac:dyDescent="0.35">
      <c r="B908" s="4"/>
    </row>
    <row r="909" spans="2:2" ht="15.75" customHeight="1" x14ac:dyDescent="0.35">
      <c r="B909" s="4"/>
    </row>
    <row r="910" spans="2:2" ht="15.75" customHeight="1" x14ac:dyDescent="0.35">
      <c r="B910" s="4"/>
    </row>
    <row r="911" spans="2:2" ht="15.75" customHeight="1" x14ac:dyDescent="0.35">
      <c r="B911" s="4"/>
    </row>
    <row r="912" spans="2:2" ht="15.75" customHeight="1" x14ac:dyDescent="0.35">
      <c r="B912" s="4"/>
    </row>
    <row r="913" spans="2:2" ht="15.75" customHeight="1" x14ac:dyDescent="0.35">
      <c r="B913" s="4"/>
    </row>
    <row r="914" spans="2:2" ht="15.75" customHeight="1" x14ac:dyDescent="0.35">
      <c r="B914" s="4"/>
    </row>
    <row r="915" spans="2:2" ht="15.75" customHeight="1" x14ac:dyDescent="0.35">
      <c r="B915" s="4"/>
    </row>
    <row r="916" spans="2:2" ht="15.75" customHeight="1" x14ac:dyDescent="0.35">
      <c r="B916" s="4"/>
    </row>
    <row r="917" spans="2:2" ht="15.75" customHeight="1" x14ac:dyDescent="0.35">
      <c r="B917" s="4"/>
    </row>
    <row r="918" spans="2:2" ht="15.75" customHeight="1" x14ac:dyDescent="0.35">
      <c r="B918" s="4"/>
    </row>
    <row r="919" spans="2:2" ht="15.75" customHeight="1" x14ac:dyDescent="0.35">
      <c r="B919" s="4"/>
    </row>
    <row r="920" spans="2:2" ht="15.75" customHeight="1" x14ac:dyDescent="0.35">
      <c r="B920" s="4"/>
    </row>
    <row r="921" spans="2:2" ht="15.75" customHeight="1" x14ac:dyDescent="0.35">
      <c r="B921" s="4"/>
    </row>
    <row r="922" spans="2:2" ht="15.75" customHeight="1" x14ac:dyDescent="0.35">
      <c r="B922" s="4"/>
    </row>
    <row r="923" spans="2:2" ht="15.75" customHeight="1" x14ac:dyDescent="0.35">
      <c r="B923" s="4"/>
    </row>
    <row r="924" spans="2:2" ht="15.75" customHeight="1" x14ac:dyDescent="0.35">
      <c r="B924" s="4"/>
    </row>
    <row r="925" spans="2:2" ht="15.75" customHeight="1" x14ac:dyDescent="0.35">
      <c r="B925" s="4"/>
    </row>
    <row r="926" spans="2:2" ht="15.75" customHeight="1" x14ac:dyDescent="0.35">
      <c r="B926" s="4"/>
    </row>
    <row r="927" spans="2:2" ht="15.75" customHeight="1" x14ac:dyDescent="0.35">
      <c r="B927" s="4"/>
    </row>
    <row r="928" spans="2:2" ht="15.75" customHeight="1" x14ac:dyDescent="0.35">
      <c r="B928" s="4"/>
    </row>
    <row r="929" spans="2:2" ht="15.75" customHeight="1" x14ac:dyDescent="0.35">
      <c r="B929" s="4"/>
    </row>
    <row r="930" spans="2:2" ht="15.75" customHeight="1" x14ac:dyDescent="0.35">
      <c r="B930" s="4"/>
    </row>
    <row r="931" spans="2:2" ht="15.75" customHeight="1" x14ac:dyDescent="0.35">
      <c r="B931" s="4"/>
    </row>
    <row r="932" spans="2:2" ht="15.75" customHeight="1" x14ac:dyDescent="0.35">
      <c r="B932" s="4"/>
    </row>
    <row r="933" spans="2:2" ht="15.75" customHeight="1" x14ac:dyDescent="0.35">
      <c r="B933" s="4"/>
    </row>
    <row r="934" spans="2:2" ht="15.75" customHeight="1" x14ac:dyDescent="0.35">
      <c r="B934" s="4"/>
    </row>
    <row r="935" spans="2:2" ht="15.75" customHeight="1" x14ac:dyDescent="0.35">
      <c r="B935" s="4"/>
    </row>
    <row r="936" spans="2:2" ht="15.75" customHeight="1" x14ac:dyDescent="0.35">
      <c r="B936" s="4"/>
    </row>
    <row r="937" spans="2:2" ht="15.75" customHeight="1" x14ac:dyDescent="0.35">
      <c r="B937" s="4"/>
    </row>
    <row r="938" spans="2:2" ht="15.75" customHeight="1" x14ac:dyDescent="0.35">
      <c r="B938" s="4"/>
    </row>
    <row r="939" spans="2:2" ht="15.75" customHeight="1" x14ac:dyDescent="0.35">
      <c r="B939" s="4"/>
    </row>
    <row r="940" spans="2:2" ht="15.75" customHeight="1" x14ac:dyDescent="0.35">
      <c r="B940" s="4"/>
    </row>
    <row r="941" spans="2:2" ht="15.75" customHeight="1" x14ac:dyDescent="0.35">
      <c r="B941" s="4"/>
    </row>
    <row r="942" spans="2:2" ht="15.75" customHeight="1" x14ac:dyDescent="0.35">
      <c r="B942" s="4"/>
    </row>
    <row r="943" spans="2:2" ht="15.75" customHeight="1" x14ac:dyDescent="0.35">
      <c r="B943" s="4"/>
    </row>
    <row r="944" spans="2:2" ht="15.75" customHeight="1" x14ac:dyDescent="0.35">
      <c r="B944" s="4"/>
    </row>
    <row r="945" spans="2:2" ht="15.75" customHeight="1" x14ac:dyDescent="0.35">
      <c r="B945" s="4"/>
    </row>
    <row r="946" spans="2:2" ht="15.75" customHeight="1" x14ac:dyDescent="0.35">
      <c r="B946" s="4"/>
    </row>
    <row r="947" spans="2:2" ht="15.75" customHeight="1" x14ac:dyDescent="0.35">
      <c r="B947" s="4"/>
    </row>
    <row r="948" spans="2:2" ht="15.75" customHeight="1" x14ac:dyDescent="0.35">
      <c r="B948" s="4"/>
    </row>
    <row r="949" spans="2:2" ht="15.75" customHeight="1" x14ac:dyDescent="0.35">
      <c r="B949" s="4"/>
    </row>
    <row r="950" spans="2:2" ht="15.75" customHeight="1" x14ac:dyDescent="0.35">
      <c r="B950" s="4"/>
    </row>
    <row r="951" spans="2:2" ht="15.75" customHeight="1" x14ac:dyDescent="0.35">
      <c r="B951" s="4"/>
    </row>
    <row r="952" spans="2:2" ht="15.75" customHeight="1" x14ac:dyDescent="0.35">
      <c r="B952" s="4"/>
    </row>
    <row r="953" spans="2:2" ht="15.75" customHeight="1" x14ac:dyDescent="0.35">
      <c r="B953" s="4"/>
    </row>
    <row r="954" spans="2:2" ht="15.75" customHeight="1" x14ac:dyDescent="0.35">
      <c r="B954" s="4"/>
    </row>
    <row r="955" spans="2:2" ht="15.75" customHeight="1" x14ac:dyDescent="0.35">
      <c r="B955" s="4"/>
    </row>
    <row r="956" spans="2:2" ht="15.75" customHeight="1" x14ac:dyDescent="0.35">
      <c r="B956" s="4"/>
    </row>
    <row r="957" spans="2:2" ht="15.75" customHeight="1" x14ac:dyDescent="0.35">
      <c r="B957" s="4"/>
    </row>
    <row r="958" spans="2:2" ht="15.75" customHeight="1" x14ac:dyDescent="0.35">
      <c r="B958" s="4"/>
    </row>
    <row r="959" spans="2:2" ht="15.75" customHeight="1" x14ac:dyDescent="0.35">
      <c r="B959" s="4"/>
    </row>
    <row r="960" spans="2:2" ht="15.75" customHeight="1" x14ac:dyDescent="0.35">
      <c r="B960" s="4"/>
    </row>
    <row r="961" spans="2:2" ht="15.75" customHeight="1" x14ac:dyDescent="0.35">
      <c r="B961" s="4"/>
    </row>
    <row r="962" spans="2:2" ht="15.75" customHeight="1" x14ac:dyDescent="0.35">
      <c r="B962" s="4"/>
    </row>
    <row r="963" spans="2:2" ht="15.75" customHeight="1" x14ac:dyDescent="0.35">
      <c r="B963" s="4"/>
    </row>
    <row r="964" spans="2:2" ht="15.75" customHeight="1" x14ac:dyDescent="0.35">
      <c r="B964" s="4"/>
    </row>
    <row r="965" spans="2:2" ht="15.75" customHeight="1" x14ac:dyDescent="0.35">
      <c r="B965" s="4"/>
    </row>
    <row r="966" spans="2:2" ht="15.75" customHeight="1" x14ac:dyDescent="0.35">
      <c r="B966" s="4"/>
    </row>
    <row r="967" spans="2:2" ht="15.75" customHeight="1" x14ac:dyDescent="0.35">
      <c r="B967" s="4"/>
    </row>
    <row r="968" spans="2:2" ht="15.75" customHeight="1" x14ac:dyDescent="0.35">
      <c r="B968" s="4"/>
    </row>
    <row r="969" spans="2:2" ht="15.75" customHeight="1" x14ac:dyDescent="0.35">
      <c r="B969" s="4"/>
    </row>
    <row r="970" spans="2:2" ht="15.75" customHeight="1" x14ac:dyDescent="0.35">
      <c r="B970" s="4"/>
    </row>
    <row r="971" spans="2:2" ht="15.75" customHeight="1" x14ac:dyDescent="0.35">
      <c r="B971" s="4"/>
    </row>
    <row r="972" spans="2:2" ht="15.75" customHeight="1" x14ac:dyDescent="0.35">
      <c r="B972" s="4"/>
    </row>
    <row r="973" spans="2:2" ht="15.75" customHeight="1" x14ac:dyDescent="0.35">
      <c r="B973" s="4"/>
    </row>
    <row r="974" spans="2:2" ht="15.75" customHeight="1" x14ac:dyDescent="0.35">
      <c r="B974" s="4"/>
    </row>
    <row r="975" spans="2:2" ht="15.75" customHeight="1" x14ac:dyDescent="0.35">
      <c r="B975" s="4"/>
    </row>
    <row r="976" spans="2:2" ht="15.75" customHeight="1" x14ac:dyDescent="0.35">
      <c r="B976" s="4"/>
    </row>
    <row r="977" spans="2:2" ht="15.75" customHeight="1" x14ac:dyDescent="0.35">
      <c r="B977" s="4"/>
    </row>
    <row r="978" spans="2:2" ht="15.75" customHeight="1" x14ac:dyDescent="0.35">
      <c r="B978" s="4"/>
    </row>
    <row r="979" spans="2:2" ht="15.75" customHeight="1" x14ac:dyDescent="0.35">
      <c r="B979" s="4"/>
    </row>
    <row r="980" spans="2:2" ht="15.75" customHeight="1" x14ac:dyDescent="0.35">
      <c r="B980" s="4"/>
    </row>
    <row r="981" spans="2:2" ht="15.75" customHeight="1" x14ac:dyDescent="0.35">
      <c r="B981" s="4"/>
    </row>
    <row r="982" spans="2:2" ht="15.75" customHeight="1" x14ac:dyDescent="0.35">
      <c r="B982" s="4"/>
    </row>
    <row r="983" spans="2:2" ht="15.75" customHeight="1" x14ac:dyDescent="0.35">
      <c r="B983" s="4"/>
    </row>
    <row r="984" spans="2:2" ht="15.75" customHeight="1" x14ac:dyDescent="0.35">
      <c r="B984" s="4"/>
    </row>
    <row r="985" spans="2:2" ht="15.75" customHeight="1" x14ac:dyDescent="0.35">
      <c r="B985" s="4"/>
    </row>
    <row r="986" spans="2:2" ht="15.75" customHeight="1" x14ac:dyDescent="0.35">
      <c r="B986" s="4"/>
    </row>
    <row r="987" spans="2:2" ht="15.75" customHeight="1" x14ac:dyDescent="0.35">
      <c r="B987" s="4"/>
    </row>
    <row r="988" spans="2:2" ht="15.75" customHeight="1" x14ac:dyDescent="0.35">
      <c r="B988" s="4"/>
    </row>
    <row r="989" spans="2:2" ht="15.75" customHeight="1" x14ac:dyDescent="0.35">
      <c r="B989" s="4"/>
    </row>
    <row r="990" spans="2:2" ht="15.75" customHeight="1" x14ac:dyDescent="0.35">
      <c r="B990" s="4"/>
    </row>
    <row r="991" spans="2:2" ht="15.75" customHeight="1" x14ac:dyDescent="0.35">
      <c r="B991" s="4"/>
    </row>
    <row r="992" spans="2:2" ht="15.75" customHeight="1" x14ac:dyDescent="0.35">
      <c r="B992" s="4"/>
    </row>
    <row r="993" spans="2:2" ht="15.75" customHeight="1" x14ac:dyDescent="0.35">
      <c r="B993" s="4"/>
    </row>
    <row r="994" spans="2:2" ht="15.75" customHeight="1" x14ac:dyDescent="0.35">
      <c r="B994" s="4"/>
    </row>
    <row r="995" spans="2:2" ht="15.75" customHeight="1" x14ac:dyDescent="0.35">
      <c r="B995" s="4"/>
    </row>
    <row r="996" spans="2:2" ht="15.75" customHeight="1" x14ac:dyDescent="0.35">
      <c r="B996" s="4"/>
    </row>
    <row r="997" spans="2:2" ht="15.75" customHeight="1" x14ac:dyDescent="0.35">
      <c r="B997" s="4"/>
    </row>
    <row r="998" spans="2:2" ht="15.75" customHeight="1" x14ac:dyDescent="0.35">
      <c r="B998" s="4"/>
    </row>
    <row r="999" spans="2:2" ht="15.75" customHeight="1" x14ac:dyDescent="0.35">
      <c r="B999" s="4"/>
    </row>
    <row r="1000" spans="2:2" ht="15.75" customHeight="1" x14ac:dyDescent="0.35">
      <c r="B1000" s="4"/>
    </row>
    <row r="1001" spans="2:2" ht="15" customHeight="1" x14ac:dyDescent="0.35">
      <c r="B1001" s="4"/>
    </row>
    <row r="1002" spans="2:2" ht="15" customHeight="1" x14ac:dyDescent="0.35">
      <c r="B1002" s="4"/>
    </row>
    <row r="1003" spans="2:2" ht="15" customHeight="1" x14ac:dyDescent="0.35">
      <c r="B1003" s="4"/>
    </row>
    <row r="1004" spans="2:2" ht="15" customHeight="1" x14ac:dyDescent="0.35">
      <c r="B1004" s="4"/>
    </row>
    <row r="1005" spans="2:2" ht="15" customHeight="1" x14ac:dyDescent="0.35">
      <c r="B1005" s="4"/>
    </row>
    <row r="1006" spans="2:2" ht="15" customHeight="1" x14ac:dyDescent="0.35">
      <c r="B1006" s="4"/>
    </row>
    <row r="1007" spans="2:2" ht="15" customHeight="1" x14ac:dyDescent="0.35">
      <c r="B1007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652D-846E-4DF3-81FD-0BCC540FAB62}">
  <dimension ref="A1:AF33"/>
  <sheetViews>
    <sheetView workbookViewId="0">
      <selection activeCell="B7" sqref="B7:L7"/>
    </sheetView>
  </sheetViews>
  <sheetFormatPr defaultRowHeight="14" x14ac:dyDescent="0.3"/>
  <cols>
    <col min="1" max="1" width="16.25" style="92" customWidth="1"/>
    <col min="2" max="2" width="10.9140625" style="92" bestFit="1" customWidth="1"/>
    <col min="3" max="16384" width="8.6640625" style="92"/>
  </cols>
  <sheetData>
    <row r="1" spans="1:12" x14ac:dyDescent="0.3">
      <c r="A1" s="92" t="s">
        <v>269</v>
      </c>
      <c r="B1" s="92">
        <v>2020</v>
      </c>
      <c r="C1" s="92">
        <v>2021</v>
      </c>
      <c r="D1" s="92">
        <v>2022</v>
      </c>
      <c r="E1" s="92">
        <v>2023</v>
      </c>
      <c r="F1" s="92">
        <v>2024</v>
      </c>
      <c r="G1" s="92">
        <v>2025</v>
      </c>
      <c r="H1" s="92">
        <v>2026</v>
      </c>
      <c r="I1" s="92">
        <v>2027</v>
      </c>
      <c r="J1" s="92">
        <v>2028</v>
      </c>
      <c r="K1" s="92">
        <v>2029</v>
      </c>
      <c r="L1" s="92">
        <v>2030</v>
      </c>
    </row>
    <row r="2" spans="1:12" x14ac:dyDescent="0.3">
      <c r="A2" s="92" t="s">
        <v>270</v>
      </c>
      <c r="B2" s="95">
        <f t="shared" ref="B2:L2" si="0">B13/B30</f>
        <v>0.24468611379024252</v>
      </c>
      <c r="C2" s="95">
        <f t="shared" si="0"/>
        <v>0.26196710826860486</v>
      </c>
      <c r="D2" s="95">
        <f t="shared" si="0"/>
        <v>0.23184720509305548</v>
      </c>
      <c r="E2" s="95">
        <f t="shared" si="0"/>
        <v>0.22077068803436775</v>
      </c>
      <c r="F2" s="95">
        <f t="shared" si="0"/>
        <v>0.17762065270600649</v>
      </c>
      <c r="G2" s="95">
        <f t="shared" si="0"/>
        <v>0.1420818940208072</v>
      </c>
      <c r="H2" s="95">
        <f t="shared" si="0"/>
        <v>0.11582549643515085</v>
      </c>
      <c r="I2" s="95">
        <f t="shared" si="0"/>
        <v>7.629811268096115E-2</v>
      </c>
      <c r="J2" s="95">
        <f t="shared" si="0"/>
        <v>4.6597872512891512E-2</v>
      </c>
      <c r="K2" s="95">
        <f t="shared" si="0"/>
        <v>3.9700750432066896E-2</v>
      </c>
      <c r="L2" s="95">
        <f t="shared" si="0"/>
        <v>1.5604304496320233E-2</v>
      </c>
    </row>
    <row r="3" spans="1:12" x14ac:dyDescent="0.3">
      <c r="A3" s="92" t="s">
        <v>271</v>
      </c>
      <c r="B3" s="95">
        <f>B14/B27</f>
        <v>0.31727414223919048</v>
      </c>
      <c r="C3" s="95">
        <f t="shared" ref="C3:L3" si="1">C14/C27</f>
        <v>0.361339384854722</v>
      </c>
      <c r="D3" s="95">
        <f t="shared" si="1"/>
        <v>0.33478190112401979</v>
      </c>
      <c r="E3" s="95">
        <f t="shared" si="1"/>
        <v>0.3305402613740227</v>
      </c>
      <c r="F3" s="95">
        <f t="shared" si="1"/>
        <v>0.27419305187786991</v>
      </c>
      <c r="G3" s="95">
        <f t="shared" si="1"/>
        <v>0.22466435887642214</v>
      </c>
      <c r="H3" s="95">
        <f t="shared" si="1"/>
        <v>0.18710351520593435</v>
      </c>
      <c r="I3" s="95">
        <f t="shared" si="1"/>
        <v>0.12568000837709245</v>
      </c>
      <c r="J3" s="95">
        <f t="shared" si="1"/>
        <v>7.8106452552090921E-2</v>
      </c>
      <c r="K3" s="95">
        <f t="shared" si="1"/>
        <v>6.7600272972037884E-2</v>
      </c>
      <c r="L3" s="95">
        <f t="shared" si="1"/>
        <v>2.6952885760500599E-2</v>
      </c>
    </row>
    <row r="4" spans="1:12" x14ac:dyDescent="0.3">
      <c r="A4" s="92" t="s">
        <v>272</v>
      </c>
      <c r="B4" s="95">
        <v>0</v>
      </c>
      <c r="C4" s="95">
        <v>0</v>
      </c>
      <c r="D4" s="95">
        <v>0</v>
      </c>
      <c r="E4" s="95">
        <v>0</v>
      </c>
      <c r="F4" s="95">
        <v>0</v>
      </c>
      <c r="G4" s="95">
        <v>0</v>
      </c>
      <c r="H4" s="95">
        <v>0</v>
      </c>
      <c r="I4" s="95">
        <v>0</v>
      </c>
      <c r="J4" s="95">
        <v>0</v>
      </c>
      <c r="K4" s="95">
        <v>0</v>
      </c>
      <c r="L4" s="95">
        <v>0</v>
      </c>
    </row>
    <row r="5" spans="1:12" x14ac:dyDescent="0.3">
      <c r="A5" s="92" t="s">
        <v>273</v>
      </c>
      <c r="B5" s="95">
        <v>0</v>
      </c>
      <c r="C5" s="95">
        <v>0</v>
      </c>
      <c r="D5" s="95">
        <v>0</v>
      </c>
      <c r="E5" s="95">
        <v>0</v>
      </c>
      <c r="F5" s="95">
        <v>0</v>
      </c>
      <c r="G5" s="95">
        <v>0</v>
      </c>
      <c r="H5" s="95">
        <v>0</v>
      </c>
      <c r="I5" s="95">
        <v>0</v>
      </c>
      <c r="J5" s="95">
        <v>0</v>
      </c>
      <c r="K5" s="95">
        <v>0</v>
      </c>
      <c r="L5" s="95">
        <v>0</v>
      </c>
    </row>
    <row r="6" spans="1:12" x14ac:dyDescent="0.3">
      <c r="A6" s="92" t="s">
        <v>274</v>
      </c>
      <c r="B6" s="95">
        <v>0</v>
      </c>
      <c r="C6" s="95">
        <v>0</v>
      </c>
      <c r="D6" s="95">
        <v>0</v>
      </c>
      <c r="E6" s="95">
        <v>0</v>
      </c>
      <c r="F6" s="95">
        <v>0</v>
      </c>
      <c r="G6" s="95">
        <v>0</v>
      </c>
      <c r="H6" s="95">
        <v>0</v>
      </c>
      <c r="I6" s="95">
        <v>0</v>
      </c>
      <c r="J6" s="95">
        <v>0</v>
      </c>
      <c r="K6" s="95">
        <v>0</v>
      </c>
      <c r="L6" s="95">
        <v>0</v>
      </c>
    </row>
    <row r="7" spans="1:12" x14ac:dyDescent="0.3">
      <c r="A7" s="92" t="s">
        <v>275</v>
      </c>
      <c r="B7" s="95">
        <f t="shared" ref="B7:L7" si="2">B18/B27</f>
        <v>0.43618497499787717</v>
      </c>
      <c r="C7" s="95">
        <f t="shared" si="2"/>
        <v>0.49676538225350775</v>
      </c>
      <c r="D7" s="95">
        <f t="shared" si="2"/>
        <v>0.4602544479071789</v>
      </c>
      <c r="E7" s="95">
        <f t="shared" si="2"/>
        <v>0.45442308858099817</v>
      </c>
      <c r="F7" s="95">
        <f t="shared" si="2"/>
        <v>0.37695756935582753</v>
      </c>
      <c r="G7" s="95">
        <f t="shared" si="2"/>
        <v>0.30886607105078384</v>
      </c>
      <c r="H7" s="95">
        <f t="shared" si="2"/>
        <v>0.25722783938877997</v>
      </c>
      <c r="I7" s="95">
        <f t="shared" si="2"/>
        <v>0.17278348284168366</v>
      </c>
      <c r="J7" s="95">
        <f t="shared" si="2"/>
        <v>0.10737988546171032</v>
      </c>
      <c r="K7" s="95">
        <f t="shared" si="2"/>
        <v>9.2936106195280768E-2</v>
      </c>
      <c r="L7" s="95">
        <f t="shared" si="2"/>
        <v>3.705452867539865E-2</v>
      </c>
    </row>
    <row r="8" spans="1:12" x14ac:dyDescent="0.3">
      <c r="A8" s="93" t="s">
        <v>525</v>
      </c>
      <c r="B8" s="95">
        <f t="shared" ref="B8:L8" si="3">B19/B33</f>
        <v>0.20003122103864271</v>
      </c>
      <c r="C8" s="95">
        <f t="shared" si="3"/>
        <v>0.21998092944325159</v>
      </c>
      <c r="D8" s="95">
        <f t="shared" si="3"/>
        <v>0.19847738335569889</v>
      </c>
      <c r="E8" s="95">
        <f t="shared" si="3"/>
        <v>0.19182735778637439</v>
      </c>
      <c r="F8" s="95">
        <f t="shared" si="3"/>
        <v>0.15624707115957664</v>
      </c>
      <c r="G8" s="95">
        <f t="shared" si="3"/>
        <v>0.12618016702890608</v>
      </c>
      <c r="H8" s="95">
        <f t="shared" si="3"/>
        <v>0.10372523712835408</v>
      </c>
      <c r="I8" s="95">
        <f t="shared" si="3"/>
        <v>6.8843846581215493E-2</v>
      </c>
      <c r="J8" s="95">
        <f t="shared" si="3"/>
        <v>4.2325845787660271E-2</v>
      </c>
      <c r="K8" s="95">
        <f t="shared" si="3"/>
        <v>3.6275852569997075E-2</v>
      </c>
      <c r="L8" s="95">
        <f t="shared" si="3"/>
        <v>1.4334662145321187E-2</v>
      </c>
    </row>
    <row r="10" spans="1:12" x14ac:dyDescent="0.3">
      <c r="A10" s="93" t="s">
        <v>527</v>
      </c>
    </row>
    <row r="12" spans="1:12" x14ac:dyDescent="0.3">
      <c r="B12" s="93" t="s">
        <v>524</v>
      </c>
    </row>
    <row r="13" spans="1:12" x14ac:dyDescent="0.3">
      <c r="A13" s="92" t="s">
        <v>270</v>
      </c>
      <c r="B13" s="92">
        <f>'CARB HVIP'!C5</f>
        <v>14077.636200251236</v>
      </c>
      <c r="C13" s="92">
        <f>$B$13*'LDV psg calculations'!C34</f>
        <v>14393.532311070587</v>
      </c>
      <c r="D13" s="92">
        <f>$B$13*'LDV psg calculations'!D34</f>
        <v>12348.387739673824</v>
      </c>
      <c r="E13" s="92">
        <f>$B$13*'LDV psg calculations'!E34</f>
        <v>11491.377706294063</v>
      </c>
      <c r="F13" s="92">
        <f>$B$13*'LDV psg calculations'!F34</f>
        <v>9076.9572778133388</v>
      </c>
      <c r="G13" s="92">
        <f>$B$13*'LDV psg calculations'!G34</f>
        <v>7161.1061981890398</v>
      </c>
      <c r="H13" s="92">
        <f>$B$13*'LDV psg calculations'!H34</f>
        <v>5768.843954330684</v>
      </c>
      <c r="I13" s="92">
        <f>$B$13*'LDV psg calculations'!I34</f>
        <v>3760.4254224481892</v>
      </c>
      <c r="J13" s="92">
        <f>$B$13*'LDV psg calculations'!J34</f>
        <v>2275.7743754876037</v>
      </c>
      <c r="K13" s="92">
        <f>$B$13*'LDV psg calculations'!K34</f>
        <v>1923.4346443553593</v>
      </c>
      <c r="L13" s="92">
        <f>$B$13*'LDV psg calculations'!L34</f>
        <v>750.62799569187223</v>
      </c>
    </row>
    <row r="14" spans="1:12" x14ac:dyDescent="0.3">
      <c r="A14" s="92" t="s">
        <v>271</v>
      </c>
      <c r="B14" s="94">
        <f>'CARB HVIP'!B4</f>
        <v>74197.556527181674</v>
      </c>
      <c r="C14" s="92">
        <f>$B$14*'LDV psg calculations'!C34</f>
        <v>75862.517832178128</v>
      </c>
      <c r="D14" s="92">
        <f>$B$14*'LDV psg calculations'!D34</f>
        <v>65083.383623569876</v>
      </c>
      <c r="E14" s="92">
        <f>$B$14*'LDV psg calculations'!E34</f>
        <v>60566.428540235509</v>
      </c>
      <c r="F14" s="92">
        <f>$B$14*'LDV psg calculations'!F34</f>
        <v>47840.989860453206</v>
      </c>
      <c r="G14" s="92">
        <f>$B$14*'LDV psg calculations'!G34</f>
        <v>37743.309628060983</v>
      </c>
      <c r="H14" s="92">
        <f>$B$14*'LDV psg calculations'!H34</f>
        <v>30405.255492417276</v>
      </c>
      <c r="I14" s="92">
        <f>$B$14*'LDV psg calculations'!I34</f>
        <v>19819.689462025672</v>
      </c>
      <c r="J14" s="92">
        <f>$B$14*'LDV psg calculations'!J34</f>
        <v>11994.691116207388</v>
      </c>
      <c r="K14" s="92">
        <f>$B$14*'LDV psg calculations'!K34</f>
        <v>10137.65015097843</v>
      </c>
      <c r="L14" s="92">
        <f>$B$14*'LDV psg calculations'!L34</f>
        <v>3956.2581635856463</v>
      </c>
    </row>
    <row r="15" spans="1:12" x14ac:dyDescent="0.3">
      <c r="A15" s="92" t="s">
        <v>272</v>
      </c>
    </row>
    <row r="16" spans="1:12" x14ac:dyDescent="0.3">
      <c r="A16" s="92" t="s">
        <v>273</v>
      </c>
    </row>
    <row r="17" spans="1:32" x14ac:dyDescent="0.3">
      <c r="A17" s="92" t="s">
        <v>274</v>
      </c>
    </row>
    <row r="18" spans="1:32" x14ac:dyDescent="0.3">
      <c r="A18" s="92" t="s">
        <v>275</v>
      </c>
      <c r="B18" s="92">
        <f>'CARB HVIP'!C3</f>
        <v>102005.97852160754</v>
      </c>
      <c r="C18" s="92">
        <f>$B$18*'LDV psg calculations'!C34</f>
        <v>104294.94887408213</v>
      </c>
      <c r="D18" s="92">
        <f>$B$18*'LDV psg calculations'!D34</f>
        <v>89475.91460895761</v>
      </c>
      <c r="E18" s="92">
        <f>$B$18*'LDV psg calculations'!E34</f>
        <v>83266.054813306822</v>
      </c>
      <c r="F18" s="92">
        <f>$B$18*'LDV psg calculations'!F34</f>
        <v>65771.262728443908</v>
      </c>
      <c r="G18" s="92">
        <f>$B$18*'LDV psg calculations'!G34</f>
        <v>51889.083838548504</v>
      </c>
      <c r="H18" s="92">
        <f>$B$18*'LDV psg calculations'!H34</f>
        <v>41800.808326717473</v>
      </c>
      <c r="I18" s="92">
        <f>$B$18*'LDV psg calculations'!I34</f>
        <v>27247.889448053167</v>
      </c>
      <c r="J18" s="92">
        <f>$B$18*'LDV psg calculations'!J34</f>
        <v>16490.168431960927</v>
      </c>
      <c r="K18" s="92">
        <f>$B$18*'LDV psg calculations'!K34</f>
        <v>13937.129091056289</v>
      </c>
      <c r="L18" s="92">
        <f>$B$18*'LDV psg calculations'!L34</f>
        <v>5439.0198835295914</v>
      </c>
    </row>
    <row r="19" spans="1:32" x14ac:dyDescent="0.3">
      <c r="A19" s="93" t="s">
        <v>525</v>
      </c>
      <c r="B19" s="92">
        <f>B18</f>
        <v>102005.97852160754</v>
      </c>
      <c r="C19" s="92">
        <f>$B$19*'LDV psg calculations'!C34</f>
        <v>104294.94887408213</v>
      </c>
      <c r="D19" s="92">
        <f>$B$19*'LDV psg calculations'!D34</f>
        <v>89475.91460895761</v>
      </c>
      <c r="E19" s="92">
        <f>$B$19*'LDV psg calculations'!E34</f>
        <v>83266.054813306822</v>
      </c>
      <c r="F19" s="92">
        <f>$B$19*'LDV psg calculations'!F34</f>
        <v>65771.262728443908</v>
      </c>
      <c r="G19" s="92">
        <f>$B$19*'LDV psg calculations'!G34</f>
        <v>51889.083838548504</v>
      </c>
      <c r="H19" s="92">
        <f>$B$19*'LDV psg calculations'!H34</f>
        <v>41800.808326717473</v>
      </c>
      <c r="I19" s="92">
        <f>$B$19*'LDV psg calculations'!I34</f>
        <v>27247.889448053167</v>
      </c>
      <c r="J19" s="92">
        <f>$B$19*'LDV psg calculations'!J34</f>
        <v>16490.168431960927</v>
      </c>
      <c r="K19" s="92">
        <f>$B$19*'LDV psg calculations'!K34</f>
        <v>13937.129091056289</v>
      </c>
      <c r="L19" s="92">
        <f>$B$19*'LDV psg calculations'!L34</f>
        <v>5439.0198835295914</v>
      </c>
    </row>
    <row r="21" spans="1:32" x14ac:dyDescent="0.3">
      <c r="A21" s="93" t="s">
        <v>526</v>
      </c>
    </row>
    <row r="22" spans="1:32" x14ac:dyDescent="0.3">
      <c r="B22" s="92">
        <v>2020</v>
      </c>
      <c r="C22" s="92">
        <v>2021</v>
      </c>
      <c r="D22" s="92">
        <v>2022</v>
      </c>
      <c r="E22" s="92">
        <v>2023</v>
      </c>
      <c r="F22" s="92">
        <v>2024</v>
      </c>
      <c r="G22" s="92">
        <v>2025</v>
      </c>
      <c r="H22" s="92">
        <v>2026</v>
      </c>
      <c r="I22" s="92">
        <v>2027</v>
      </c>
      <c r="J22" s="92">
        <v>2028</v>
      </c>
      <c r="K22" s="92">
        <v>2029</v>
      </c>
      <c r="L22" s="92">
        <v>2030</v>
      </c>
      <c r="M22" s="92">
        <v>2031</v>
      </c>
      <c r="N22" s="92">
        <v>2032</v>
      </c>
      <c r="O22" s="92">
        <v>2033</v>
      </c>
      <c r="P22" s="92">
        <v>2034</v>
      </c>
      <c r="Q22" s="92">
        <v>2035</v>
      </c>
      <c r="R22" s="92">
        <v>2036</v>
      </c>
      <c r="S22" s="92">
        <v>2037</v>
      </c>
      <c r="T22" s="92">
        <v>2038</v>
      </c>
      <c r="U22" s="92">
        <v>2039</v>
      </c>
      <c r="V22" s="92">
        <v>2040</v>
      </c>
      <c r="W22" s="92">
        <v>2041</v>
      </c>
      <c r="X22" s="92">
        <v>2042</v>
      </c>
      <c r="Y22" s="92">
        <v>2043</v>
      </c>
      <c r="Z22" s="92">
        <v>2044</v>
      </c>
      <c r="AA22" s="92">
        <v>2045</v>
      </c>
      <c r="AB22" s="92">
        <v>2046</v>
      </c>
      <c r="AC22" s="92">
        <v>2047</v>
      </c>
      <c r="AD22" s="92">
        <v>2048</v>
      </c>
      <c r="AE22" s="92">
        <v>2049</v>
      </c>
      <c r="AF22" s="92">
        <v>2050</v>
      </c>
    </row>
    <row r="23" spans="1:32" x14ac:dyDescent="0.3">
      <c r="A23" s="92" t="s">
        <v>424</v>
      </c>
    </row>
    <row r="24" spans="1:32" x14ac:dyDescent="0.3">
      <c r="A24" s="92" t="s">
        <v>425</v>
      </c>
      <c r="B24" s="92">
        <v>170105.71381451821</v>
      </c>
      <c r="C24" s="92">
        <v>158150.03934815663</v>
      </c>
      <c r="D24" s="92">
        <v>150378.65012075135</v>
      </c>
      <c r="E24" s="92">
        <v>144793.31276680075</v>
      </c>
      <c r="F24" s="92">
        <v>140415.59869107281</v>
      </c>
      <c r="G24" s="92">
        <v>137175.31502959738</v>
      </c>
      <c r="H24" s="92">
        <v>134428.4852892202</v>
      </c>
      <c r="I24" s="92">
        <v>132025.79821888031</v>
      </c>
      <c r="J24" s="92">
        <v>129960.24090755433</v>
      </c>
      <c r="K24" s="92">
        <v>128158.30529697014</v>
      </c>
      <c r="L24" s="92">
        <v>126568.09584555485</v>
      </c>
      <c r="M24" s="92">
        <v>125159.52078964461</v>
      </c>
      <c r="N24" s="92">
        <v>123925.6309719526</v>
      </c>
      <c r="O24" s="92">
        <v>122858.83969782633</v>
      </c>
      <c r="P24" s="92">
        <v>121931.0953231723</v>
      </c>
      <c r="Q24" s="92">
        <v>121120.14779392551</v>
      </c>
      <c r="R24" s="92">
        <v>120395.26780905634</v>
      </c>
      <c r="S24" s="92">
        <v>119759.77056286675</v>
      </c>
      <c r="T24" s="92">
        <v>119197.33509879321</v>
      </c>
      <c r="U24" s="92">
        <v>118692.59676632099</v>
      </c>
      <c r="V24" s="92">
        <v>118234.33490781266</v>
      </c>
      <c r="W24" s="92">
        <v>117825.86471757021</v>
      </c>
      <c r="X24" s="92">
        <v>117458.38817994612</v>
      </c>
      <c r="Y24" s="92">
        <v>117126.03995117541</v>
      </c>
      <c r="Z24" s="92">
        <v>116824.03850101487</v>
      </c>
      <c r="AA24" s="92">
        <v>116548.30359032366</v>
      </c>
      <c r="AB24" s="92">
        <v>116296.03005469241</v>
      </c>
      <c r="AC24" s="92">
        <v>116063.71143860943</v>
      </c>
      <c r="AD24" s="92">
        <v>115848.86134634829</v>
      </c>
      <c r="AE24" s="92">
        <v>115649.50341207514</v>
      </c>
      <c r="AF24" s="92">
        <v>115463.91628490237</v>
      </c>
    </row>
    <row r="26" spans="1:32" x14ac:dyDescent="0.3">
      <c r="A26" s="92" t="s">
        <v>432</v>
      </c>
    </row>
    <row r="27" spans="1:32" x14ac:dyDescent="0.3">
      <c r="A27" s="92" t="s">
        <v>425</v>
      </c>
      <c r="B27" s="92">
        <v>233859.45039052292</v>
      </c>
      <c r="C27" s="92">
        <v>209948.10145779976</v>
      </c>
      <c r="D27" s="92">
        <v>194405.32300298926</v>
      </c>
      <c r="E27" s="92">
        <v>183234.648295088</v>
      </c>
      <c r="F27" s="92">
        <v>174479.22014363212</v>
      </c>
      <c r="G27" s="92">
        <v>167998.65282068125</v>
      </c>
      <c r="H27" s="92">
        <v>162504.99333992691</v>
      </c>
      <c r="I27" s="92">
        <v>157699.61919924716</v>
      </c>
      <c r="J27" s="92">
        <v>153568.50457659518</v>
      </c>
      <c r="K27" s="92">
        <v>149964.63335542681</v>
      </c>
      <c r="L27" s="92">
        <v>146784.21445259621</v>
      </c>
      <c r="M27" s="92">
        <v>143967.06434077575</v>
      </c>
      <c r="N27" s="92">
        <v>141499.28470539174</v>
      </c>
      <c r="O27" s="92">
        <v>139365.70215713917</v>
      </c>
      <c r="P27" s="92">
        <v>137510.21340783112</v>
      </c>
      <c r="Q27" s="92">
        <v>135888.31834933755</v>
      </c>
      <c r="R27" s="92">
        <v>134438.55837959918</v>
      </c>
      <c r="S27" s="92">
        <v>133167.56388721999</v>
      </c>
      <c r="T27" s="92">
        <v>132042.69295907297</v>
      </c>
      <c r="U27" s="92">
        <v>131033.21629412849</v>
      </c>
      <c r="V27" s="92">
        <v>130116.69257711184</v>
      </c>
      <c r="W27" s="92">
        <v>129299.75219662691</v>
      </c>
      <c r="X27" s="92">
        <v>128564.79912137876</v>
      </c>
      <c r="Y27" s="92">
        <v>127900.10266383732</v>
      </c>
      <c r="Z27" s="92">
        <v>127296.09976351626</v>
      </c>
      <c r="AA27" s="92">
        <v>126744.62994213382</v>
      </c>
      <c r="AB27" s="92">
        <v>126240.08287087131</v>
      </c>
      <c r="AC27" s="92">
        <v>125775.44563870538</v>
      </c>
      <c r="AD27" s="92">
        <v>125345.74545418311</v>
      </c>
      <c r="AE27" s="92">
        <v>124947.02958563679</v>
      </c>
      <c r="AF27" s="92">
        <v>124575.85533129128</v>
      </c>
    </row>
    <row r="29" spans="1:32" x14ac:dyDescent="0.3">
      <c r="A29" s="93" t="s">
        <v>521</v>
      </c>
    </row>
    <row r="30" spans="1:32" x14ac:dyDescent="0.3">
      <c r="A30" s="92" t="str">
        <f>'LDV frt'!A3</f>
        <v>battery electric vehicle</v>
      </c>
      <c r="B30" s="92">
        <f>'LDV frt'!B3</f>
        <v>57533.449619128398</v>
      </c>
      <c r="C30" s="92">
        <f>'LDV frt'!C3</f>
        <v>54944.043953458269</v>
      </c>
      <c r="D30" s="92">
        <f>'LDV frt'!D3</f>
        <v>53260.886775484774</v>
      </c>
      <c r="E30" s="92">
        <f>'LDV frt'!E3</f>
        <v>52051.19306646895</v>
      </c>
      <c r="F30" s="92">
        <f>'LDV frt'!F3</f>
        <v>51103.051022097658</v>
      </c>
      <c r="G30" s="92">
        <f>'LDV frt'!G3</f>
        <v>50401.258003643525</v>
      </c>
      <c r="H30" s="92">
        <f>'LDV frt'!H3</f>
        <v>49806.339121201891</v>
      </c>
      <c r="I30" s="92">
        <f>'LDV frt'!I3</f>
        <v>49285.955973410826</v>
      </c>
      <c r="J30" s="92">
        <f>'LDV frt'!J3</f>
        <v>48838.589677200398</v>
      </c>
      <c r="K30" s="92">
        <f>'LDV frt'!K3</f>
        <v>48448.319576391987</v>
      </c>
      <c r="L30" s="92">
        <f>'LDV frt'!L3</f>
        <v>48103.905936267998</v>
      </c>
      <c r="M30" s="92">
        <f>'LDV frt'!M3</f>
        <v>47798.831367655599</v>
      </c>
      <c r="N30" s="92">
        <f>'LDV frt'!N3</f>
        <v>47531.590795512733</v>
      </c>
      <c r="O30" s="92">
        <f>'LDV frt'!O3</f>
        <v>47300.541064518278</v>
      </c>
      <c r="P30" s="92">
        <f>'LDV frt'!P3</f>
        <v>47099.606642392464</v>
      </c>
      <c r="Q30" s="92">
        <f>'LDV frt'!Q3</f>
        <v>46923.968527395191</v>
      </c>
      <c r="R30" s="92">
        <f>'LDV frt'!R3</f>
        <v>46766.971250074515</v>
      </c>
      <c r="S30" s="92">
        <f>'LDV frt'!S3</f>
        <v>46629.332827881677</v>
      </c>
      <c r="T30" s="92">
        <f>'LDV frt'!T3</f>
        <v>46507.518405672097</v>
      </c>
      <c r="U30" s="92">
        <f>'LDV frt'!U3</f>
        <v>46398.200248719782</v>
      </c>
      <c r="V30" s="92">
        <f>'LDV frt'!V3</f>
        <v>46298.94814411283</v>
      </c>
      <c r="W30" s="92">
        <f>'LDV frt'!W3</f>
        <v>46210.480109302487</v>
      </c>
      <c r="X30" s="92">
        <f>'LDV frt'!X3</f>
        <v>46130.890636437369</v>
      </c>
      <c r="Y30" s="92">
        <f>'LDV frt'!Y3</f>
        <v>46058.909386949883</v>
      </c>
      <c r="Z30" s="92">
        <f>'LDV frt'!Z3</f>
        <v>45993.500758746894</v>
      </c>
      <c r="AA30" s="92">
        <f>'LDV frt'!AA3</f>
        <v>45933.781038042238</v>
      </c>
      <c r="AB30" s="92">
        <f>'LDV frt'!AB3</f>
        <v>45879.142671607944</v>
      </c>
      <c r="AC30" s="92">
        <f>'LDV frt'!AC3</f>
        <v>45828.826217909038</v>
      </c>
      <c r="AD30" s="92">
        <f>'LDV frt'!AD3</f>
        <v>45782.293163857088</v>
      </c>
      <c r="AE30" s="92">
        <f>'LDV frt'!AE3</f>
        <v>45739.115460586923</v>
      </c>
      <c r="AF30" s="92">
        <f>'LDV frt'!AF3</f>
        <v>45698.920291345014</v>
      </c>
    </row>
    <row r="32" spans="1:32" x14ac:dyDescent="0.3">
      <c r="A32" s="93" t="s">
        <v>522</v>
      </c>
    </row>
    <row r="33" spans="1:32" x14ac:dyDescent="0.3">
      <c r="A33" s="92" t="s">
        <v>425</v>
      </c>
      <c r="B33" s="92">
        <v>509950.28671999997</v>
      </c>
      <c r="C33" s="92">
        <v>474109.04726169485</v>
      </c>
      <c r="D33" s="92">
        <v>450811.63957408897</v>
      </c>
      <c r="E33" s="92">
        <v>434067.67300644779</v>
      </c>
      <c r="F33" s="92">
        <v>420943.97187945421</v>
      </c>
      <c r="G33" s="92">
        <v>411230.10898108454</v>
      </c>
      <c r="H33" s="92">
        <v>402995.5436495301</v>
      </c>
      <c r="I33" s="92">
        <v>395792.66414041334</v>
      </c>
      <c r="J33" s="92">
        <v>389600.44684490369</v>
      </c>
      <c r="K33" s="92">
        <v>384198.52611771197</v>
      </c>
      <c r="L33" s="92">
        <v>379431.32725349092</v>
      </c>
      <c r="M33" s="92">
        <v>375208.6398579852</v>
      </c>
      <c r="N33" s="92">
        <v>371509.63144608069</v>
      </c>
      <c r="O33" s="92">
        <v>368311.55829549703</v>
      </c>
      <c r="P33" s="92">
        <v>365530.32597091113</v>
      </c>
      <c r="Q33" s="92">
        <v>363099.2322952149</v>
      </c>
      <c r="R33" s="92">
        <v>360926.15563698637</v>
      </c>
      <c r="S33" s="92">
        <v>359021.03442949115</v>
      </c>
      <c r="T33" s="92">
        <v>357334.94100126839</v>
      </c>
      <c r="U33" s="92">
        <v>355821.81453660748</v>
      </c>
      <c r="V33" s="92">
        <v>354448.01726137917</v>
      </c>
      <c r="W33" s="92">
        <v>353223.48760884884</v>
      </c>
      <c r="X33" s="92">
        <v>352121.85050611978</v>
      </c>
      <c r="Y33" s="92">
        <v>351125.52257126098</v>
      </c>
      <c r="Z33" s="92">
        <v>350220.16952552408</v>
      </c>
      <c r="AA33" s="92">
        <v>349393.55945104407</v>
      </c>
      <c r="AB33" s="92">
        <v>348637.2829042885</v>
      </c>
      <c r="AC33" s="92">
        <v>347940.82808084216</v>
      </c>
      <c r="AD33" s="92">
        <v>347296.741155756</v>
      </c>
      <c r="AE33" s="92">
        <v>346699.097293814</v>
      </c>
      <c r="AF33" s="92">
        <v>346142.73615466681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61537-22A0-48B1-8DD1-C7C5CDC82C58}">
  <dimension ref="A1:M63"/>
  <sheetViews>
    <sheetView workbookViewId="0">
      <selection activeCell="C11" sqref="C11"/>
    </sheetView>
  </sheetViews>
  <sheetFormatPr defaultRowHeight="14.5" x14ac:dyDescent="0.35"/>
  <cols>
    <col min="1" max="1" width="18.75" style="80" customWidth="1"/>
    <col min="2" max="2" width="10.1640625" style="80" bestFit="1" customWidth="1"/>
    <col min="3" max="3" width="12.08203125" style="80" bestFit="1" customWidth="1"/>
    <col min="4" max="16384" width="8.6640625" style="80"/>
  </cols>
  <sheetData>
    <row r="1" spans="1:13" x14ac:dyDescent="0.35">
      <c r="B1" s="80" t="s">
        <v>528</v>
      </c>
      <c r="C1" s="80" t="s">
        <v>529</v>
      </c>
    </row>
    <row r="2" spans="1:13" x14ac:dyDescent="0.35">
      <c r="A2" s="80" t="s">
        <v>523</v>
      </c>
      <c r="B2" s="81">
        <f>C3</f>
        <v>102005.97852160754</v>
      </c>
      <c r="C2" s="81">
        <f>C3*About!$A$58</f>
        <v>86710.163784588833</v>
      </c>
    </row>
    <row r="3" spans="1:13" x14ac:dyDescent="0.35">
      <c r="A3" s="80" t="s">
        <v>278</v>
      </c>
      <c r="B3" s="81">
        <f>C3</f>
        <v>102005.97852160754</v>
      </c>
      <c r="C3" s="82">
        <f>E56*About!$A$58</f>
        <v>102005.97852160754</v>
      </c>
    </row>
    <row r="4" spans="1:13" x14ac:dyDescent="0.35">
      <c r="A4" s="80" t="s">
        <v>279</v>
      </c>
      <c r="B4" s="83">
        <f>B3*('HDV+LDV frt'!B24/'HDV+LDV frt'!B27)</f>
        <v>74197.556527181674</v>
      </c>
      <c r="C4" s="82"/>
    </row>
    <row r="5" spans="1:13" x14ac:dyDescent="0.35">
      <c r="A5" s="80" t="s">
        <v>280</v>
      </c>
      <c r="B5" s="84">
        <f>B8*C8+B9*C9+B10*C10</f>
        <v>16560.954254973465</v>
      </c>
      <c r="C5" s="82">
        <f>B5*About!$A$58</f>
        <v>14077.636200251236</v>
      </c>
    </row>
    <row r="6" spans="1:13" x14ac:dyDescent="0.35">
      <c r="D6" s="85"/>
    </row>
    <row r="7" spans="1:13" x14ac:dyDescent="0.35">
      <c r="A7" s="80" t="s">
        <v>281</v>
      </c>
    </row>
    <row r="8" spans="1:13" x14ac:dyDescent="0.35">
      <c r="A8" s="80" t="str">
        <f>[2]CARB!B52</f>
        <v>Class 2b-3</v>
      </c>
      <c r="B8" s="86">
        <f>[2]CARB!B53</f>
        <v>0.7762312805638798</v>
      </c>
      <c r="C8" s="87">
        <f>E15</f>
        <v>7500</v>
      </c>
    </row>
    <row r="9" spans="1:13" x14ac:dyDescent="0.35">
      <c r="A9" s="80" t="s">
        <v>282</v>
      </c>
      <c r="B9" s="86">
        <f>[2]CARB!C53+[2]CARB!D53</f>
        <v>0.20702803753314639</v>
      </c>
      <c r="C9" s="87">
        <f>E19</f>
        <v>45000</v>
      </c>
    </row>
    <row r="10" spans="1:13" x14ac:dyDescent="0.35">
      <c r="A10" s="80" t="s">
        <v>283</v>
      </c>
      <c r="B10" s="86">
        <f>[2]CARB!E53</f>
        <v>1.6740681902973849E-2</v>
      </c>
      <c r="C10" s="87">
        <f>$E$37</f>
        <v>85000</v>
      </c>
    </row>
    <row r="12" spans="1:13" x14ac:dyDescent="0.35">
      <c r="A12" s="88" t="s">
        <v>284</v>
      </c>
      <c r="B12" s="89"/>
      <c r="C12" s="89"/>
      <c r="D12" s="89"/>
      <c r="E12" s="90">
        <f>E15</f>
        <v>7500</v>
      </c>
      <c r="F12" s="89"/>
      <c r="G12" s="89"/>
      <c r="H12" s="89"/>
      <c r="I12" s="89"/>
      <c r="J12" s="89"/>
      <c r="K12" s="89"/>
    </row>
    <row r="14" spans="1:13" x14ac:dyDescent="0.35">
      <c r="A14" s="80" t="s">
        <v>285</v>
      </c>
      <c r="B14" s="80" t="s">
        <v>148</v>
      </c>
      <c r="C14" s="80" t="s">
        <v>286</v>
      </c>
      <c r="D14" s="80" t="s">
        <v>287</v>
      </c>
      <c r="E14" s="80" t="s">
        <v>288</v>
      </c>
      <c r="F14" s="80" t="s">
        <v>289</v>
      </c>
      <c r="G14" s="80" t="s">
        <v>290</v>
      </c>
      <c r="H14" s="80" t="s">
        <v>291</v>
      </c>
      <c r="I14" s="80" t="s">
        <v>292</v>
      </c>
      <c r="J14" s="80" t="s">
        <v>293</v>
      </c>
      <c r="K14" s="80" t="s">
        <v>294</v>
      </c>
      <c r="L14" s="80" t="s">
        <v>295</v>
      </c>
      <c r="M14" s="80" t="s">
        <v>296</v>
      </c>
    </row>
    <row r="15" spans="1:13" x14ac:dyDescent="0.35">
      <c r="A15" s="80" t="s">
        <v>297</v>
      </c>
      <c r="B15" s="80" t="s">
        <v>298</v>
      </c>
      <c r="C15" s="80" t="s">
        <v>162</v>
      </c>
      <c r="D15" s="80" t="s">
        <v>299</v>
      </c>
      <c r="E15" s="87">
        <v>7500</v>
      </c>
      <c r="F15" s="80" t="s">
        <v>300</v>
      </c>
      <c r="G15" s="80" t="s">
        <v>301</v>
      </c>
      <c r="H15" s="80" t="s">
        <v>302</v>
      </c>
      <c r="I15" s="80">
        <v>2022</v>
      </c>
      <c r="J15" s="80" t="s">
        <v>303</v>
      </c>
      <c r="K15" s="80" t="s">
        <v>304</v>
      </c>
    </row>
    <row r="16" spans="1:13" x14ac:dyDescent="0.35">
      <c r="A16" s="80" t="s">
        <v>305</v>
      </c>
      <c r="B16" s="80" t="s">
        <v>298</v>
      </c>
      <c r="C16" s="80" t="s">
        <v>162</v>
      </c>
      <c r="D16" s="80" t="s">
        <v>299</v>
      </c>
      <c r="E16" s="87">
        <v>7500</v>
      </c>
      <c r="F16" s="80" t="s">
        <v>300</v>
      </c>
      <c r="G16" s="80" t="s">
        <v>301</v>
      </c>
      <c r="H16" s="80" t="s">
        <v>302</v>
      </c>
      <c r="I16" s="80">
        <v>2022</v>
      </c>
      <c r="J16" s="80" t="s">
        <v>303</v>
      </c>
      <c r="K16" s="80" t="s">
        <v>306</v>
      </c>
    </row>
    <row r="17" spans="1:12" x14ac:dyDescent="0.35">
      <c r="A17" s="80" t="s">
        <v>307</v>
      </c>
      <c r="B17" s="80" t="s">
        <v>298</v>
      </c>
      <c r="C17" s="80" t="s">
        <v>162</v>
      </c>
      <c r="D17" s="80" t="s">
        <v>299</v>
      </c>
      <c r="E17" s="87">
        <v>7500</v>
      </c>
      <c r="F17" s="80" t="s">
        <v>300</v>
      </c>
      <c r="G17" s="80" t="s">
        <v>301</v>
      </c>
      <c r="H17" s="80" t="s">
        <v>302</v>
      </c>
      <c r="I17" s="80">
        <v>2022</v>
      </c>
      <c r="J17" s="80" t="s">
        <v>303</v>
      </c>
      <c r="K17" s="80" t="s">
        <v>308</v>
      </c>
    </row>
    <row r="19" spans="1:12" x14ac:dyDescent="0.35">
      <c r="A19" s="88" t="s">
        <v>309</v>
      </c>
      <c r="B19" s="89"/>
      <c r="C19" s="89"/>
      <c r="D19" s="89"/>
      <c r="E19" s="90">
        <f>E22</f>
        <v>45000</v>
      </c>
      <c r="F19" s="89"/>
      <c r="G19" s="89"/>
      <c r="H19" s="89"/>
      <c r="I19" s="89"/>
      <c r="J19" s="89"/>
      <c r="K19" s="89"/>
    </row>
    <row r="21" spans="1:12" x14ac:dyDescent="0.35">
      <c r="A21" s="80" t="s">
        <v>285</v>
      </c>
      <c r="B21" s="80" t="s">
        <v>148</v>
      </c>
      <c r="C21" s="80" t="s">
        <v>286</v>
      </c>
      <c r="D21" s="80" t="s">
        <v>287</v>
      </c>
      <c r="E21" s="80" t="s">
        <v>288</v>
      </c>
      <c r="F21" s="80" t="s">
        <v>289</v>
      </c>
      <c r="G21" s="80" t="s">
        <v>290</v>
      </c>
      <c r="H21" s="80" t="s">
        <v>291</v>
      </c>
      <c r="I21" s="80" t="s">
        <v>292</v>
      </c>
      <c r="J21" s="80" t="s">
        <v>293</v>
      </c>
      <c r="K21" s="80" t="s">
        <v>294</v>
      </c>
      <c r="L21" s="80" t="s">
        <v>295</v>
      </c>
    </row>
    <row r="22" spans="1:12" x14ac:dyDescent="0.35">
      <c r="A22" s="80" t="s">
        <v>310</v>
      </c>
      <c r="B22" s="80" t="s">
        <v>311</v>
      </c>
      <c r="C22" s="80" t="s">
        <v>312</v>
      </c>
      <c r="E22" s="87">
        <v>45000</v>
      </c>
      <c r="F22" s="80" t="s">
        <v>313</v>
      </c>
      <c r="G22" s="80" t="s">
        <v>301</v>
      </c>
      <c r="H22" s="80" t="s">
        <v>314</v>
      </c>
      <c r="I22" s="80">
        <v>2022</v>
      </c>
      <c r="J22" s="80" t="s">
        <v>315</v>
      </c>
      <c r="K22" s="80" t="s">
        <v>316</v>
      </c>
    </row>
    <row r="23" spans="1:12" x14ac:dyDescent="0.35">
      <c r="A23" s="80" t="s">
        <v>317</v>
      </c>
      <c r="B23" s="80" t="s">
        <v>311</v>
      </c>
      <c r="C23" s="80" t="s">
        <v>318</v>
      </c>
      <c r="D23" s="80" t="s">
        <v>299</v>
      </c>
      <c r="E23" s="87">
        <v>60000</v>
      </c>
      <c r="F23" s="80" t="s">
        <v>319</v>
      </c>
      <c r="G23" s="80" t="s">
        <v>301</v>
      </c>
      <c r="H23" s="80" t="s">
        <v>320</v>
      </c>
      <c r="I23" s="80" t="s">
        <v>321</v>
      </c>
      <c r="J23" s="80" t="s">
        <v>322</v>
      </c>
      <c r="K23" s="80" t="s">
        <v>323</v>
      </c>
    </row>
    <row r="24" spans="1:12" x14ac:dyDescent="0.35">
      <c r="A24" s="80" t="s">
        <v>317</v>
      </c>
      <c r="B24" s="80" t="s">
        <v>311</v>
      </c>
      <c r="C24" s="80" t="s">
        <v>318</v>
      </c>
      <c r="D24" s="80" t="s">
        <v>299</v>
      </c>
      <c r="E24" s="87">
        <v>85000</v>
      </c>
      <c r="F24" s="80" t="s">
        <v>324</v>
      </c>
      <c r="G24" s="80" t="s">
        <v>301</v>
      </c>
      <c r="H24" s="80" t="s">
        <v>320</v>
      </c>
      <c r="I24" s="80" t="s">
        <v>321</v>
      </c>
      <c r="J24" s="80" t="s">
        <v>325</v>
      </c>
      <c r="K24" s="80" t="s">
        <v>323</v>
      </c>
    </row>
    <row r="25" spans="1:12" x14ac:dyDescent="0.35">
      <c r="A25" s="80" t="s">
        <v>326</v>
      </c>
      <c r="B25" s="80" t="s">
        <v>311</v>
      </c>
      <c r="C25" s="80" t="s">
        <v>327</v>
      </c>
      <c r="D25" s="80" t="s">
        <v>299</v>
      </c>
      <c r="E25" s="87">
        <v>60000</v>
      </c>
      <c r="F25" s="80" t="s">
        <v>328</v>
      </c>
      <c r="G25" s="80" t="s">
        <v>301</v>
      </c>
      <c r="H25" s="80" t="s">
        <v>329</v>
      </c>
      <c r="I25" s="80" t="s">
        <v>330</v>
      </c>
      <c r="J25" s="80" t="s">
        <v>331</v>
      </c>
      <c r="K25" s="80" t="s">
        <v>332</v>
      </c>
    </row>
    <row r="26" spans="1:12" x14ac:dyDescent="0.35">
      <c r="A26" s="80" t="s">
        <v>333</v>
      </c>
      <c r="B26" s="80" t="s">
        <v>311</v>
      </c>
      <c r="C26" s="80" t="s">
        <v>334</v>
      </c>
      <c r="D26" s="80" t="s">
        <v>299</v>
      </c>
      <c r="E26" s="87">
        <v>45000</v>
      </c>
      <c r="F26" s="80" t="s">
        <v>335</v>
      </c>
      <c r="G26" s="80" t="s">
        <v>301</v>
      </c>
      <c r="H26" s="80" t="s">
        <v>336</v>
      </c>
      <c r="I26" s="80" t="s">
        <v>330</v>
      </c>
      <c r="J26" s="80" t="s">
        <v>315</v>
      </c>
      <c r="K26" s="80" t="s">
        <v>332</v>
      </c>
    </row>
    <row r="27" spans="1:12" x14ac:dyDescent="0.35">
      <c r="A27" s="80" t="s">
        <v>337</v>
      </c>
      <c r="B27" s="80" t="s">
        <v>311</v>
      </c>
      <c r="C27" s="80" t="s">
        <v>338</v>
      </c>
      <c r="D27" s="80" t="s">
        <v>299</v>
      </c>
      <c r="E27" s="87">
        <v>60000</v>
      </c>
      <c r="F27" s="80" t="s">
        <v>339</v>
      </c>
      <c r="G27" s="80" t="s">
        <v>301</v>
      </c>
      <c r="H27" s="80" t="s">
        <v>340</v>
      </c>
      <c r="I27" s="80">
        <v>2021</v>
      </c>
      <c r="J27" s="80" t="s">
        <v>341</v>
      </c>
      <c r="K27" s="80" t="s">
        <v>316</v>
      </c>
    </row>
    <row r="28" spans="1:12" x14ac:dyDescent="0.35">
      <c r="A28" s="80" t="s">
        <v>342</v>
      </c>
      <c r="B28" s="80" t="s">
        <v>311</v>
      </c>
      <c r="C28" s="80" t="s">
        <v>338</v>
      </c>
      <c r="D28" s="80" t="s">
        <v>299</v>
      </c>
      <c r="E28" s="87">
        <v>60000</v>
      </c>
      <c r="F28" s="80" t="s">
        <v>339</v>
      </c>
      <c r="G28" s="80" t="s">
        <v>301</v>
      </c>
      <c r="H28" s="80" t="s">
        <v>340</v>
      </c>
      <c r="I28" s="80" t="s">
        <v>343</v>
      </c>
      <c r="J28" s="80" t="s">
        <v>322</v>
      </c>
      <c r="K28" s="80" t="s">
        <v>316</v>
      </c>
    </row>
    <row r="29" spans="1:12" x14ac:dyDescent="0.35">
      <c r="A29" s="80" t="s">
        <v>342</v>
      </c>
      <c r="B29" s="80" t="s">
        <v>311</v>
      </c>
      <c r="C29" s="80" t="s">
        <v>338</v>
      </c>
      <c r="D29" s="80" t="s">
        <v>299</v>
      </c>
      <c r="E29" s="87">
        <v>85000</v>
      </c>
      <c r="F29" s="80" t="s">
        <v>339</v>
      </c>
      <c r="G29" s="80" t="s">
        <v>301</v>
      </c>
      <c r="H29" s="80" t="s">
        <v>340</v>
      </c>
      <c r="I29" s="80" t="s">
        <v>343</v>
      </c>
      <c r="J29" s="80" t="s">
        <v>325</v>
      </c>
      <c r="K29" s="80" t="s">
        <v>316</v>
      </c>
    </row>
    <row r="30" spans="1:12" x14ac:dyDescent="0.35">
      <c r="A30" s="80" t="s">
        <v>344</v>
      </c>
      <c r="B30" s="80" t="s">
        <v>311</v>
      </c>
      <c r="C30" s="80" t="s">
        <v>345</v>
      </c>
      <c r="D30" s="80" t="s">
        <v>299</v>
      </c>
      <c r="E30" s="87">
        <v>60000</v>
      </c>
      <c r="F30" s="80" t="s">
        <v>346</v>
      </c>
      <c r="G30" s="80" t="s">
        <v>301</v>
      </c>
      <c r="H30" s="80" t="s">
        <v>347</v>
      </c>
      <c r="I30" s="80" t="s">
        <v>343</v>
      </c>
      <c r="J30" s="80" t="s">
        <v>331</v>
      </c>
      <c r="K30" s="80" t="s">
        <v>348</v>
      </c>
    </row>
    <row r="31" spans="1:12" x14ac:dyDescent="0.35">
      <c r="A31" s="80" t="s">
        <v>349</v>
      </c>
      <c r="B31" s="80" t="s">
        <v>311</v>
      </c>
      <c r="C31" s="80" t="s">
        <v>350</v>
      </c>
      <c r="D31" s="80" t="s">
        <v>299</v>
      </c>
      <c r="E31" s="87">
        <v>45000</v>
      </c>
      <c r="F31" s="80" t="s">
        <v>351</v>
      </c>
      <c r="G31" s="80" t="s">
        <v>301</v>
      </c>
      <c r="H31" s="80" t="s">
        <v>352</v>
      </c>
      <c r="I31" s="80" t="s">
        <v>343</v>
      </c>
      <c r="J31" s="80" t="s">
        <v>315</v>
      </c>
      <c r="K31" s="80" t="s">
        <v>316</v>
      </c>
    </row>
    <row r="32" spans="1:12" x14ac:dyDescent="0.35">
      <c r="A32" s="80" t="s">
        <v>353</v>
      </c>
      <c r="B32" s="80" t="s">
        <v>311</v>
      </c>
      <c r="C32" s="80" t="s">
        <v>350</v>
      </c>
      <c r="D32" s="80" t="s">
        <v>299</v>
      </c>
      <c r="E32" s="87">
        <v>45000</v>
      </c>
      <c r="F32" s="80" t="s">
        <v>351</v>
      </c>
      <c r="G32" s="80" t="s">
        <v>301</v>
      </c>
      <c r="H32" s="80" t="s">
        <v>354</v>
      </c>
      <c r="I32" s="80" t="s">
        <v>343</v>
      </c>
      <c r="J32" s="80" t="s">
        <v>315</v>
      </c>
      <c r="K32" s="80" t="s">
        <v>316</v>
      </c>
    </row>
    <row r="33" spans="1:11" x14ac:dyDescent="0.35">
      <c r="A33" s="80" t="s">
        <v>355</v>
      </c>
      <c r="B33" s="80" t="s">
        <v>311</v>
      </c>
      <c r="C33" s="80" t="s">
        <v>350</v>
      </c>
      <c r="D33" s="80" t="s">
        <v>299</v>
      </c>
      <c r="E33" s="87">
        <v>45000</v>
      </c>
      <c r="F33" s="80" t="s">
        <v>351</v>
      </c>
      <c r="G33" s="80" t="s">
        <v>301</v>
      </c>
      <c r="H33" s="80" t="s">
        <v>356</v>
      </c>
      <c r="I33" s="80" t="s">
        <v>343</v>
      </c>
      <c r="J33" s="80" t="s">
        <v>315</v>
      </c>
      <c r="K33" s="80" t="s">
        <v>316</v>
      </c>
    </row>
    <row r="34" spans="1:11" x14ac:dyDescent="0.35">
      <c r="A34" s="80" t="s">
        <v>357</v>
      </c>
      <c r="B34" s="80" t="s">
        <v>311</v>
      </c>
      <c r="C34" s="80" t="s">
        <v>350</v>
      </c>
      <c r="D34" s="80" t="s">
        <v>299</v>
      </c>
      <c r="E34" s="87">
        <v>45000</v>
      </c>
      <c r="F34" s="80" t="s">
        <v>351</v>
      </c>
      <c r="G34" s="80" t="s">
        <v>301</v>
      </c>
      <c r="H34" s="80" t="s">
        <v>358</v>
      </c>
      <c r="I34" s="80">
        <v>2020</v>
      </c>
      <c r="J34" s="80" t="s">
        <v>315</v>
      </c>
      <c r="K34" s="80" t="s">
        <v>316</v>
      </c>
    </row>
    <row r="35" spans="1:11" x14ac:dyDescent="0.35">
      <c r="A35" s="80" t="s">
        <v>359</v>
      </c>
      <c r="B35" s="80" t="s">
        <v>311</v>
      </c>
      <c r="C35" s="80" t="s">
        <v>360</v>
      </c>
      <c r="D35" s="80" t="s">
        <v>299</v>
      </c>
      <c r="E35" s="87">
        <v>85000</v>
      </c>
      <c r="F35" s="80" t="s">
        <v>361</v>
      </c>
      <c r="G35" s="80" t="s">
        <v>301</v>
      </c>
      <c r="H35" s="80" t="s">
        <v>362</v>
      </c>
      <c r="I35" s="80" t="s">
        <v>330</v>
      </c>
      <c r="J35" s="80" t="s">
        <v>325</v>
      </c>
      <c r="K35" s="80" t="s">
        <v>316</v>
      </c>
    </row>
    <row r="37" spans="1:11" x14ac:dyDescent="0.35">
      <c r="A37" s="88" t="s">
        <v>283</v>
      </c>
      <c r="B37" s="89"/>
      <c r="C37" s="89"/>
      <c r="D37" s="89"/>
      <c r="E37" s="90">
        <f>E40</f>
        <v>85000</v>
      </c>
      <c r="F37" s="89"/>
      <c r="G37" s="89"/>
      <c r="H37" s="89"/>
      <c r="I37" s="89"/>
      <c r="J37" s="89"/>
      <c r="K37" s="89"/>
    </row>
    <row r="39" spans="1:11" x14ac:dyDescent="0.35">
      <c r="A39" s="80" t="s">
        <v>285</v>
      </c>
      <c r="B39" s="80" t="s">
        <v>148</v>
      </c>
      <c r="C39" s="80" t="s">
        <v>286</v>
      </c>
      <c r="D39" s="80" t="s">
        <v>287</v>
      </c>
      <c r="E39" s="80" t="s">
        <v>288</v>
      </c>
      <c r="F39" s="80" t="s">
        <v>289</v>
      </c>
      <c r="G39" s="80" t="s">
        <v>290</v>
      </c>
      <c r="H39" s="80" t="s">
        <v>291</v>
      </c>
      <c r="I39" s="80" t="s">
        <v>292</v>
      </c>
      <c r="J39" s="80" t="s">
        <v>293</v>
      </c>
      <c r="K39" s="80" t="s">
        <v>294</v>
      </c>
    </row>
    <row r="40" spans="1:11" x14ac:dyDescent="0.35">
      <c r="A40" s="80" t="s">
        <v>363</v>
      </c>
      <c r="B40" s="80" t="s">
        <v>364</v>
      </c>
      <c r="C40" s="80" t="s">
        <v>365</v>
      </c>
      <c r="D40" s="80" t="s">
        <v>299</v>
      </c>
      <c r="E40" s="87">
        <v>85000</v>
      </c>
      <c r="F40" s="80" t="s">
        <v>365</v>
      </c>
      <c r="G40" s="80" t="s">
        <v>301</v>
      </c>
      <c r="H40" s="80" t="s">
        <v>366</v>
      </c>
      <c r="I40" s="80" t="s">
        <v>330</v>
      </c>
      <c r="J40" s="80" t="s">
        <v>325</v>
      </c>
      <c r="K40" s="80" t="s">
        <v>367</v>
      </c>
    </row>
    <row r="41" spans="1:11" x14ac:dyDescent="0.35">
      <c r="A41" s="80" t="s">
        <v>368</v>
      </c>
      <c r="B41" s="80" t="s">
        <v>369</v>
      </c>
      <c r="C41" s="80" t="s">
        <v>365</v>
      </c>
      <c r="D41" s="80" t="s">
        <v>299</v>
      </c>
      <c r="E41" s="87">
        <v>120000</v>
      </c>
      <c r="F41" s="80" t="s">
        <v>365</v>
      </c>
      <c r="G41" s="80" t="s">
        <v>301</v>
      </c>
      <c r="H41" s="80" t="s">
        <v>370</v>
      </c>
      <c r="I41" s="80" t="s">
        <v>330</v>
      </c>
      <c r="J41" s="80" t="s">
        <v>371</v>
      </c>
      <c r="K41" s="80" t="s">
        <v>369</v>
      </c>
    </row>
    <row r="42" spans="1:11" x14ac:dyDescent="0.35">
      <c r="A42" s="80" t="s">
        <v>372</v>
      </c>
      <c r="B42" s="80" t="s">
        <v>364</v>
      </c>
      <c r="C42" s="80" t="s">
        <v>373</v>
      </c>
      <c r="D42" s="80" t="s">
        <v>299</v>
      </c>
      <c r="E42" s="91">
        <v>120000</v>
      </c>
      <c r="F42" s="80" t="s">
        <v>374</v>
      </c>
      <c r="G42" s="80" t="s">
        <v>301</v>
      </c>
      <c r="H42" s="80" t="s">
        <v>375</v>
      </c>
      <c r="I42" s="80">
        <v>2022</v>
      </c>
      <c r="J42" s="80" t="s">
        <v>371</v>
      </c>
      <c r="K42" s="80" t="s">
        <v>364</v>
      </c>
    </row>
    <row r="43" spans="1:11" x14ac:dyDescent="0.35">
      <c r="A43" s="80" t="s">
        <v>372</v>
      </c>
      <c r="B43" s="80" t="s">
        <v>364</v>
      </c>
      <c r="C43" s="80" t="s">
        <v>373</v>
      </c>
      <c r="D43" s="80" t="s">
        <v>299</v>
      </c>
      <c r="E43" s="91">
        <v>85000</v>
      </c>
      <c r="F43" s="80" t="s">
        <v>374</v>
      </c>
      <c r="G43" s="80" t="s">
        <v>301</v>
      </c>
      <c r="H43" s="80" t="s">
        <v>376</v>
      </c>
      <c r="I43" s="80">
        <v>2022</v>
      </c>
      <c r="J43" s="80" t="s">
        <v>377</v>
      </c>
      <c r="K43" s="80" t="s">
        <v>364</v>
      </c>
    </row>
    <row r="44" spans="1:11" x14ac:dyDescent="0.35">
      <c r="A44" s="80" t="s">
        <v>378</v>
      </c>
      <c r="B44" s="80" t="s">
        <v>364</v>
      </c>
      <c r="C44" s="80" t="s">
        <v>373</v>
      </c>
      <c r="D44" s="80" t="s">
        <v>299</v>
      </c>
      <c r="E44" s="91">
        <v>120000</v>
      </c>
      <c r="F44" s="80" t="s">
        <v>374</v>
      </c>
      <c r="G44" s="80" t="s">
        <v>301</v>
      </c>
      <c r="H44" s="80" t="s">
        <v>375</v>
      </c>
      <c r="I44" s="80" t="s">
        <v>379</v>
      </c>
      <c r="J44" s="80" t="s">
        <v>371</v>
      </c>
      <c r="K44" s="80" t="s">
        <v>364</v>
      </c>
    </row>
    <row r="45" spans="1:11" x14ac:dyDescent="0.35">
      <c r="A45" s="80" t="s">
        <v>378</v>
      </c>
      <c r="B45" s="80" t="s">
        <v>364</v>
      </c>
      <c r="C45" s="80" t="s">
        <v>373</v>
      </c>
      <c r="D45" s="80" t="s">
        <v>299</v>
      </c>
      <c r="E45" s="91">
        <v>85000</v>
      </c>
      <c r="F45" s="80" t="s">
        <v>374</v>
      </c>
      <c r="G45" s="80" t="s">
        <v>301</v>
      </c>
      <c r="H45" s="80" t="s">
        <v>376</v>
      </c>
      <c r="I45" s="80">
        <v>2022</v>
      </c>
      <c r="J45" s="80" t="s">
        <v>377</v>
      </c>
      <c r="K45" s="80" t="s">
        <v>364</v>
      </c>
    </row>
    <row r="46" spans="1:11" x14ac:dyDescent="0.35">
      <c r="A46" s="80" t="s">
        <v>380</v>
      </c>
      <c r="B46" s="80" t="s">
        <v>369</v>
      </c>
      <c r="C46" s="80" t="s">
        <v>381</v>
      </c>
      <c r="E46" s="87">
        <v>120000</v>
      </c>
      <c r="F46" s="80" t="s">
        <v>382</v>
      </c>
      <c r="G46" s="80" t="s">
        <v>301</v>
      </c>
      <c r="H46" s="80" t="s">
        <v>383</v>
      </c>
      <c r="I46" s="80">
        <v>2021</v>
      </c>
      <c r="J46" s="80" t="s">
        <v>371</v>
      </c>
      <c r="K46" s="80" t="s">
        <v>369</v>
      </c>
    </row>
    <row r="47" spans="1:11" x14ac:dyDescent="0.35">
      <c r="A47" s="80" t="s">
        <v>384</v>
      </c>
      <c r="B47" s="80" t="s">
        <v>369</v>
      </c>
      <c r="C47" s="80" t="s">
        <v>381</v>
      </c>
      <c r="E47" s="87">
        <v>120000</v>
      </c>
      <c r="F47" s="80" t="s">
        <v>382</v>
      </c>
      <c r="G47" s="80" t="s">
        <v>301</v>
      </c>
      <c r="H47" s="80" t="s">
        <v>383</v>
      </c>
      <c r="I47" s="80">
        <v>2021</v>
      </c>
      <c r="J47" s="80" t="s">
        <v>371</v>
      </c>
      <c r="K47" s="80" t="s">
        <v>369</v>
      </c>
    </row>
    <row r="48" spans="1:11" x14ac:dyDescent="0.35">
      <c r="A48" s="80" t="s">
        <v>385</v>
      </c>
      <c r="B48" s="80" t="s">
        <v>369</v>
      </c>
      <c r="C48" s="80" t="s">
        <v>386</v>
      </c>
      <c r="D48" s="80" t="s">
        <v>299</v>
      </c>
      <c r="E48" s="87">
        <v>120000</v>
      </c>
      <c r="F48" s="80" t="s">
        <v>387</v>
      </c>
      <c r="G48" s="80" t="s">
        <v>301</v>
      </c>
      <c r="H48" s="80" t="s">
        <v>388</v>
      </c>
      <c r="I48" s="80" t="s">
        <v>379</v>
      </c>
      <c r="J48" s="80" t="s">
        <v>371</v>
      </c>
      <c r="K48" s="80" t="s">
        <v>364</v>
      </c>
    </row>
    <row r="49" spans="1:13" x14ac:dyDescent="0.35">
      <c r="A49" s="80" t="s">
        <v>389</v>
      </c>
      <c r="B49" s="80" t="s">
        <v>369</v>
      </c>
      <c r="C49" s="80" t="s">
        <v>390</v>
      </c>
      <c r="D49" s="80" t="s">
        <v>299</v>
      </c>
      <c r="E49" s="87">
        <v>120000</v>
      </c>
      <c r="F49" s="80" t="s">
        <v>391</v>
      </c>
      <c r="G49" s="80" t="s">
        <v>301</v>
      </c>
      <c r="H49" s="80" t="s">
        <v>392</v>
      </c>
      <c r="I49" s="80" t="s">
        <v>330</v>
      </c>
      <c r="J49" s="80" t="s">
        <v>371</v>
      </c>
      <c r="K49" s="80" t="s">
        <v>364</v>
      </c>
    </row>
    <row r="50" spans="1:13" x14ac:dyDescent="0.35">
      <c r="A50" s="80" t="s">
        <v>393</v>
      </c>
      <c r="B50" s="80" t="s">
        <v>394</v>
      </c>
      <c r="C50" s="80" t="s">
        <v>345</v>
      </c>
      <c r="D50" s="80" t="s">
        <v>299</v>
      </c>
      <c r="E50" s="87">
        <v>120000</v>
      </c>
      <c r="F50" s="80" t="s">
        <v>395</v>
      </c>
      <c r="G50" s="80" t="s">
        <v>301</v>
      </c>
      <c r="H50" s="80" t="s">
        <v>320</v>
      </c>
      <c r="I50" s="80">
        <v>2021</v>
      </c>
      <c r="J50" s="80" t="s">
        <v>371</v>
      </c>
      <c r="K50" s="80" t="s">
        <v>396</v>
      </c>
    </row>
    <row r="51" spans="1:13" x14ac:dyDescent="0.35">
      <c r="A51" s="80" t="s">
        <v>397</v>
      </c>
      <c r="B51" s="80" t="s">
        <v>369</v>
      </c>
      <c r="C51" s="80" t="s">
        <v>398</v>
      </c>
      <c r="D51" s="80" t="s">
        <v>299</v>
      </c>
      <c r="E51" s="87">
        <v>85000</v>
      </c>
      <c r="G51" s="80" t="s">
        <v>301</v>
      </c>
      <c r="H51" s="80" t="s">
        <v>399</v>
      </c>
      <c r="I51" s="80">
        <v>2021</v>
      </c>
      <c r="J51" s="80" t="s">
        <v>325</v>
      </c>
      <c r="K51" s="80" t="s">
        <v>369</v>
      </c>
    </row>
    <row r="53" spans="1:13" x14ac:dyDescent="0.35">
      <c r="A53" s="88" t="s">
        <v>400</v>
      </c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</row>
    <row r="55" spans="1:13" x14ac:dyDescent="0.35">
      <c r="A55" s="80" t="s">
        <v>285</v>
      </c>
      <c r="B55" s="80" t="s">
        <v>148</v>
      </c>
      <c r="C55" s="80" t="s">
        <v>286</v>
      </c>
      <c r="D55" s="80" t="s">
        <v>287</v>
      </c>
      <c r="E55" s="80" t="s">
        <v>288</v>
      </c>
      <c r="F55" s="80" t="s">
        <v>289</v>
      </c>
      <c r="G55" s="80" t="s">
        <v>290</v>
      </c>
      <c r="H55" s="80" t="s">
        <v>291</v>
      </c>
      <c r="I55" s="80" t="s">
        <v>292</v>
      </c>
      <c r="J55" s="80" t="s">
        <v>293</v>
      </c>
      <c r="K55" s="80" t="s">
        <v>294</v>
      </c>
      <c r="L55" s="80" t="s">
        <v>295</v>
      </c>
      <c r="M55" s="80" t="s">
        <v>296</v>
      </c>
    </row>
    <row r="56" spans="1:13" x14ac:dyDescent="0.35">
      <c r="A56" s="80" t="s">
        <v>401</v>
      </c>
      <c r="B56" s="80" t="s">
        <v>402</v>
      </c>
      <c r="C56" s="80" t="s">
        <v>365</v>
      </c>
      <c r="D56" s="80" t="s">
        <v>299</v>
      </c>
      <c r="E56" s="87">
        <v>120000</v>
      </c>
      <c r="F56" s="80" t="s">
        <v>365</v>
      </c>
      <c r="G56" s="80" t="s">
        <v>301</v>
      </c>
      <c r="H56" s="80" t="s">
        <v>403</v>
      </c>
      <c r="I56" s="80" t="s">
        <v>330</v>
      </c>
      <c r="J56" s="80" t="s">
        <v>371</v>
      </c>
      <c r="K56" s="80" t="s">
        <v>404</v>
      </c>
    </row>
    <row r="57" spans="1:13" x14ac:dyDescent="0.35">
      <c r="A57" s="80" t="s">
        <v>405</v>
      </c>
      <c r="B57" s="80" t="s">
        <v>402</v>
      </c>
      <c r="C57" s="80" t="s">
        <v>406</v>
      </c>
      <c r="D57" s="80" t="s">
        <v>299</v>
      </c>
      <c r="E57" s="87">
        <v>120000</v>
      </c>
      <c r="F57" s="80" t="s">
        <v>407</v>
      </c>
      <c r="G57" s="80" t="s">
        <v>301</v>
      </c>
      <c r="H57" s="80" t="s">
        <v>408</v>
      </c>
      <c r="I57" s="80" t="s">
        <v>330</v>
      </c>
      <c r="J57" s="80" t="s">
        <v>371</v>
      </c>
      <c r="K57" s="80" t="s">
        <v>404</v>
      </c>
    </row>
    <row r="58" spans="1:13" x14ac:dyDescent="0.35">
      <c r="A58" s="80" t="s">
        <v>409</v>
      </c>
      <c r="B58" s="80" t="s">
        <v>402</v>
      </c>
      <c r="C58" s="80" t="s">
        <v>410</v>
      </c>
      <c r="D58" s="80" t="s">
        <v>299</v>
      </c>
      <c r="E58" s="87">
        <v>120000</v>
      </c>
      <c r="F58" s="80" t="s">
        <v>411</v>
      </c>
      <c r="G58" s="80" t="s">
        <v>301</v>
      </c>
      <c r="H58" s="80" t="s">
        <v>392</v>
      </c>
      <c r="I58" s="80" t="s">
        <v>321</v>
      </c>
      <c r="J58" s="80" t="s">
        <v>371</v>
      </c>
      <c r="K58" s="80" t="s">
        <v>404</v>
      </c>
    </row>
    <row r="59" spans="1:13" x14ac:dyDescent="0.35">
      <c r="A59" s="80" t="s">
        <v>412</v>
      </c>
      <c r="B59" s="80" t="s">
        <v>402</v>
      </c>
      <c r="C59" s="80" t="s">
        <v>381</v>
      </c>
      <c r="D59" s="80" t="s">
        <v>299</v>
      </c>
      <c r="E59" s="87">
        <v>120000</v>
      </c>
      <c r="F59" s="80" t="s">
        <v>382</v>
      </c>
      <c r="G59" s="80" t="s">
        <v>301</v>
      </c>
      <c r="H59" s="80" t="s">
        <v>413</v>
      </c>
      <c r="I59" s="80">
        <v>2021</v>
      </c>
      <c r="J59" s="80" t="s">
        <v>371</v>
      </c>
      <c r="K59" s="80" t="s">
        <v>404</v>
      </c>
    </row>
    <row r="60" spans="1:13" x14ac:dyDescent="0.35">
      <c r="A60" s="80" t="s">
        <v>414</v>
      </c>
      <c r="B60" s="80" t="s">
        <v>402</v>
      </c>
      <c r="C60" s="80" t="s">
        <v>415</v>
      </c>
      <c r="D60" s="80" t="s">
        <v>299</v>
      </c>
      <c r="E60" s="87">
        <v>120000</v>
      </c>
      <c r="F60" s="80" t="s">
        <v>416</v>
      </c>
      <c r="G60" s="80" t="s">
        <v>301</v>
      </c>
      <c r="H60" s="80" t="s">
        <v>417</v>
      </c>
      <c r="I60" s="80" t="s">
        <v>379</v>
      </c>
      <c r="J60" s="80" t="s">
        <v>371</v>
      </c>
      <c r="K60" s="80" t="s">
        <v>404</v>
      </c>
    </row>
    <row r="61" spans="1:13" x14ac:dyDescent="0.35">
      <c r="A61" s="80" t="s">
        <v>418</v>
      </c>
      <c r="B61" s="80" t="s">
        <v>402</v>
      </c>
      <c r="C61" s="80" t="s">
        <v>390</v>
      </c>
      <c r="D61" s="80" t="s">
        <v>299</v>
      </c>
      <c r="E61" s="87">
        <v>120000</v>
      </c>
      <c r="F61" s="80" t="s">
        <v>391</v>
      </c>
      <c r="G61" s="80" t="s">
        <v>301</v>
      </c>
      <c r="H61" s="80" t="s">
        <v>392</v>
      </c>
      <c r="I61" s="80" t="s">
        <v>330</v>
      </c>
      <c r="J61" s="80" t="s">
        <v>371</v>
      </c>
      <c r="K61" s="80" t="s">
        <v>404</v>
      </c>
    </row>
    <row r="62" spans="1:13" x14ac:dyDescent="0.35">
      <c r="A62" s="80" t="s">
        <v>419</v>
      </c>
      <c r="B62" s="80" t="s">
        <v>402</v>
      </c>
      <c r="C62" s="80" t="s">
        <v>345</v>
      </c>
      <c r="D62" s="80" t="s">
        <v>299</v>
      </c>
      <c r="E62" s="87">
        <v>120000</v>
      </c>
      <c r="F62" s="80" t="s">
        <v>395</v>
      </c>
      <c r="G62" s="80" t="s">
        <v>301</v>
      </c>
      <c r="H62" s="80" t="s">
        <v>320</v>
      </c>
      <c r="I62" s="80">
        <v>2021</v>
      </c>
      <c r="J62" s="80" t="s">
        <v>371</v>
      </c>
      <c r="K62" s="80" t="s">
        <v>404</v>
      </c>
    </row>
    <row r="63" spans="1:13" x14ac:dyDescent="0.35">
      <c r="A63" s="80" t="s">
        <v>420</v>
      </c>
      <c r="B63" s="80" t="s">
        <v>402</v>
      </c>
      <c r="C63" s="80" t="s">
        <v>173</v>
      </c>
      <c r="D63" s="80" t="s">
        <v>299</v>
      </c>
      <c r="E63" s="87">
        <v>120000</v>
      </c>
      <c r="F63" s="80" t="s">
        <v>421</v>
      </c>
      <c r="G63" s="80" t="s">
        <v>301</v>
      </c>
      <c r="H63" s="80" t="s">
        <v>422</v>
      </c>
      <c r="I63" s="80" t="s">
        <v>379</v>
      </c>
      <c r="J63" s="80" t="s">
        <v>371</v>
      </c>
      <c r="K63" s="80" t="s">
        <v>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topLeftCell="O31" workbookViewId="0">
      <selection activeCell="A32" sqref="A32:AF32"/>
    </sheetView>
  </sheetViews>
  <sheetFormatPr defaultColWidth="12.6640625" defaultRowHeight="15" customHeight="1" x14ac:dyDescent="0.3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ht="14.5" x14ac:dyDescent="0.35">
      <c r="A1" s="1" t="s">
        <v>127</v>
      </c>
    </row>
    <row r="2" spans="1:32" ht="14.5" x14ac:dyDescent="0.35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ht="14.5" x14ac:dyDescent="0.35">
      <c r="A3" s="11">
        <f>'BAU LDV psg'!C92</f>
        <v>2745.8606136031603</v>
      </c>
      <c r="B3" s="11">
        <f>'BAU LDV psg'!D92</f>
        <v>2745.8606136031599</v>
      </c>
      <c r="C3" s="11">
        <f>'BAU LDV psg'!E92</f>
        <v>2745.8606136031603</v>
      </c>
      <c r="D3" s="11">
        <f>'BAU LDV psg'!F92</f>
        <v>1913.0458308533109</v>
      </c>
      <c r="E3" s="11">
        <f>'BAU LDV psg'!G92</f>
        <v>1531.9111519939402</v>
      </c>
      <c r="F3" s="11">
        <f>'BAU LDV psg'!H92</f>
        <v>1131.4322818029341</v>
      </c>
      <c r="G3" s="11">
        <f>'BAU LDV psg'!I92</f>
        <v>933.18813916995919</v>
      </c>
      <c r="H3" s="11">
        <f>'BAU LDV psg'!J92</f>
        <v>933.18813916995953</v>
      </c>
      <c r="I3" s="11">
        <f>'BAU LDV psg'!K92</f>
        <v>744.00735890914916</v>
      </c>
      <c r="J3" s="11">
        <f>'BAU LDV psg'!L92</f>
        <v>744.00735890914984</v>
      </c>
      <c r="K3" s="11">
        <f>'BAU LDV psg'!M92</f>
        <v>621.92251501542137</v>
      </c>
      <c r="L3" s="11">
        <f>'BAU LDV psg'!N92</f>
        <v>240.24673989502756</v>
      </c>
      <c r="M3" s="11">
        <f>'BAU LDV psg'!O92</f>
        <v>18.397272874844433</v>
      </c>
      <c r="N3" s="11">
        <f>'BAU LDV psg'!P92</f>
        <v>18.397272874844436</v>
      </c>
      <c r="O3" s="11">
        <f>'BAU LDV psg'!Q92</f>
        <v>18.397272874844433</v>
      </c>
      <c r="P3" s="11">
        <f>'BAU LDV psg'!R92</f>
        <v>18.397272874844436</v>
      </c>
      <c r="Q3" s="11">
        <f>'BAU LDV psg'!S92</f>
        <v>18.397272874844433</v>
      </c>
      <c r="R3" s="11">
        <f>'BAU LDV psg'!T92</f>
        <v>18.397272874844433</v>
      </c>
      <c r="S3" s="11">
        <f>'BAU LDV psg'!U92</f>
        <v>18.397272874844436</v>
      </c>
      <c r="T3" s="11">
        <f>'BAU LDV psg'!V92</f>
        <v>0</v>
      </c>
      <c r="U3" s="11">
        <f>'BAU LDV psg'!W92</f>
        <v>0</v>
      </c>
      <c r="V3" s="11">
        <f>'BAU LDV psg'!X92</f>
        <v>0</v>
      </c>
      <c r="W3" s="11">
        <f>'BAU LDV psg'!Y92</f>
        <v>0</v>
      </c>
      <c r="X3" s="11">
        <f>'BAU LDV psg'!Z92</f>
        <v>0</v>
      </c>
      <c r="Y3" s="11">
        <f>'BAU LDV psg'!AA92</f>
        <v>0</v>
      </c>
      <c r="Z3" s="11">
        <f>'BAU LDV psg'!AB92</f>
        <v>0</v>
      </c>
      <c r="AA3" s="11">
        <f>'BAU LDV psg'!AC92</f>
        <v>0</v>
      </c>
      <c r="AB3" s="11">
        <f>'BAU LDV psg'!AD92</f>
        <v>0</v>
      </c>
      <c r="AC3" s="11">
        <f>'BAU LDV psg'!AE92</f>
        <v>0</v>
      </c>
      <c r="AD3" s="11">
        <f>'BAU LDV psg'!AF92</f>
        <v>0</v>
      </c>
      <c r="AE3" s="11">
        <f>'BAU LDV psg'!AG92</f>
        <v>0</v>
      </c>
      <c r="AF3" s="11">
        <f>'BAU LDV psg'!AH92</f>
        <v>0</v>
      </c>
    </row>
    <row r="4" spans="1:32" ht="14.5" x14ac:dyDescent="0.35">
      <c r="A4" s="32"/>
    </row>
    <row r="5" spans="1:32" ht="14.5" x14ac:dyDescent="0.35">
      <c r="A5" s="33" t="s">
        <v>128</v>
      </c>
    </row>
    <row r="6" spans="1:32" ht="14.5" x14ac:dyDescent="0.35">
      <c r="A6" s="32" t="s">
        <v>129</v>
      </c>
    </row>
    <row r="7" spans="1:32" ht="14.5" x14ac:dyDescent="0.35">
      <c r="A7" s="32" t="s">
        <v>130</v>
      </c>
    </row>
    <row r="8" spans="1:32" ht="14.5" x14ac:dyDescent="0.35">
      <c r="A8" s="33" t="s">
        <v>131</v>
      </c>
      <c r="B8" s="1" t="s">
        <v>2</v>
      </c>
      <c r="C8" s="1" t="s">
        <v>132</v>
      </c>
    </row>
    <row r="9" spans="1:32" ht="14.5" x14ac:dyDescent="0.35">
      <c r="A9" s="32">
        <v>2500</v>
      </c>
      <c r="B9" s="8" t="s">
        <v>15</v>
      </c>
      <c r="C9" s="8">
        <v>39250017</v>
      </c>
    </row>
    <row r="10" spans="1:32" ht="14.5" x14ac:dyDescent="0.35">
      <c r="A10" s="32">
        <v>5000</v>
      </c>
      <c r="B10" s="8" t="s">
        <v>18</v>
      </c>
      <c r="C10" s="8">
        <v>5540545</v>
      </c>
    </row>
    <row r="11" spans="1:32" ht="14.5" x14ac:dyDescent="0.35">
      <c r="A11" s="32">
        <v>3500</v>
      </c>
      <c r="B11" s="8" t="s">
        <v>23</v>
      </c>
      <c r="C11" s="8">
        <v>952065</v>
      </c>
    </row>
    <row r="12" spans="1:32" ht="14.5" x14ac:dyDescent="0.35">
      <c r="A12" s="34">
        <v>1500</v>
      </c>
      <c r="B12" s="8" t="s">
        <v>50</v>
      </c>
      <c r="C12" s="8">
        <v>4681666</v>
      </c>
    </row>
    <row r="13" spans="1:32" ht="14.5" x14ac:dyDescent="0.35">
      <c r="A13" s="32">
        <v>2500</v>
      </c>
      <c r="B13" s="8" t="s">
        <v>58</v>
      </c>
      <c r="C13" s="8">
        <v>6811779</v>
      </c>
    </row>
    <row r="14" spans="1:32" ht="14.5" x14ac:dyDescent="0.35">
      <c r="A14" s="32">
        <v>1500</v>
      </c>
      <c r="B14" s="8" t="s">
        <v>96</v>
      </c>
      <c r="C14" s="8">
        <v>3923561</v>
      </c>
    </row>
    <row r="15" spans="1:32" ht="14.5" x14ac:dyDescent="0.35">
      <c r="A15" s="32">
        <v>2500</v>
      </c>
      <c r="B15" s="8" t="s">
        <v>103</v>
      </c>
      <c r="C15" s="8">
        <v>1056426</v>
      </c>
    </row>
    <row r="16" spans="1:32" ht="14.5" x14ac:dyDescent="0.35">
      <c r="A16" s="35" t="s">
        <v>133</v>
      </c>
    </row>
    <row r="17" spans="1:34" ht="14.5" x14ac:dyDescent="0.35">
      <c r="A17" s="32"/>
    </row>
    <row r="18" spans="1:34" ht="14.5" x14ac:dyDescent="0.35">
      <c r="B18" s="32" t="s">
        <v>134</v>
      </c>
      <c r="C18" s="8">
        <v>323127513</v>
      </c>
    </row>
    <row r="19" spans="1:34" ht="14.5" x14ac:dyDescent="0.35">
      <c r="A19" s="32"/>
      <c r="B19" s="8" t="s">
        <v>135</v>
      </c>
      <c r="C19" s="8">
        <f>C18-SUM(C9:C15)</f>
        <v>260911454</v>
      </c>
    </row>
    <row r="20" spans="1:34" ht="14.5" x14ac:dyDescent="0.35">
      <c r="A20" s="32"/>
    </row>
    <row r="21" spans="1:34" ht="15.75" customHeight="1" x14ac:dyDescent="0.35">
      <c r="A21" s="32" t="s">
        <v>136</v>
      </c>
      <c r="C21" s="8" t="str">
        <f>About!B2</f>
        <v>CA</v>
      </c>
    </row>
    <row r="22" spans="1:34" ht="15.75" customHeight="1" x14ac:dyDescent="0.35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  <c r="J22" s="10">
        <f t="shared" ref="J22" si="1">I22+1</f>
        <v>2027</v>
      </c>
      <c r="K22" s="10">
        <f t="shared" ref="K22" si="2">J22+1</f>
        <v>2028</v>
      </c>
      <c r="L22" s="10">
        <f t="shared" ref="L22" si="3">K22+1</f>
        <v>2029</v>
      </c>
    </row>
    <row r="23" spans="1:34" ht="15.75" customHeight="1" x14ac:dyDescent="0.35">
      <c r="A23" s="32"/>
      <c r="B23" s="8" t="s">
        <v>137</v>
      </c>
      <c r="C23" s="8">
        <f>SUMIFS(C$41:C$54,$A$41:$A$54,$C$21,$B$41:$B$54,$B23)</f>
        <v>2500</v>
      </c>
      <c r="D23" s="10">
        <f>SUMIFS(D$41:D$54,$A$41:$A$54,$C$21,$B$41:$B$54,$B23)</f>
        <v>2500</v>
      </c>
      <c r="E23" s="10">
        <f>SUMIFS(E$41:E$54,$A$41:$A$54,$C$21,$B$41:$B$54,$B23)</f>
        <v>2500</v>
      </c>
      <c r="F23" s="10">
        <f>SUMIFS(F$41:F$54,$A$41:$A$54,$C$21,$B$41:$B$54,$B23)</f>
        <v>2500</v>
      </c>
      <c r="G23" s="10">
        <f>SUMIFS(G$41:G$54,$A$41:$A$54,$C$21,$B$41:$B$54,$B23)-B24</f>
        <v>2000</v>
      </c>
      <c r="H23" s="10">
        <f>G23-B24</f>
        <v>1500</v>
      </c>
      <c r="I23" s="10">
        <f>H23-B24</f>
        <v>1000</v>
      </c>
      <c r="J23" s="10">
        <f>I23-$B$24</f>
        <v>500</v>
      </c>
      <c r="K23" s="10">
        <f t="shared" ref="K23" si="4">J23-$B$24</f>
        <v>0</v>
      </c>
      <c r="L23" s="10">
        <v>0</v>
      </c>
    </row>
    <row r="24" spans="1:34" s="74" customFormat="1" ht="15.75" customHeight="1" x14ac:dyDescent="0.35">
      <c r="A24" s="77" t="s">
        <v>591</v>
      </c>
      <c r="B24" s="72">
        <v>500</v>
      </c>
      <c r="C24" s="72"/>
      <c r="D24" s="73"/>
      <c r="E24" s="73"/>
      <c r="F24" s="73"/>
      <c r="G24" s="73"/>
      <c r="H24" s="73"/>
      <c r="I24" s="73"/>
    </row>
    <row r="25" spans="1:34" ht="15.75" customHeight="1" x14ac:dyDescent="0.3"/>
    <row r="26" spans="1:34" ht="15.75" customHeight="1" x14ac:dyDescent="0.35">
      <c r="A26" s="1" t="s">
        <v>520</v>
      </c>
    </row>
    <row r="27" spans="1:34" ht="15.75" customHeight="1" x14ac:dyDescent="0.35">
      <c r="A27" s="1" t="s">
        <v>139</v>
      </c>
      <c r="B27" s="8">
        <v>2018</v>
      </c>
      <c r="C27" s="8">
        <v>2019</v>
      </c>
      <c r="D27" s="8">
        <v>2020</v>
      </c>
      <c r="E27" s="8">
        <v>2021</v>
      </c>
      <c r="F27" s="8">
        <v>2022</v>
      </c>
      <c r="G27" s="8">
        <v>2023</v>
      </c>
      <c r="H27" s="8">
        <v>2024</v>
      </c>
      <c r="I27" s="8">
        <v>2025</v>
      </c>
      <c r="J27" s="8">
        <v>2026</v>
      </c>
      <c r="K27" s="8">
        <v>2027</v>
      </c>
      <c r="L27" s="8">
        <v>2028</v>
      </c>
      <c r="M27" s="8">
        <v>2029</v>
      </c>
      <c r="N27" s="8">
        <v>2030</v>
      </c>
      <c r="O27" s="8">
        <v>2031</v>
      </c>
      <c r="P27" s="8">
        <v>2032</v>
      </c>
      <c r="Q27" s="8">
        <v>2033</v>
      </c>
      <c r="R27" s="8">
        <v>2034</v>
      </c>
      <c r="S27" s="8">
        <v>2035</v>
      </c>
      <c r="T27" s="8">
        <v>2036</v>
      </c>
      <c r="U27" s="8">
        <v>2037</v>
      </c>
      <c r="V27" s="8">
        <v>2038</v>
      </c>
      <c r="W27" s="8">
        <v>2039</v>
      </c>
      <c r="X27" s="8">
        <v>2040</v>
      </c>
      <c r="Y27" s="8">
        <v>2041</v>
      </c>
      <c r="Z27" s="8">
        <v>2042</v>
      </c>
      <c r="AA27" s="8">
        <v>2043</v>
      </c>
      <c r="AB27" s="8">
        <v>2044</v>
      </c>
      <c r="AC27" s="8">
        <v>2045</v>
      </c>
      <c r="AD27" s="8">
        <v>2046</v>
      </c>
      <c r="AE27" s="8">
        <v>2047</v>
      </c>
      <c r="AF27" s="8">
        <v>2048</v>
      </c>
      <c r="AG27" s="8">
        <v>2049</v>
      </c>
      <c r="AH27" s="8">
        <v>2050</v>
      </c>
    </row>
    <row r="28" spans="1:34" ht="15.75" customHeight="1" x14ac:dyDescent="0.35">
      <c r="A28" s="8" t="s">
        <v>140</v>
      </c>
      <c r="B28" s="8">
        <v>53703</v>
      </c>
      <c r="C28" s="8">
        <v>51776.5</v>
      </c>
      <c r="D28" s="8">
        <v>50407.6</v>
      </c>
      <c r="E28" s="8">
        <v>49301.3</v>
      </c>
      <c r="F28" s="8">
        <v>48343.4</v>
      </c>
      <c r="G28" s="8">
        <v>47462.2</v>
      </c>
      <c r="H28" s="8">
        <v>46667.199999999997</v>
      </c>
      <c r="I28" s="8">
        <v>45962.6</v>
      </c>
      <c r="J28" s="8">
        <v>45330.9</v>
      </c>
      <c r="K28" s="8">
        <v>44750.2</v>
      </c>
      <c r="L28" s="8">
        <v>44223.9</v>
      </c>
      <c r="M28" s="8">
        <v>43738.9</v>
      </c>
      <c r="N28" s="8">
        <v>43295.4</v>
      </c>
      <c r="O28" s="8">
        <v>42905</v>
      </c>
      <c r="P28" s="8">
        <v>42563.199999999997</v>
      </c>
      <c r="Q28" s="8">
        <v>42259.5</v>
      </c>
      <c r="R28" s="8">
        <v>41992</v>
      </c>
      <c r="S28" s="8">
        <v>41757.9</v>
      </c>
      <c r="T28" s="8">
        <v>41553.699999999997</v>
      </c>
      <c r="U28" s="8">
        <v>41372.699999999997</v>
      </c>
      <c r="V28" s="8">
        <v>41211.300000000003</v>
      </c>
      <c r="W28" s="8">
        <v>41067.5</v>
      </c>
      <c r="X28" s="8">
        <v>40939.800000000003</v>
      </c>
      <c r="Y28" s="8">
        <v>40826.300000000003</v>
      </c>
      <c r="Z28" s="8">
        <v>40724.300000000003</v>
      </c>
      <c r="AA28" s="8">
        <v>40632.300000000003</v>
      </c>
      <c r="AB28" s="8">
        <v>40548.800000000003</v>
      </c>
      <c r="AC28" s="8">
        <v>40472.800000000003</v>
      </c>
      <c r="AD28" s="8">
        <v>40403.199999999997</v>
      </c>
      <c r="AE28" s="8">
        <v>40339.300000000003</v>
      </c>
      <c r="AF28" s="8">
        <v>40280.300000000003</v>
      </c>
      <c r="AG28" s="8">
        <v>40225.5</v>
      </c>
      <c r="AH28" s="8">
        <v>40174.6</v>
      </c>
    </row>
    <row r="29" spans="1:34" ht="15.75" customHeight="1" x14ac:dyDescent="0.35">
      <c r="A29" s="7" t="s">
        <v>141</v>
      </c>
      <c r="B29" s="8">
        <v>117430</v>
      </c>
      <c r="C29" s="10">
        <v>117430</v>
      </c>
      <c r="D29" s="10">
        <v>117430</v>
      </c>
      <c r="E29" s="10">
        <v>117430</v>
      </c>
      <c r="F29" s="10">
        <v>117430</v>
      </c>
      <c r="G29" s="10">
        <v>117430</v>
      </c>
      <c r="H29" s="10">
        <v>117430</v>
      </c>
      <c r="I29" s="10">
        <v>117430</v>
      </c>
      <c r="J29" s="10">
        <v>117430</v>
      </c>
      <c r="K29" s="10">
        <v>117430</v>
      </c>
      <c r="L29" s="10">
        <v>117430</v>
      </c>
      <c r="M29" s="10">
        <v>117430</v>
      </c>
      <c r="N29" s="10">
        <v>117430</v>
      </c>
      <c r="O29" s="10">
        <v>117430</v>
      </c>
      <c r="P29" s="10">
        <v>117430</v>
      </c>
      <c r="Q29" s="10">
        <v>117430</v>
      </c>
      <c r="R29" s="10">
        <v>117430</v>
      </c>
      <c r="S29" s="10">
        <v>117430</v>
      </c>
      <c r="T29" s="10">
        <v>117430</v>
      </c>
      <c r="U29" s="10">
        <v>117430</v>
      </c>
      <c r="V29" s="10">
        <v>117430</v>
      </c>
      <c r="W29" s="10">
        <v>117430</v>
      </c>
      <c r="X29" s="10">
        <v>117430</v>
      </c>
      <c r="Y29" s="10">
        <v>117430</v>
      </c>
      <c r="Z29" s="10">
        <v>117430</v>
      </c>
      <c r="AA29" s="10">
        <v>117430</v>
      </c>
      <c r="AB29" s="10">
        <v>117430</v>
      </c>
      <c r="AC29" s="10">
        <v>117430</v>
      </c>
      <c r="AD29" s="10">
        <v>117430</v>
      </c>
      <c r="AE29" s="10">
        <v>117430</v>
      </c>
      <c r="AF29" s="10">
        <v>117430</v>
      </c>
      <c r="AG29" s="10">
        <v>117430</v>
      </c>
      <c r="AH29" s="10">
        <v>117430</v>
      </c>
    </row>
    <row r="30" spans="1:34" ht="15.75" customHeight="1" x14ac:dyDescent="0.35">
      <c r="A30" s="1" t="s">
        <v>142</v>
      </c>
    </row>
    <row r="31" spans="1:34" ht="15.75" customHeight="1" x14ac:dyDescent="0.35">
      <c r="A31" s="8">
        <v>2019</v>
      </c>
      <c r="B31" s="8">
        <v>2020</v>
      </c>
      <c r="C31" s="8">
        <v>2021</v>
      </c>
      <c r="D31" s="8">
        <v>2022</v>
      </c>
      <c r="E31" s="8">
        <v>2023</v>
      </c>
      <c r="F31" s="8">
        <v>2024</v>
      </c>
      <c r="G31" s="8">
        <v>2025</v>
      </c>
      <c r="H31" s="8">
        <v>2026</v>
      </c>
      <c r="I31" s="8">
        <v>2027</v>
      </c>
      <c r="J31" s="8">
        <v>2028</v>
      </c>
      <c r="K31" s="8">
        <v>2029</v>
      </c>
      <c r="L31" s="8">
        <v>2030</v>
      </c>
      <c r="M31" s="8">
        <v>2031</v>
      </c>
      <c r="N31" s="8">
        <v>2032</v>
      </c>
      <c r="O31" s="8">
        <v>2033</v>
      </c>
      <c r="P31" s="8">
        <v>2034</v>
      </c>
      <c r="Q31" s="8">
        <v>2035</v>
      </c>
      <c r="R31" s="8">
        <v>2036</v>
      </c>
      <c r="S31" s="8">
        <v>2037</v>
      </c>
      <c r="T31" s="8">
        <v>2038</v>
      </c>
      <c r="U31" s="8">
        <v>2039</v>
      </c>
      <c r="V31" s="8">
        <v>2040</v>
      </c>
      <c r="W31" s="8">
        <v>2041</v>
      </c>
      <c r="X31" s="8">
        <v>2042</v>
      </c>
      <c r="Y31" s="8">
        <v>2043</v>
      </c>
      <c r="Z31" s="8">
        <v>2044</v>
      </c>
      <c r="AA31" s="8">
        <v>2045</v>
      </c>
      <c r="AB31" s="8">
        <v>2046</v>
      </c>
      <c r="AC31" s="8">
        <v>2047</v>
      </c>
      <c r="AD31" s="8">
        <v>2048</v>
      </c>
      <c r="AE31" s="8">
        <v>2049</v>
      </c>
      <c r="AF31" s="8">
        <v>2050</v>
      </c>
    </row>
    <row r="32" spans="1:34" ht="15.75" customHeight="1" x14ac:dyDescent="0.35">
      <c r="A32" s="12">
        <f>(A3+C23)/C28</f>
        <v>0.10131740487679083</v>
      </c>
      <c r="B32" s="12">
        <f t="shared" ref="B32:AF32" si="5">(B3+C23)/D28</f>
        <v>0.10406884306341027</v>
      </c>
      <c r="C32" s="12">
        <f t="shared" si="5"/>
        <v>0.10640410321032427</v>
      </c>
      <c r="D32" s="12">
        <f t="shared" si="5"/>
        <v>9.1285383958375099E-2</v>
      </c>
      <c r="E32" s="12">
        <f t="shared" si="5"/>
        <v>8.4949942311859553E-2</v>
      </c>
      <c r="F32" s="12">
        <f t="shared" si="5"/>
        <v>6.7101353451737719E-2</v>
      </c>
      <c r="G32" s="12">
        <f t="shared" si="5"/>
        <v>5.293843557957903E-2</v>
      </c>
      <c r="H32" s="12">
        <f t="shared" si="5"/>
        <v>4.2646145105655509E-2</v>
      </c>
      <c r="I32" s="12">
        <f t="shared" si="5"/>
        <v>2.7798922885465299E-2</v>
      </c>
      <c r="J32" s="12">
        <f t="shared" si="5"/>
        <v>1.6823648726348193E-2</v>
      </c>
      <c r="K32" s="12">
        <f t="shared" si="5"/>
        <v>1.4218979329965348E-2</v>
      </c>
      <c r="L32" s="12">
        <f t="shared" si="5"/>
        <v>5.5490130566995003E-3</v>
      </c>
      <c r="M32" s="12">
        <f t="shared" si="5"/>
        <v>4.2879088392598608E-4</v>
      </c>
      <c r="N32" s="12">
        <f t="shared" si="5"/>
        <v>4.3223425106299427E-4</v>
      </c>
      <c r="O32" s="12">
        <f t="shared" si="5"/>
        <v>4.3534052402050265E-4</v>
      </c>
      <c r="P32" s="12">
        <f t="shared" si="5"/>
        <v>4.3811375678330243E-4</v>
      </c>
      <c r="Q32" s="12">
        <f t="shared" si="5"/>
        <v>4.4056987719316422E-4</v>
      </c>
      <c r="R32" s="12">
        <f t="shared" si="5"/>
        <v>4.4273489183500951E-4</v>
      </c>
      <c r="S32" s="12">
        <f t="shared" si="5"/>
        <v>4.446717974617184E-4</v>
      </c>
      <c r="T32" s="12">
        <f t="shared" si="5"/>
        <v>0</v>
      </c>
      <c r="U32" s="12">
        <f t="shared" si="5"/>
        <v>0</v>
      </c>
      <c r="V32" s="12">
        <f t="shared" si="5"/>
        <v>0</v>
      </c>
      <c r="W32" s="12">
        <f t="shared" si="5"/>
        <v>0</v>
      </c>
      <c r="X32" s="12">
        <f t="shared" si="5"/>
        <v>0</v>
      </c>
      <c r="Y32" s="12">
        <f t="shared" si="5"/>
        <v>0</v>
      </c>
      <c r="Z32" s="12">
        <f t="shared" si="5"/>
        <v>0</v>
      </c>
      <c r="AA32" s="12">
        <f t="shared" si="5"/>
        <v>0</v>
      </c>
      <c r="AB32" s="12">
        <f t="shared" si="5"/>
        <v>0</v>
      </c>
      <c r="AC32" s="12">
        <f t="shared" si="5"/>
        <v>0</v>
      </c>
      <c r="AD32" s="12">
        <f t="shared" si="5"/>
        <v>0</v>
      </c>
      <c r="AE32" s="12">
        <f t="shared" si="5"/>
        <v>0</v>
      </c>
      <c r="AF32" s="12">
        <f t="shared" si="5"/>
        <v>0</v>
      </c>
      <c r="AG32" s="12"/>
      <c r="AH32" s="12"/>
    </row>
    <row r="33" spans="1:32" ht="15.75" customHeight="1" x14ac:dyDescent="0.3"/>
    <row r="34" spans="1:32" ht="15.75" customHeight="1" x14ac:dyDescent="0.35">
      <c r="A34" s="1" t="s">
        <v>519</v>
      </c>
      <c r="B34" s="8"/>
      <c r="C34" s="10">
        <f>C32/$B$32</f>
        <v>1.0224395705589915</v>
      </c>
      <c r="D34" s="10">
        <f t="shared" ref="D34:L34" si="6">D32/$B$32</f>
        <v>0.8771634359647289</v>
      </c>
      <c r="E34" s="10">
        <f t="shared" si="6"/>
        <v>0.81628602578101728</v>
      </c>
      <c r="F34" s="10">
        <f t="shared" si="6"/>
        <v>0.64477850888427901</v>
      </c>
      <c r="G34" s="10">
        <f t="shared" si="6"/>
        <v>0.50868669258985677</v>
      </c>
      <c r="H34" s="10">
        <f t="shared" si="6"/>
        <v>0.4097878274640831</v>
      </c>
      <c r="I34" s="10">
        <f t="shared" si="6"/>
        <v>0.26712051433614109</v>
      </c>
      <c r="J34" s="10">
        <f t="shared" si="6"/>
        <v>0.16165884265761812</v>
      </c>
      <c r="K34" s="10">
        <f t="shared" si="6"/>
        <v>0.13663051218222508</v>
      </c>
      <c r="L34" s="10">
        <f t="shared" si="6"/>
        <v>5.3320599070352179E-2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</row>
    <row r="35" spans="1:32" s="74" customFormat="1" ht="15.75" customHeight="1" x14ac:dyDescent="0.35">
      <c r="A35" s="71"/>
      <c r="B35" s="72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</row>
    <row r="36" spans="1:32" ht="15.75" customHeight="1" x14ac:dyDescent="0.35">
      <c r="A36" s="1" t="s">
        <v>277</v>
      </c>
    </row>
    <row r="37" spans="1:32" ht="15.75" customHeight="1" x14ac:dyDescent="0.35">
      <c r="A37" s="8" t="s">
        <v>143</v>
      </c>
      <c r="B37" s="7" t="s">
        <v>144</v>
      </c>
    </row>
    <row r="38" spans="1:32" ht="15.75" customHeight="1" x14ac:dyDescent="0.35">
      <c r="A38" s="8" t="s">
        <v>145</v>
      </c>
      <c r="B38" s="7" t="s">
        <v>146</v>
      </c>
    </row>
    <row r="39" spans="1:32" ht="15.75" customHeight="1" x14ac:dyDescent="0.35">
      <c r="A39" s="8" t="s">
        <v>147</v>
      </c>
    </row>
    <row r="40" spans="1:32" ht="15.75" customHeight="1" x14ac:dyDescent="0.35">
      <c r="A40" s="8" t="s">
        <v>2</v>
      </c>
      <c r="B40" s="8" t="s">
        <v>148</v>
      </c>
      <c r="C40" s="8">
        <v>2020</v>
      </c>
      <c r="D40" s="8">
        <f t="shared" ref="D40:I40" si="7">C40+1</f>
        <v>2021</v>
      </c>
      <c r="E40" s="10">
        <f t="shared" si="7"/>
        <v>2022</v>
      </c>
      <c r="F40" s="10">
        <f t="shared" si="7"/>
        <v>2023</v>
      </c>
      <c r="G40" s="10">
        <f t="shared" si="7"/>
        <v>2024</v>
      </c>
      <c r="H40" s="10">
        <f t="shared" si="7"/>
        <v>2025</v>
      </c>
      <c r="I40" s="10">
        <f t="shared" si="7"/>
        <v>2026</v>
      </c>
    </row>
    <row r="41" spans="1:32" ht="15.75" customHeight="1" x14ac:dyDescent="0.35">
      <c r="A41" s="8" t="s">
        <v>19</v>
      </c>
      <c r="B41" s="8" t="s">
        <v>137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149</v>
      </c>
    </row>
    <row r="42" spans="1:32" ht="15.75" customHeight="1" x14ac:dyDescent="0.35">
      <c r="A42" s="10" t="s">
        <v>19</v>
      </c>
      <c r="B42" s="10" t="s">
        <v>138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150</v>
      </c>
    </row>
    <row r="43" spans="1:32" ht="15.75" customHeight="1" x14ac:dyDescent="0.35">
      <c r="A43" s="8" t="s">
        <v>21</v>
      </c>
      <c r="B43" s="8" t="s">
        <v>137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151</v>
      </c>
    </row>
    <row r="44" spans="1:32" ht="15.75" customHeight="1" x14ac:dyDescent="0.35">
      <c r="A44" s="8" t="s">
        <v>24</v>
      </c>
      <c r="B44" s="8" t="s">
        <v>137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2" ht="15.75" customHeight="1" x14ac:dyDescent="0.35">
      <c r="A45" s="8" t="s">
        <v>87</v>
      </c>
      <c r="B45" s="36" t="s">
        <v>137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152</v>
      </c>
      <c r="K45" s="36"/>
      <c r="L45" s="13"/>
    </row>
    <row r="46" spans="1:32" ht="15.75" customHeight="1" x14ac:dyDescent="0.35">
      <c r="A46" s="8" t="s">
        <v>112</v>
      </c>
      <c r="B46" s="8" t="s">
        <v>137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153</v>
      </c>
      <c r="Q46" s="9"/>
    </row>
    <row r="47" spans="1:32" ht="15.75" customHeight="1" x14ac:dyDescent="0.35">
      <c r="A47" s="8" t="s">
        <v>16</v>
      </c>
      <c r="B47" s="10" t="s">
        <v>137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2" ht="15.75" customHeight="1" x14ac:dyDescent="0.35">
      <c r="A48" s="8" t="s">
        <v>51</v>
      </c>
      <c r="B48" s="8" t="s">
        <v>137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35">
      <c r="A49" s="8" t="s">
        <v>53</v>
      </c>
      <c r="B49" s="10" t="s">
        <v>137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35">
      <c r="A50" s="8" t="s">
        <v>56</v>
      </c>
      <c r="B50" s="10" t="s">
        <v>137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35">
      <c r="A51" s="8" t="s">
        <v>59</v>
      </c>
      <c r="B51" s="10" t="s">
        <v>137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35">
      <c r="A52" s="8" t="s">
        <v>82</v>
      </c>
      <c r="B52" s="8" t="s">
        <v>137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35">
      <c r="A53" s="8" t="s">
        <v>100</v>
      </c>
      <c r="B53" s="10" t="s">
        <v>137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35">
      <c r="A54" s="8" t="s">
        <v>116</v>
      </c>
      <c r="B54" s="10" t="s">
        <v>137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154</v>
      </c>
    </row>
    <row r="55" spans="1:10" ht="15.75" customHeight="1" x14ac:dyDescent="0.3"/>
    <row r="56" spans="1:10" ht="15.75" customHeight="1" x14ac:dyDescent="0.3"/>
    <row r="57" spans="1:10" ht="15.75" customHeight="1" x14ac:dyDescent="0.3"/>
    <row r="58" spans="1:10" ht="15.75" customHeight="1" x14ac:dyDescent="0.3"/>
    <row r="59" spans="1:10" ht="15.75" customHeight="1" x14ac:dyDescent="0.3"/>
    <row r="60" spans="1:10" ht="15.75" customHeight="1" x14ac:dyDescent="0.3"/>
    <row r="61" spans="1:10" ht="15.75" customHeight="1" x14ac:dyDescent="0.3"/>
    <row r="62" spans="1:10" ht="15.75" customHeight="1" x14ac:dyDescent="0.3"/>
    <row r="63" spans="1:10" ht="15.75" customHeight="1" x14ac:dyDescent="0.3"/>
    <row r="64" spans="1:10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A29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B93" sqref="B93"/>
    </sheetView>
  </sheetViews>
  <sheetFormatPr defaultColWidth="12.6640625" defaultRowHeight="15" customHeight="1" x14ac:dyDescent="0.3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ht="14.5" x14ac:dyDescent="0.35">
      <c r="D1" s="8" t="s">
        <v>155</v>
      </c>
    </row>
    <row r="2" spans="1:35" ht="14.5" x14ac:dyDescent="0.35">
      <c r="B2" s="8" t="s">
        <v>156</v>
      </c>
      <c r="C2" s="8" t="s">
        <v>157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ht="14.5" x14ac:dyDescent="0.35">
      <c r="A3" s="8" t="s">
        <v>158</v>
      </c>
      <c r="B3" s="8">
        <f t="array" ref="B3">INDEX('LDV psg manufacturers'!$B$5:$B$21,MATCH(A3,'LDV psg manufacturers'!$A$5:$A$21,0),1)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ht="14.5" x14ac:dyDescent="0.35">
      <c r="A4" s="8" t="s">
        <v>159</v>
      </c>
      <c r="B4" s="8">
        <f t="array" ref="B4">INDEX('LDV psg manufacturers'!$B$5:$B$21,MATCH(A4,'LDV psg manufacturers'!$A$5:$A$21,0),1)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ht="14.5" x14ac:dyDescent="0.35">
      <c r="A5" s="8" t="s">
        <v>160</v>
      </c>
      <c r="B5" s="8">
        <f t="array" ref="B5">INDEX('LDV psg manufacturers'!$B$5:$B$21,MATCH(A5,'LDV psg manufacturers'!$A$5:$A$21,0),1)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ht="14.5" x14ac:dyDescent="0.35">
      <c r="A6" s="8" t="s">
        <v>161</v>
      </c>
      <c r="B6" s="8">
        <f t="array" ref="B6">INDEX('LDV psg manufacturers'!$B$5:$B$21,MATCH(A6,'LDV psg manufacturers'!$A$5:$A$21,0),1)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ht="14.5" x14ac:dyDescent="0.35">
      <c r="A7" s="8" t="s">
        <v>162</v>
      </c>
      <c r="B7" s="8">
        <f t="array" ref="B7">INDEX('LDV psg manufacturers'!$B$5:$B$21,MATCH(A7,'LDV psg manufacturers'!$A$5:$A$21,0),1)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ht="14.5" x14ac:dyDescent="0.35">
      <c r="A8" s="8" t="s">
        <v>163</v>
      </c>
      <c r="B8" s="8">
        <f t="array" ref="B8">INDEX('LDV psg manufacturers'!$B$5:$B$21,MATCH(A8,'LDV psg manufacturers'!$A$5:$A$21,0),1)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ht="14.5" x14ac:dyDescent="0.35">
      <c r="A9" s="8" t="s">
        <v>164</v>
      </c>
      <c r="B9" s="8">
        <f t="array" ref="B9">INDEX('LDV psg manufacturers'!$B$5:$B$21,MATCH(A9,'LDV psg manufacturers'!$A$5:$A$21,0),1)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ht="14.5" x14ac:dyDescent="0.35">
      <c r="A10" s="8" t="s">
        <v>165</v>
      </c>
      <c r="B10" s="8">
        <f t="array" ref="B10">INDEX('LDV psg manufacturers'!$B$5:$B$21,MATCH(A10,'LDV psg manufacturers'!$A$5:$A$21,0),1)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ht="14.5" x14ac:dyDescent="0.35">
      <c r="A11" s="8" t="s">
        <v>166</v>
      </c>
      <c r="B11" s="8">
        <f t="array" ref="B11">INDEX('LDV psg manufacturers'!$B$5:$B$21,MATCH(A11,'LDV psg manufacturers'!$A$5:$A$21,0),1)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ht="14.5" x14ac:dyDescent="0.35">
      <c r="A12" s="8" t="s">
        <v>167</v>
      </c>
      <c r="B12" s="8">
        <f t="array" ref="B12">INDEX('LDV psg manufacturers'!$B$5:$B$21,MATCH(A12,'LDV psg manufacturers'!$A$5:$A$21,0),1)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ht="14.5" x14ac:dyDescent="0.35">
      <c r="A13" s="8" t="s">
        <v>168</v>
      </c>
      <c r="B13" s="8">
        <f t="array" ref="B13">INDEX('LDV psg manufacturers'!$B$5:$B$21,MATCH(A13,'LDV psg manufacturers'!$A$5:$A$21,0),1)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ht="14.5" x14ac:dyDescent="0.35">
      <c r="A14" s="8" t="s">
        <v>169</v>
      </c>
      <c r="B14" s="8">
        <f t="array" ref="B14">INDEX('LDV psg manufacturers'!$B$5:$B$21,MATCH(A14,'LDV psg manufacturers'!$A$5:$A$21,0),1)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ht="14.5" x14ac:dyDescent="0.35">
      <c r="A15" s="8" t="s">
        <v>170</v>
      </c>
      <c r="B15" s="8">
        <f t="array" ref="B15">INDEX('LDV psg manufacturers'!$B$5:$B$21,MATCH(A15,'LDV psg manufacturers'!$A$5:$A$21,0),1)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ht="14.5" x14ac:dyDescent="0.35">
      <c r="A16" s="8" t="s">
        <v>171</v>
      </c>
      <c r="B16" s="8">
        <f t="array" ref="B16">INDEX('LDV psg manufacturers'!$B$5:$B$21,MATCH(A16,'LDV psg manufacturers'!$A$5:$A$21,0),1)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ht="14.5" x14ac:dyDescent="0.35">
      <c r="A17" s="8" t="s">
        <v>172</v>
      </c>
      <c r="B17" s="8">
        <f t="array" ref="B17">INDEX('LDV psg manufacturers'!$B$5:$B$21,MATCH(A17,'LDV psg manufacturers'!$A$5:$A$21,0),1)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ht="14.5" x14ac:dyDescent="0.35">
      <c r="A18" s="8" t="s">
        <v>173</v>
      </c>
      <c r="B18" s="8">
        <f t="array" ref="B18">INDEX('LDV psg manufacturers'!$B$5:$B$21,MATCH(A18,'LDV psg manufacturers'!$A$5:$A$21,0),1)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ht="14.5" x14ac:dyDescent="0.35">
      <c r="A19" s="8" t="s">
        <v>174</v>
      </c>
      <c r="B19" s="8">
        <f>SUM('LDV psg manufacturers'!B5:B21)-SUM(B3:B18)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3"/>
    <row r="22" spans="1:35" ht="15.75" customHeight="1" x14ac:dyDescent="0.35">
      <c r="A22" s="19" t="s">
        <v>175</v>
      </c>
      <c r="B22" s="27" t="s">
        <v>176</v>
      </c>
      <c r="G22" s="22"/>
      <c r="H22" s="19" t="s">
        <v>276</v>
      </c>
      <c r="I22" s="20"/>
      <c r="J22" s="21"/>
      <c r="K22" s="8" t="s">
        <v>177</v>
      </c>
    </row>
    <row r="23" spans="1:35" ht="15.75" customHeight="1" x14ac:dyDescent="0.35">
      <c r="A23" s="22" t="s">
        <v>159</v>
      </c>
      <c r="B23" s="28">
        <v>1.3942246992406615E-2</v>
      </c>
      <c r="G23" s="19" t="s">
        <v>175</v>
      </c>
      <c r="H23" s="22" t="s">
        <v>178</v>
      </c>
      <c r="I23" s="23" t="s">
        <v>179</v>
      </c>
      <c r="J23" s="24" t="s">
        <v>180</v>
      </c>
      <c r="K23" s="8">
        <f t="shared" ref="K23:K41" si="18">SUM(H23:J23)</f>
        <v>0</v>
      </c>
    </row>
    <row r="24" spans="1:35" ht="15.75" customHeight="1" x14ac:dyDescent="0.35">
      <c r="A24" s="25" t="s">
        <v>160</v>
      </c>
      <c r="B24" s="29">
        <v>5.0817957181249214E-2</v>
      </c>
      <c r="G24" s="22" t="s">
        <v>159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35">
      <c r="A25" s="25" t="s">
        <v>161</v>
      </c>
      <c r="B25" s="29">
        <v>2.4529697166459246E-3</v>
      </c>
      <c r="G25" s="25" t="s">
        <v>160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35">
      <c r="A26" s="25" t="s">
        <v>162</v>
      </c>
      <c r="B26" s="29">
        <v>2.6432552351063253E-2</v>
      </c>
      <c r="G26" s="25" t="s">
        <v>161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35">
      <c r="A27" s="25" t="s">
        <v>163</v>
      </c>
      <c r="B27" s="29">
        <v>0.10924733510091446</v>
      </c>
      <c r="G27" s="25" t="s">
        <v>162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35">
      <c r="A28" s="25" t="s">
        <v>158</v>
      </c>
      <c r="B28" s="29">
        <v>5.3397182692134261E-2</v>
      </c>
      <c r="G28" s="25" t="s">
        <v>163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35">
      <c r="A29" s="25" t="s">
        <v>164</v>
      </c>
      <c r="B29" s="29">
        <v>8.9280883069097986E-3</v>
      </c>
      <c r="G29" s="25" t="s">
        <v>158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35">
      <c r="A30" s="25" t="s">
        <v>181</v>
      </c>
      <c r="B30" s="29">
        <v>9.6766048013274888E-3</v>
      </c>
      <c r="G30" s="25" t="s">
        <v>164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35">
      <c r="A31" s="25" t="s">
        <v>165</v>
      </c>
      <c r="B31" s="29">
        <v>1.6277979185830491E-2</v>
      </c>
      <c r="G31" s="25" t="s">
        <v>181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35">
      <c r="A32" s="25" t="s">
        <v>166</v>
      </c>
      <c r="B32" s="29">
        <v>2.5224104034774451E-2</v>
      </c>
      <c r="G32" s="25" t="s">
        <v>165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35">
      <c r="A33" s="25" t="s">
        <v>167</v>
      </c>
      <c r="B33" s="29">
        <v>9.2527460635247003E-3</v>
      </c>
      <c r="G33" s="25" t="s">
        <v>166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35">
      <c r="A34" s="25" t="s">
        <v>168</v>
      </c>
      <c r="B34" s="29">
        <v>4.3756650974875098E-2</v>
      </c>
      <c r="G34" s="25" t="s">
        <v>167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35">
      <c r="A35" s="25" t="s">
        <v>169</v>
      </c>
      <c r="B35" s="29">
        <v>1.1543386901863175E-2</v>
      </c>
      <c r="G35" s="25" t="s">
        <v>168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35">
      <c r="A36" s="25" t="s">
        <v>182</v>
      </c>
      <c r="B36" s="29">
        <v>1.7224897642623956E-3</v>
      </c>
      <c r="G36" s="25" t="s">
        <v>169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35">
      <c r="A37" s="25" t="s">
        <v>170</v>
      </c>
      <c r="B37" s="29">
        <v>0.5246379164186642</v>
      </c>
      <c r="G37" s="25" t="s">
        <v>182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35">
      <c r="A38" s="25" t="s">
        <v>171</v>
      </c>
      <c r="B38" s="29">
        <v>6.7285320058438403E-2</v>
      </c>
      <c r="G38" s="25" t="s">
        <v>170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35">
      <c r="A39" s="25" t="s">
        <v>173</v>
      </c>
      <c r="B39" s="29">
        <v>1.1633569612033981E-2</v>
      </c>
      <c r="G39" s="25" t="s">
        <v>171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35">
      <c r="A40" s="25" t="s">
        <v>172</v>
      </c>
      <c r="B40" s="29">
        <v>1.3770899843082085E-2</v>
      </c>
      <c r="G40" s="25" t="s">
        <v>173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35">
      <c r="A41" s="30" t="s">
        <v>183</v>
      </c>
      <c r="B41" s="31">
        <v>1</v>
      </c>
      <c r="G41" s="26" t="s">
        <v>172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3"/>
    <row r="43" spans="1:35" ht="15.75" customHeight="1" x14ac:dyDescent="0.35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35">
      <c r="A44" s="4" t="s">
        <v>184</v>
      </c>
    </row>
    <row r="45" spans="1:35" ht="15.75" customHeight="1" x14ac:dyDescent="0.35">
      <c r="A45" s="8" t="s">
        <v>139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35">
      <c r="A46" s="8" t="s">
        <v>185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35">
      <c r="A47" s="10" t="s">
        <v>186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3"/>
    <row r="49" spans="1:34" ht="15.75" customHeight="1" x14ac:dyDescent="0.35">
      <c r="A49" s="8" t="s">
        <v>187</v>
      </c>
    </row>
    <row r="50" spans="1:34" ht="15.75" customHeight="1" x14ac:dyDescent="0.35">
      <c r="A50" s="8" t="s">
        <v>158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35">
      <c r="A51" s="8" t="s">
        <v>159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35">
      <c r="A52" s="8" t="s">
        <v>160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35">
      <c r="A53" s="8" t="s">
        <v>161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35">
      <c r="A54" s="8" t="s">
        <v>162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35">
      <c r="A55" s="8" t="s">
        <v>163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35">
      <c r="A56" s="8" t="s">
        <v>164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35">
      <c r="A57" s="8" t="s">
        <v>165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35">
      <c r="A58" s="8" t="s">
        <v>166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35">
      <c r="A59" s="8" t="s">
        <v>167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35">
      <c r="A60" s="8" t="s">
        <v>168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35">
      <c r="A61" s="8" t="s">
        <v>169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35">
      <c r="A62" s="8" t="s">
        <v>170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35">
      <c r="A63" s="8" t="s">
        <v>171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35">
      <c r="A64" s="8" t="s">
        <v>172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35">
      <c r="A65" s="8" t="s">
        <v>173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35">
      <c r="A66" s="8" t="s">
        <v>174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3"/>
    <row r="68" spans="1:34" ht="15.75" customHeight="1" x14ac:dyDescent="0.35">
      <c r="A68" s="8" t="s">
        <v>188</v>
      </c>
    </row>
    <row r="69" spans="1:34" ht="15.75" customHeight="1" x14ac:dyDescent="0.35">
      <c r="A69" s="8" t="s">
        <v>189</v>
      </c>
      <c r="B69" s="8">
        <v>7500</v>
      </c>
    </row>
    <row r="70" spans="1:34" ht="15.75" customHeight="1" x14ac:dyDescent="0.35">
      <c r="A70" s="8" t="s">
        <v>190</v>
      </c>
      <c r="B70" s="8">
        <v>5366</v>
      </c>
    </row>
    <row r="71" spans="1:34" ht="15.75" customHeight="1" x14ac:dyDescent="0.3"/>
    <row r="72" spans="1:34" ht="15.75" customHeight="1" x14ac:dyDescent="0.35">
      <c r="A72" s="8" t="s">
        <v>191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35">
      <c r="A73" s="8" t="s">
        <v>158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35">
      <c r="A74" s="8" t="s">
        <v>159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35">
      <c r="A75" s="8" t="s">
        <v>160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35">
      <c r="A76" s="8" t="s">
        <v>161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35">
      <c r="A77" s="8" t="s">
        <v>162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35">
      <c r="A78" s="8" t="s">
        <v>163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35">
      <c r="A79" s="8" t="s">
        <v>164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35">
      <c r="A80" s="8" t="s">
        <v>165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35">
      <c r="A81" s="8" t="s">
        <v>166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35">
      <c r="A82" s="8" t="s">
        <v>167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35">
      <c r="A83" s="8" t="s">
        <v>168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35">
      <c r="A84" s="8" t="s">
        <v>169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35">
      <c r="A85" s="8" t="s">
        <v>170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35">
      <c r="A86" s="8" t="s">
        <v>171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35">
      <c r="A87" s="8" t="s">
        <v>172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35">
      <c r="A88" s="8" t="s">
        <v>173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35">
      <c r="A89" s="8" t="s">
        <v>174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3"/>
    <row r="91" spans="1:34" ht="15.75" customHeight="1" x14ac:dyDescent="0.35">
      <c r="A91" s="8" t="s">
        <v>192</v>
      </c>
      <c r="C91" s="8">
        <v>2019</v>
      </c>
    </row>
    <row r="92" spans="1:34" ht="15.75" customHeight="1" x14ac:dyDescent="0.35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3"/>
    <row r="94" spans="1:34" ht="15.75" customHeight="1" x14ac:dyDescent="0.3"/>
    <row r="95" spans="1:34" ht="15.75" customHeight="1" x14ac:dyDescent="0.3"/>
    <row r="96" spans="1:34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C13" sqref="C13"/>
    </sheetView>
  </sheetViews>
  <sheetFormatPr defaultColWidth="12.6640625" defaultRowHeight="15" customHeight="1" x14ac:dyDescent="0.3"/>
  <cols>
    <col min="1" max="2" width="7.6640625" style="18" customWidth="1"/>
    <col min="3" max="3" width="23.5" style="18" customWidth="1"/>
    <col min="4" max="26" width="7.6640625" style="18" customWidth="1"/>
  </cols>
  <sheetData>
    <row r="2" spans="1:17" ht="14.5" x14ac:dyDescent="0.35">
      <c r="A2" s="8" t="s">
        <v>175</v>
      </c>
      <c r="B2" s="8" t="s">
        <v>193</v>
      </c>
      <c r="C2" s="8" t="s">
        <v>194</v>
      </c>
      <c r="D2" s="8" t="s">
        <v>195</v>
      </c>
      <c r="E2" s="8" t="s">
        <v>196</v>
      </c>
      <c r="F2" s="8" t="s">
        <v>197</v>
      </c>
      <c r="G2" s="8" t="s">
        <v>198</v>
      </c>
      <c r="H2" s="8" t="s">
        <v>199</v>
      </c>
      <c r="I2" s="8" t="s">
        <v>200</v>
      </c>
      <c r="J2" s="8" t="s">
        <v>201</v>
      </c>
      <c r="K2" s="8" t="s">
        <v>202</v>
      </c>
      <c r="L2" s="8" t="s">
        <v>203</v>
      </c>
      <c r="M2" s="8" t="s">
        <v>204</v>
      </c>
      <c r="N2" s="8" t="s">
        <v>205</v>
      </c>
      <c r="O2" s="8" t="s">
        <v>206</v>
      </c>
      <c r="P2" s="8" t="s">
        <v>207</v>
      </c>
    </row>
    <row r="3" spans="1:17" ht="14.5" x14ac:dyDescent="0.35">
      <c r="A3" s="8" t="s">
        <v>170</v>
      </c>
      <c r="B3" s="8" t="s">
        <v>189</v>
      </c>
      <c r="C3" s="8" t="s">
        <v>208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208</v>
      </c>
    </row>
    <row r="4" spans="1:17" ht="14.5" x14ac:dyDescent="0.35">
      <c r="A4" s="8" t="s">
        <v>171</v>
      </c>
      <c r="B4" s="8" t="s">
        <v>190</v>
      </c>
      <c r="C4" s="8" t="s">
        <v>209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209</v>
      </c>
    </row>
    <row r="5" spans="1:17" ht="14.5" x14ac:dyDescent="0.35">
      <c r="A5" s="8" t="s">
        <v>163</v>
      </c>
      <c r="B5" s="8" t="s">
        <v>189</v>
      </c>
      <c r="C5" s="8" t="s">
        <v>210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210</v>
      </c>
    </row>
    <row r="6" spans="1:17" ht="14.5" x14ac:dyDescent="0.35">
      <c r="A6" s="8" t="s">
        <v>170</v>
      </c>
      <c r="B6" s="8" t="s">
        <v>189</v>
      </c>
      <c r="C6" s="8" t="s">
        <v>211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211</v>
      </c>
    </row>
    <row r="7" spans="1:17" ht="14.5" x14ac:dyDescent="0.35">
      <c r="A7" s="8" t="s">
        <v>158</v>
      </c>
      <c r="B7" s="8" t="s">
        <v>190</v>
      </c>
      <c r="C7" s="8" t="s">
        <v>212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212</v>
      </c>
    </row>
    <row r="8" spans="1:17" ht="14.5" x14ac:dyDescent="0.35">
      <c r="A8" s="8" t="s">
        <v>170</v>
      </c>
      <c r="B8" s="8" t="s">
        <v>189</v>
      </c>
      <c r="C8" s="8" t="s">
        <v>213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213</v>
      </c>
    </row>
    <row r="9" spans="1:17" ht="14.5" x14ac:dyDescent="0.35">
      <c r="A9" s="8" t="s">
        <v>168</v>
      </c>
      <c r="B9" s="8" t="s">
        <v>189</v>
      </c>
      <c r="C9" s="8" t="s">
        <v>214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214</v>
      </c>
    </row>
    <row r="10" spans="1:17" ht="14.5" x14ac:dyDescent="0.35">
      <c r="A10" s="8" t="s">
        <v>163</v>
      </c>
      <c r="B10" s="8" t="s">
        <v>190</v>
      </c>
      <c r="C10" s="8" t="s">
        <v>215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215</v>
      </c>
    </row>
    <row r="11" spans="1:17" ht="14.5" x14ac:dyDescent="0.35">
      <c r="A11" s="8" t="s">
        <v>160</v>
      </c>
      <c r="B11" s="8" t="s">
        <v>190</v>
      </c>
      <c r="C11" s="8" t="s">
        <v>216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216</v>
      </c>
    </row>
    <row r="12" spans="1:17" ht="14.5" x14ac:dyDescent="0.35">
      <c r="A12" s="8" t="s">
        <v>162</v>
      </c>
      <c r="B12" s="8" t="s">
        <v>190</v>
      </c>
      <c r="C12" s="8" t="s">
        <v>217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217</v>
      </c>
    </row>
    <row r="13" spans="1:17" ht="14.5" x14ac:dyDescent="0.35">
      <c r="A13" s="8" t="s">
        <v>163</v>
      </c>
      <c r="B13" s="8" t="s">
        <v>190</v>
      </c>
      <c r="C13" s="8" t="s">
        <v>218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218</v>
      </c>
    </row>
    <row r="14" spans="1:17" ht="14.5" x14ac:dyDescent="0.35">
      <c r="A14" s="8" t="s">
        <v>160</v>
      </c>
      <c r="B14" s="8" t="s">
        <v>189</v>
      </c>
      <c r="C14" s="8" t="s">
        <v>219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219</v>
      </c>
    </row>
    <row r="15" spans="1:17" ht="14.5" x14ac:dyDescent="0.35">
      <c r="A15" s="8" t="s">
        <v>165</v>
      </c>
      <c r="B15" s="8" t="s">
        <v>190</v>
      </c>
      <c r="C15" s="8" t="s">
        <v>220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220</v>
      </c>
    </row>
    <row r="16" spans="1:17" ht="14.5" x14ac:dyDescent="0.35">
      <c r="A16" s="8" t="s">
        <v>172</v>
      </c>
      <c r="B16" s="8" t="s">
        <v>189</v>
      </c>
      <c r="C16" s="8" t="s">
        <v>221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221</v>
      </c>
    </row>
    <row r="17" spans="1:17" ht="14.5" x14ac:dyDescent="0.35">
      <c r="A17" s="8" t="s">
        <v>181</v>
      </c>
      <c r="B17" s="8" t="s">
        <v>189</v>
      </c>
      <c r="C17" s="8" t="s">
        <v>222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222</v>
      </c>
    </row>
    <row r="18" spans="1:17" ht="14.5" x14ac:dyDescent="0.35">
      <c r="A18" s="8" t="s">
        <v>159</v>
      </c>
      <c r="B18" s="8" t="s">
        <v>189</v>
      </c>
      <c r="C18" s="8" t="s">
        <v>223</v>
      </c>
      <c r="G18" s="8">
        <v>253</v>
      </c>
      <c r="H18" s="8">
        <v>856</v>
      </c>
      <c r="P18" s="8">
        <v>1109</v>
      </c>
      <c r="Q18" s="8" t="s">
        <v>223</v>
      </c>
    </row>
    <row r="19" spans="1:17" ht="14.5" x14ac:dyDescent="0.35">
      <c r="A19" s="8" t="s">
        <v>167</v>
      </c>
      <c r="B19" s="8" t="s">
        <v>190</v>
      </c>
      <c r="C19" s="8" t="s">
        <v>224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224</v>
      </c>
    </row>
    <row r="20" spans="1:17" ht="14.5" x14ac:dyDescent="0.35">
      <c r="A20" s="8" t="s">
        <v>169</v>
      </c>
      <c r="B20" s="8" t="s">
        <v>190</v>
      </c>
      <c r="C20" s="8" t="s">
        <v>225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225</v>
      </c>
    </row>
    <row r="21" spans="1:17" ht="15.75" customHeight="1" x14ac:dyDescent="0.35">
      <c r="A21" s="8" t="s">
        <v>160</v>
      </c>
      <c r="B21" s="8" t="s">
        <v>190</v>
      </c>
      <c r="C21" s="8" t="s">
        <v>226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226</v>
      </c>
    </row>
    <row r="22" spans="1:17" ht="15.75" customHeight="1" x14ac:dyDescent="0.35">
      <c r="A22" s="8" t="s">
        <v>166</v>
      </c>
      <c r="B22" s="8" t="s">
        <v>190</v>
      </c>
      <c r="C22" s="8" t="s">
        <v>227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227</v>
      </c>
    </row>
    <row r="23" spans="1:17" ht="15.75" customHeight="1" x14ac:dyDescent="0.35">
      <c r="A23" s="8" t="s">
        <v>173</v>
      </c>
      <c r="B23" s="8" t="s">
        <v>190</v>
      </c>
      <c r="C23" s="8" t="s">
        <v>228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228</v>
      </c>
    </row>
    <row r="24" spans="1:17" ht="15.75" customHeight="1" x14ac:dyDescent="0.35">
      <c r="A24" s="8" t="s">
        <v>166</v>
      </c>
      <c r="B24" s="8" t="s">
        <v>190</v>
      </c>
      <c r="C24" s="8" t="s">
        <v>229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229</v>
      </c>
    </row>
    <row r="25" spans="1:17" ht="15.75" customHeight="1" x14ac:dyDescent="0.35">
      <c r="A25" s="8" t="s">
        <v>173</v>
      </c>
      <c r="B25" s="8" t="s">
        <v>190</v>
      </c>
      <c r="C25" s="8" t="s">
        <v>230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230</v>
      </c>
    </row>
    <row r="26" spans="1:17" ht="15.75" customHeight="1" x14ac:dyDescent="0.35">
      <c r="A26" s="8" t="s">
        <v>169</v>
      </c>
      <c r="B26" s="8" t="s">
        <v>190</v>
      </c>
      <c r="C26" s="8" t="s">
        <v>231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231</v>
      </c>
    </row>
    <row r="27" spans="1:17" ht="15.75" customHeight="1" x14ac:dyDescent="0.35">
      <c r="A27" s="8" t="s">
        <v>166</v>
      </c>
      <c r="B27" s="8" t="s">
        <v>190</v>
      </c>
      <c r="C27" s="8" t="s">
        <v>232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232</v>
      </c>
    </row>
    <row r="28" spans="1:17" ht="15.75" customHeight="1" x14ac:dyDescent="0.35">
      <c r="A28" s="8" t="s">
        <v>159</v>
      </c>
      <c r="B28" s="8" t="s">
        <v>190</v>
      </c>
      <c r="C28" s="8" t="s">
        <v>233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233</v>
      </c>
    </row>
    <row r="29" spans="1:17" ht="15.75" customHeight="1" x14ac:dyDescent="0.35">
      <c r="A29" s="8" t="s">
        <v>158</v>
      </c>
      <c r="B29" s="8" t="s">
        <v>189</v>
      </c>
      <c r="C29" s="8" t="s">
        <v>234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234</v>
      </c>
    </row>
    <row r="30" spans="1:17" ht="15.75" customHeight="1" x14ac:dyDescent="0.35">
      <c r="A30" s="8" t="s">
        <v>160</v>
      </c>
      <c r="B30" s="8" t="s">
        <v>190</v>
      </c>
      <c r="C30" s="8" t="s">
        <v>235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235</v>
      </c>
    </row>
    <row r="31" spans="1:17" ht="15.75" customHeight="1" x14ac:dyDescent="0.35">
      <c r="A31" s="8" t="s">
        <v>164</v>
      </c>
      <c r="B31" s="8" t="s">
        <v>190</v>
      </c>
      <c r="C31" s="8" t="s">
        <v>236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237</v>
      </c>
    </row>
    <row r="32" spans="1:17" ht="15.75" customHeight="1" x14ac:dyDescent="0.35">
      <c r="A32" s="8" t="s">
        <v>238</v>
      </c>
      <c r="B32" s="8" t="s">
        <v>189</v>
      </c>
      <c r="C32" s="8" t="s">
        <v>239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239</v>
      </c>
    </row>
    <row r="33" spans="1:17" ht="15.75" customHeight="1" x14ac:dyDescent="0.35">
      <c r="A33" s="8" t="s">
        <v>164</v>
      </c>
      <c r="B33" s="8" t="s">
        <v>189</v>
      </c>
      <c r="C33" s="8" t="s">
        <v>240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240</v>
      </c>
    </row>
    <row r="34" spans="1:17" ht="15.75" customHeight="1" x14ac:dyDescent="0.35">
      <c r="A34" s="8" t="s">
        <v>160</v>
      </c>
      <c r="B34" s="8" t="s">
        <v>190</v>
      </c>
      <c r="C34" s="8" t="s">
        <v>241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241</v>
      </c>
    </row>
    <row r="35" spans="1:17" ht="15.75" customHeight="1" x14ac:dyDescent="0.35">
      <c r="A35" s="8" t="s">
        <v>161</v>
      </c>
      <c r="B35" s="8" t="s">
        <v>189</v>
      </c>
      <c r="C35" s="8" t="s">
        <v>242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242</v>
      </c>
    </row>
    <row r="36" spans="1:17" ht="15.75" customHeight="1" x14ac:dyDescent="0.35">
      <c r="A36" s="8" t="s">
        <v>173</v>
      </c>
      <c r="B36" s="8" t="s">
        <v>190</v>
      </c>
      <c r="C36" s="8" t="s">
        <v>243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243</v>
      </c>
    </row>
    <row r="37" spans="1:17" ht="15.75" customHeight="1" x14ac:dyDescent="0.35">
      <c r="A37" s="8" t="s">
        <v>182</v>
      </c>
      <c r="B37" s="8" t="s">
        <v>190</v>
      </c>
      <c r="C37" s="8" t="s">
        <v>244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244</v>
      </c>
    </row>
    <row r="38" spans="1:17" ht="15.75" customHeight="1" x14ac:dyDescent="0.35">
      <c r="A38" s="8" t="s">
        <v>164</v>
      </c>
      <c r="B38" s="8" t="s">
        <v>190</v>
      </c>
      <c r="C38" s="8" t="s">
        <v>245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245</v>
      </c>
    </row>
    <row r="39" spans="1:17" ht="15.75" customHeight="1" x14ac:dyDescent="0.35">
      <c r="A39" s="8" t="s">
        <v>164</v>
      </c>
      <c r="B39" s="8" t="s">
        <v>189</v>
      </c>
      <c r="C39" s="8" t="s">
        <v>246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246</v>
      </c>
    </row>
    <row r="40" spans="1:17" ht="15.75" customHeight="1" x14ac:dyDescent="0.35">
      <c r="A40" s="8" t="s">
        <v>165</v>
      </c>
      <c r="B40" s="8" t="s">
        <v>189</v>
      </c>
      <c r="C40" s="8" t="s">
        <v>247</v>
      </c>
      <c r="G40" s="8">
        <v>40</v>
      </c>
      <c r="H40" s="8">
        <v>119</v>
      </c>
      <c r="P40" s="8">
        <v>159</v>
      </c>
      <c r="Q40" s="8" t="s">
        <v>247</v>
      </c>
    </row>
    <row r="41" spans="1:17" ht="15.75" customHeight="1" x14ac:dyDescent="0.35">
      <c r="A41" s="8" t="s">
        <v>160</v>
      </c>
      <c r="B41" s="8" t="s">
        <v>190</v>
      </c>
      <c r="C41" s="8" t="s">
        <v>248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248</v>
      </c>
    </row>
    <row r="42" spans="1:17" ht="15.75" customHeight="1" x14ac:dyDescent="0.35">
      <c r="A42" s="8" t="s">
        <v>166</v>
      </c>
      <c r="B42" s="8" t="s">
        <v>190</v>
      </c>
      <c r="C42" s="8" t="s">
        <v>249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249</v>
      </c>
    </row>
    <row r="43" spans="1:17" ht="15.75" customHeight="1" x14ac:dyDescent="0.35">
      <c r="A43" s="8" t="s">
        <v>160</v>
      </c>
      <c r="B43" s="8" t="s">
        <v>190</v>
      </c>
      <c r="C43" s="8" t="s">
        <v>250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250</v>
      </c>
    </row>
    <row r="44" spans="1:17" ht="15.75" customHeight="1" x14ac:dyDescent="0.35">
      <c r="A44" s="8" t="s">
        <v>165</v>
      </c>
      <c r="B44" s="8" t="s">
        <v>190</v>
      </c>
      <c r="C44" s="8" t="s">
        <v>251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251</v>
      </c>
    </row>
    <row r="45" spans="1:17" ht="15.75" customHeight="1" x14ac:dyDescent="0.35">
      <c r="A45" s="8" t="s">
        <v>163</v>
      </c>
      <c r="B45" s="8" t="s">
        <v>190</v>
      </c>
      <c r="C45" s="8" t="s">
        <v>252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252</v>
      </c>
    </row>
    <row r="46" spans="1:17" ht="15.75" customHeight="1" x14ac:dyDescent="0.35">
      <c r="A46" s="8" t="s">
        <v>166</v>
      </c>
      <c r="B46" s="8" t="s">
        <v>190</v>
      </c>
      <c r="C46" s="8" t="s">
        <v>253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253</v>
      </c>
    </row>
    <row r="47" spans="1:17" ht="15.75" customHeight="1" x14ac:dyDescent="0.35">
      <c r="A47" s="8" t="s">
        <v>165</v>
      </c>
      <c r="B47" s="8" t="s">
        <v>189</v>
      </c>
      <c r="C47" s="8" t="s">
        <v>254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254</v>
      </c>
    </row>
    <row r="48" spans="1:17" ht="15.75" customHeight="1" x14ac:dyDescent="0.35">
      <c r="C48" s="8" t="s">
        <v>255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255</v>
      </c>
    </row>
    <row r="49" spans="3:17" ht="15.75" customHeight="1" x14ac:dyDescent="0.35">
      <c r="C49" s="8" t="s">
        <v>256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256</v>
      </c>
    </row>
    <row r="50" spans="3:17" ht="15.75" customHeight="1" x14ac:dyDescent="0.35">
      <c r="C50" s="8" t="s">
        <v>257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257</v>
      </c>
    </row>
    <row r="51" spans="3:17" ht="15.75" customHeight="1" x14ac:dyDescent="0.35">
      <c r="C51" s="8" t="s">
        <v>258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258</v>
      </c>
    </row>
    <row r="52" spans="3:17" ht="15.75" customHeight="1" x14ac:dyDescent="0.3"/>
    <row r="53" spans="3:17" ht="15.75" customHeight="1" x14ac:dyDescent="0.3"/>
    <row r="54" spans="3:17" ht="15.75" customHeight="1" x14ac:dyDescent="0.3"/>
    <row r="55" spans="3:17" ht="15.75" customHeight="1" x14ac:dyDescent="0.3"/>
    <row r="56" spans="3:17" ht="15.75" customHeight="1" x14ac:dyDescent="0.3"/>
    <row r="57" spans="3:17" ht="15.75" customHeight="1" x14ac:dyDescent="0.3"/>
    <row r="58" spans="3:17" ht="15.75" customHeight="1" x14ac:dyDescent="0.3"/>
    <row r="59" spans="3:17" ht="15.75" customHeight="1" x14ac:dyDescent="0.3"/>
    <row r="60" spans="3:17" ht="15.75" customHeight="1" x14ac:dyDescent="0.3"/>
    <row r="61" spans="3:17" ht="15.75" customHeight="1" x14ac:dyDescent="0.3"/>
    <row r="62" spans="3:17" ht="15.75" customHeight="1" x14ac:dyDescent="0.3"/>
    <row r="63" spans="3:17" ht="15.75" customHeight="1" x14ac:dyDescent="0.3"/>
    <row r="64" spans="3:17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A14" sqref="A14"/>
    </sheetView>
  </sheetViews>
  <sheetFormatPr defaultColWidth="12.6640625" defaultRowHeight="15" customHeight="1" x14ac:dyDescent="0.3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ht="14.5" x14ac:dyDescent="0.35">
      <c r="A1" s="78" t="s">
        <v>259</v>
      </c>
      <c r="B1" s="8" t="s">
        <v>260</v>
      </c>
      <c r="C1" s="8" t="s">
        <v>261</v>
      </c>
      <c r="D1" s="8" t="s">
        <v>262</v>
      </c>
    </row>
    <row r="2" spans="1:4" ht="14.5" x14ac:dyDescent="0.35">
      <c r="A2" s="79"/>
      <c r="B2" s="8" t="s">
        <v>263</v>
      </c>
      <c r="C2" s="8" t="s">
        <v>264</v>
      </c>
      <c r="D2" s="8" t="s">
        <v>265</v>
      </c>
    </row>
    <row r="3" spans="1:4" ht="14.5" x14ac:dyDescent="0.35">
      <c r="A3" s="79"/>
      <c r="C3" s="8">
        <v>200000</v>
      </c>
      <c r="D3" s="8" t="s">
        <v>266</v>
      </c>
    </row>
    <row r="4" spans="1:4" ht="14.5" x14ac:dyDescent="0.35">
      <c r="A4" s="79"/>
      <c r="D4" s="8">
        <v>200000</v>
      </c>
    </row>
    <row r="5" spans="1:4" ht="14.5" x14ac:dyDescent="0.35">
      <c r="A5" s="8" t="s">
        <v>159</v>
      </c>
      <c r="B5" s="8">
        <v>10218</v>
      </c>
      <c r="C5" s="8">
        <v>189782</v>
      </c>
      <c r="D5" s="8">
        <v>2025</v>
      </c>
    </row>
    <row r="6" spans="1:4" ht="14.5" x14ac:dyDescent="0.35">
      <c r="A6" s="8" t="s">
        <v>160</v>
      </c>
      <c r="B6" s="8">
        <v>85888</v>
      </c>
      <c r="C6" s="8">
        <v>114112</v>
      </c>
      <c r="D6" s="8">
        <v>2023</v>
      </c>
    </row>
    <row r="7" spans="1:4" ht="14.5" x14ac:dyDescent="0.35">
      <c r="A7" s="8" t="s">
        <v>161</v>
      </c>
      <c r="B7" s="8">
        <v>39855</v>
      </c>
      <c r="C7" s="8">
        <v>160145</v>
      </c>
      <c r="D7" s="8">
        <v>2025</v>
      </c>
    </row>
    <row r="8" spans="1:4" ht="14.5" x14ac:dyDescent="0.35">
      <c r="A8" s="8" t="s">
        <v>162</v>
      </c>
      <c r="B8" s="8">
        <v>114247</v>
      </c>
      <c r="C8" s="8">
        <v>88753</v>
      </c>
      <c r="D8" s="8">
        <v>2023</v>
      </c>
    </row>
    <row r="9" spans="1:4" ht="14.5" x14ac:dyDescent="0.35">
      <c r="A9" s="8" t="s">
        <v>163</v>
      </c>
      <c r="B9" s="8">
        <v>211587</v>
      </c>
      <c r="C9" s="8">
        <v>-11587</v>
      </c>
      <c r="D9" s="8" t="s">
        <v>267</v>
      </c>
    </row>
    <row r="10" spans="1:4" ht="14.5" x14ac:dyDescent="0.35">
      <c r="A10" s="8" t="s">
        <v>158</v>
      </c>
      <c r="B10" s="8">
        <v>27636</v>
      </c>
      <c r="C10" s="8">
        <v>172364</v>
      </c>
      <c r="D10" s="8">
        <v>2025</v>
      </c>
    </row>
    <row r="11" spans="1:4" ht="14.5" x14ac:dyDescent="0.35">
      <c r="A11" s="8" t="s">
        <v>164</v>
      </c>
      <c r="B11" s="8">
        <v>9157</v>
      </c>
      <c r="C11" s="8">
        <v>190843</v>
      </c>
      <c r="D11" s="8">
        <v>2025</v>
      </c>
    </row>
    <row r="12" spans="1:4" ht="14.5" x14ac:dyDescent="0.35">
      <c r="A12" s="8" t="s">
        <v>181</v>
      </c>
      <c r="B12" s="8">
        <v>1001</v>
      </c>
      <c r="C12" s="8">
        <v>198999</v>
      </c>
      <c r="D12" s="8">
        <v>2027</v>
      </c>
    </row>
    <row r="13" spans="1:4" ht="14.5" x14ac:dyDescent="0.35">
      <c r="A13" s="8" t="s">
        <v>165</v>
      </c>
      <c r="B13" s="8">
        <v>13325</v>
      </c>
      <c r="C13" s="8">
        <v>186675</v>
      </c>
      <c r="D13" s="8">
        <v>2025</v>
      </c>
    </row>
    <row r="14" spans="1:4" ht="14.5" x14ac:dyDescent="0.35">
      <c r="A14" s="8" t="s">
        <v>166</v>
      </c>
      <c r="B14" s="8">
        <v>19193</v>
      </c>
      <c r="C14" s="8">
        <v>180807</v>
      </c>
      <c r="D14" s="8">
        <v>2024</v>
      </c>
    </row>
    <row r="15" spans="1:4" ht="14.5" x14ac:dyDescent="0.35">
      <c r="A15" s="8" t="s">
        <v>167</v>
      </c>
      <c r="B15" s="8">
        <v>7004</v>
      </c>
      <c r="C15" s="8">
        <v>192996</v>
      </c>
      <c r="D15" s="8">
        <v>2025</v>
      </c>
    </row>
    <row r="16" spans="1:4" ht="14.5" x14ac:dyDescent="0.35">
      <c r="A16" s="8" t="s">
        <v>168</v>
      </c>
      <c r="B16" s="8">
        <v>132227</v>
      </c>
      <c r="C16" s="8">
        <v>67773</v>
      </c>
      <c r="D16" s="8">
        <v>2021</v>
      </c>
    </row>
    <row r="17" spans="1:4" ht="14.5" x14ac:dyDescent="0.35">
      <c r="A17" s="8" t="s">
        <v>169</v>
      </c>
      <c r="B17" s="8">
        <v>10712</v>
      </c>
      <c r="C17" s="8">
        <v>189288</v>
      </c>
      <c r="D17" s="8">
        <v>2025</v>
      </c>
    </row>
    <row r="18" spans="1:4" ht="14.5" x14ac:dyDescent="0.35">
      <c r="A18" s="8" t="s">
        <v>170</v>
      </c>
      <c r="B18" s="8">
        <v>382573</v>
      </c>
      <c r="C18" s="8">
        <v>-182573</v>
      </c>
      <c r="D18" s="8" t="s">
        <v>268</v>
      </c>
    </row>
    <row r="19" spans="1:4" ht="14.5" x14ac:dyDescent="0.35">
      <c r="A19" s="8" t="s">
        <v>171</v>
      </c>
      <c r="B19" s="8">
        <v>99918</v>
      </c>
      <c r="C19" s="8">
        <v>100082</v>
      </c>
      <c r="D19" s="8">
        <v>2021</v>
      </c>
    </row>
    <row r="20" spans="1:4" ht="14.5" x14ac:dyDescent="0.35">
      <c r="A20" s="8" t="s">
        <v>173</v>
      </c>
      <c r="B20" s="8">
        <v>9841</v>
      </c>
      <c r="C20" s="8">
        <v>190159</v>
      </c>
      <c r="D20" s="8">
        <v>2024</v>
      </c>
    </row>
    <row r="21" spans="1:4" ht="15.75" customHeight="1" x14ac:dyDescent="0.35">
      <c r="A21" s="8" t="s">
        <v>172</v>
      </c>
      <c r="B21" s="8">
        <v>14277</v>
      </c>
      <c r="C21" s="8">
        <v>185723</v>
      </c>
      <c r="D21" s="8">
        <v>2023</v>
      </c>
    </row>
    <row r="22" spans="1:4" ht="15.75" customHeight="1" x14ac:dyDescent="0.3"/>
    <row r="23" spans="1:4" ht="15.75" customHeight="1" x14ac:dyDescent="0.3"/>
    <row r="24" spans="1:4" ht="15.75" customHeight="1" x14ac:dyDescent="0.3"/>
    <row r="25" spans="1:4" ht="15.75" customHeight="1" x14ac:dyDescent="0.3"/>
    <row r="26" spans="1:4" ht="15.75" customHeight="1" x14ac:dyDescent="0.3"/>
    <row r="27" spans="1:4" ht="15.75" customHeight="1" x14ac:dyDescent="0.3"/>
    <row r="28" spans="1:4" ht="15.75" customHeight="1" x14ac:dyDescent="0.3"/>
    <row r="29" spans="1:4" ht="15.75" customHeight="1" x14ac:dyDescent="0.3"/>
    <row r="30" spans="1:4" ht="15.75" customHeight="1" x14ac:dyDescent="0.3"/>
    <row r="31" spans="1:4" ht="15.75" customHeight="1" x14ac:dyDescent="0.3"/>
    <row r="32" spans="1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A4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3E4D2-46EF-48DF-9172-DB7E9AA6CC69}">
  <sheetPr>
    <tabColor theme="9"/>
  </sheetPr>
  <dimension ref="A1:AF129"/>
  <sheetViews>
    <sheetView workbookViewId="0">
      <selection activeCell="B14" sqref="B14"/>
    </sheetView>
  </sheetViews>
  <sheetFormatPr defaultRowHeight="14.5" x14ac:dyDescent="0.35"/>
  <cols>
    <col min="1" max="1" width="23.25" style="52" customWidth="1"/>
    <col min="2" max="2" width="25.75" style="52" customWidth="1"/>
    <col min="3" max="3" width="17.4140625" style="52" customWidth="1"/>
    <col min="4" max="4" width="11.08203125" style="52" bestFit="1" customWidth="1"/>
    <col min="5" max="6" width="8.6640625" style="52"/>
    <col min="7" max="9" width="11.08203125" style="52" bestFit="1" customWidth="1"/>
    <col min="10" max="11" width="8.6640625" style="52"/>
    <col min="12" max="12" width="12.75" style="52" customWidth="1"/>
    <col min="13" max="31" width="8.6640625" style="52"/>
    <col min="32" max="32" width="12.25" style="52" customWidth="1"/>
    <col min="33" max="16384" width="8.6640625" style="52"/>
  </cols>
  <sheetData>
    <row r="1" spans="1:32" x14ac:dyDescent="0.35">
      <c r="A1" s="59" t="s">
        <v>423</v>
      </c>
    </row>
    <row r="2" spans="1:32" x14ac:dyDescent="0.35">
      <c r="A2" s="60" t="s">
        <v>424</v>
      </c>
      <c r="B2" s="52">
        <v>2020</v>
      </c>
      <c r="C2" s="52">
        <v>2021</v>
      </c>
      <c r="D2" s="52">
        <v>2022</v>
      </c>
      <c r="E2" s="52">
        <v>2023</v>
      </c>
      <c r="F2" s="52">
        <v>2024</v>
      </c>
      <c r="G2" s="52">
        <v>2025</v>
      </c>
      <c r="H2" s="52">
        <v>2026</v>
      </c>
      <c r="I2" s="52">
        <v>2027</v>
      </c>
      <c r="J2" s="52">
        <v>2028</v>
      </c>
      <c r="K2" s="52">
        <v>2029</v>
      </c>
      <c r="L2" s="52">
        <v>2030</v>
      </c>
      <c r="M2" s="52">
        <v>2031</v>
      </c>
      <c r="N2" s="52">
        <v>2032</v>
      </c>
      <c r="O2" s="52">
        <v>2033</v>
      </c>
      <c r="P2" s="52">
        <v>2034</v>
      </c>
      <c r="Q2" s="52">
        <v>2035</v>
      </c>
      <c r="R2" s="52">
        <v>2036</v>
      </c>
      <c r="S2" s="52">
        <v>2037</v>
      </c>
      <c r="T2" s="52">
        <v>2038</v>
      </c>
      <c r="U2" s="52">
        <v>2039</v>
      </c>
      <c r="V2" s="52">
        <v>2040</v>
      </c>
      <c r="W2" s="52">
        <v>2041</v>
      </c>
      <c r="X2" s="52">
        <v>2042</v>
      </c>
      <c r="Y2" s="52">
        <v>2043</v>
      </c>
      <c r="Z2" s="52">
        <v>2044</v>
      </c>
      <c r="AA2" s="52">
        <v>2045</v>
      </c>
      <c r="AB2" s="52">
        <v>2046</v>
      </c>
      <c r="AC2" s="52">
        <v>2047</v>
      </c>
      <c r="AD2" s="52">
        <v>2048</v>
      </c>
      <c r="AE2" s="52">
        <v>2049</v>
      </c>
      <c r="AF2" s="52">
        <v>2050</v>
      </c>
    </row>
    <row r="3" spans="1:32" x14ac:dyDescent="0.35">
      <c r="A3" s="52" t="s">
        <v>425</v>
      </c>
      <c r="B3" s="61">
        <v>170105.71381451821</v>
      </c>
      <c r="C3" s="61">
        <v>158150.03934815663</v>
      </c>
      <c r="D3" s="61">
        <v>150378.65012075135</v>
      </c>
      <c r="E3" s="61">
        <v>144793.31276680075</v>
      </c>
      <c r="F3" s="61">
        <v>140415.59869107281</v>
      </c>
      <c r="G3" s="61">
        <v>137175.31502959738</v>
      </c>
      <c r="H3" s="61">
        <v>134428.4852892202</v>
      </c>
      <c r="I3" s="61">
        <v>132025.79821888031</v>
      </c>
      <c r="J3" s="61">
        <v>129960.24090755433</v>
      </c>
      <c r="K3" s="61">
        <v>128158.30529697014</v>
      </c>
      <c r="L3" s="61">
        <v>126568.09584555485</v>
      </c>
      <c r="M3" s="61">
        <v>125159.52078964461</v>
      </c>
      <c r="N3" s="61">
        <v>123925.6309719526</v>
      </c>
      <c r="O3" s="61">
        <v>122858.83969782633</v>
      </c>
      <c r="P3" s="61">
        <v>121931.0953231723</v>
      </c>
      <c r="Q3" s="61">
        <v>121120.14779392551</v>
      </c>
      <c r="R3" s="61">
        <v>120395.26780905634</v>
      </c>
      <c r="S3" s="61">
        <v>119759.77056286675</v>
      </c>
      <c r="T3" s="61">
        <v>119197.33509879321</v>
      </c>
      <c r="U3" s="61">
        <v>118692.59676632099</v>
      </c>
      <c r="V3" s="61">
        <v>118234.33490781266</v>
      </c>
      <c r="W3" s="61">
        <v>117825.86471757021</v>
      </c>
      <c r="X3" s="61">
        <v>117458.38817994612</v>
      </c>
      <c r="Y3" s="61">
        <v>117126.03995117541</v>
      </c>
      <c r="Z3" s="61">
        <v>116824.03850101487</v>
      </c>
      <c r="AA3" s="61">
        <v>116548.30359032366</v>
      </c>
      <c r="AB3" s="61">
        <v>116296.03005469241</v>
      </c>
      <c r="AC3" s="61">
        <v>116063.71143860943</v>
      </c>
      <c r="AD3" s="61">
        <v>115848.86134634829</v>
      </c>
      <c r="AE3" s="61">
        <v>115649.50341207514</v>
      </c>
      <c r="AF3" s="61">
        <v>115463.91628490237</v>
      </c>
    </row>
    <row r="4" spans="1:32" x14ac:dyDescent="0.35">
      <c r="A4" s="52" t="s">
        <v>426</v>
      </c>
      <c r="B4" s="61">
        <v>99455.829058567353</v>
      </c>
      <c r="C4" s="61">
        <v>99455.829058567353</v>
      </c>
      <c r="D4" s="61">
        <v>99455.829058567353</v>
      </c>
      <c r="E4" s="61">
        <v>99455.829058567353</v>
      </c>
      <c r="F4" s="61">
        <v>99455.829058567353</v>
      </c>
      <c r="G4" s="61">
        <v>108042.18230062367</v>
      </c>
      <c r="H4" s="61">
        <v>116628.53554267999</v>
      </c>
      <c r="I4" s="61">
        <v>127204.85541572866</v>
      </c>
      <c r="J4" s="61">
        <v>137781.17528877733</v>
      </c>
      <c r="K4" s="61">
        <v>148357.49516182602</v>
      </c>
      <c r="L4" s="61">
        <v>158933.81503487469</v>
      </c>
      <c r="M4" s="61">
        <v>158933.81503487469</v>
      </c>
      <c r="N4" s="61">
        <v>158933.81503487469</v>
      </c>
      <c r="O4" s="61">
        <v>158933.81503487469</v>
      </c>
      <c r="P4" s="61">
        <v>158933.81503487469</v>
      </c>
      <c r="Q4" s="61">
        <v>158933.81503487469</v>
      </c>
      <c r="R4" s="61">
        <v>158933.81503487469</v>
      </c>
      <c r="S4" s="61">
        <v>158933.81503487469</v>
      </c>
      <c r="T4" s="61">
        <v>158933.81503487469</v>
      </c>
      <c r="U4" s="61">
        <v>158933.81503487469</v>
      </c>
      <c r="V4" s="61">
        <v>158933.81503487469</v>
      </c>
      <c r="W4" s="61">
        <v>158933.81503487469</v>
      </c>
      <c r="X4" s="61">
        <v>158933.81503487469</v>
      </c>
      <c r="Y4" s="61">
        <v>158933.81503487469</v>
      </c>
      <c r="Z4" s="61">
        <v>158933.81503487469</v>
      </c>
      <c r="AA4" s="61">
        <v>158933.81503487469</v>
      </c>
      <c r="AB4" s="61">
        <v>158933.81503487469</v>
      </c>
      <c r="AC4" s="61">
        <v>158933.81503487469</v>
      </c>
      <c r="AD4" s="61">
        <v>158933.81503487469</v>
      </c>
      <c r="AE4" s="61">
        <v>158933.81503487469</v>
      </c>
      <c r="AF4" s="61">
        <v>158933.81503487469</v>
      </c>
    </row>
    <row r="5" spans="1:32" x14ac:dyDescent="0.35">
      <c r="A5" s="52" t="s">
        <v>427</v>
      </c>
      <c r="B5" s="61">
        <v>999999</v>
      </c>
      <c r="C5" s="61">
        <v>999999</v>
      </c>
      <c r="D5" s="61">
        <v>999999</v>
      </c>
      <c r="E5" s="61">
        <v>999999</v>
      </c>
      <c r="F5" s="61">
        <v>999999</v>
      </c>
      <c r="G5" s="61">
        <v>999999</v>
      </c>
      <c r="H5" s="61">
        <v>999999</v>
      </c>
      <c r="I5" s="61">
        <v>999999</v>
      </c>
      <c r="J5" s="61">
        <v>999999</v>
      </c>
      <c r="K5" s="61">
        <v>999999</v>
      </c>
      <c r="L5" s="61">
        <v>999999</v>
      </c>
      <c r="M5" s="61">
        <v>999999</v>
      </c>
      <c r="N5" s="61">
        <v>999999</v>
      </c>
      <c r="O5" s="61">
        <v>999999</v>
      </c>
      <c r="P5" s="61">
        <v>999999</v>
      </c>
      <c r="Q5" s="61">
        <v>999999</v>
      </c>
      <c r="R5" s="61">
        <v>999999</v>
      </c>
      <c r="S5" s="61">
        <v>999999</v>
      </c>
      <c r="T5" s="61">
        <v>999999</v>
      </c>
      <c r="U5" s="61">
        <v>999999</v>
      </c>
      <c r="V5" s="61">
        <v>999999</v>
      </c>
      <c r="W5" s="61">
        <v>999999</v>
      </c>
      <c r="X5" s="61">
        <v>999999</v>
      </c>
      <c r="Y5" s="61">
        <v>999999</v>
      </c>
      <c r="Z5" s="61">
        <v>999999</v>
      </c>
      <c r="AA5" s="61">
        <v>999999</v>
      </c>
      <c r="AB5" s="61">
        <v>999999</v>
      </c>
      <c r="AC5" s="61">
        <v>999999</v>
      </c>
      <c r="AD5" s="61">
        <v>999999</v>
      </c>
      <c r="AE5" s="61">
        <v>999999</v>
      </c>
      <c r="AF5" s="61">
        <v>999999</v>
      </c>
    </row>
    <row r="6" spans="1:32" x14ac:dyDescent="0.35">
      <c r="A6" s="52" t="s">
        <v>428</v>
      </c>
      <c r="B6" s="61">
        <v>99455.829058567353</v>
      </c>
      <c r="C6" s="61">
        <v>99455.829058567353</v>
      </c>
      <c r="D6" s="61">
        <v>99455.829058567353</v>
      </c>
      <c r="E6" s="61">
        <v>99455.829058567353</v>
      </c>
      <c r="F6" s="61">
        <v>99455.829058567353</v>
      </c>
      <c r="G6" s="61">
        <v>108042.18230062367</v>
      </c>
      <c r="H6" s="61">
        <v>116628.53554267999</v>
      </c>
      <c r="I6" s="61">
        <v>127204.85541572866</v>
      </c>
      <c r="J6" s="61">
        <v>137781.17528877733</v>
      </c>
      <c r="K6" s="61">
        <v>148357.49516182602</v>
      </c>
      <c r="L6" s="61">
        <v>158933.81503487469</v>
      </c>
      <c r="M6" s="61">
        <v>158933.81503487469</v>
      </c>
      <c r="N6" s="61">
        <v>158933.81503487469</v>
      </c>
      <c r="O6" s="61">
        <v>158933.81503487469</v>
      </c>
      <c r="P6" s="61">
        <v>158933.81503487469</v>
      </c>
      <c r="Q6" s="61">
        <v>158933.81503487469</v>
      </c>
      <c r="R6" s="61">
        <v>158933.81503487469</v>
      </c>
      <c r="S6" s="61">
        <v>158933.81503487469</v>
      </c>
      <c r="T6" s="61">
        <v>158933.81503487469</v>
      </c>
      <c r="U6" s="61">
        <v>158933.81503487469</v>
      </c>
      <c r="V6" s="61">
        <v>158933.81503487469</v>
      </c>
      <c r="W6" s="61">
        <v>158933.81503487469</v>
      </c>
      <c r="X6" s="61">
        <v>158933.81503487469</v>
      </c>
      <c r="Y6" s="61">
        <v>158933.81503487469</v>
      </c>
      <c r="Z6" s="61">
        <v>158933.81503487469</v>
      </c>
      <c r="AA6" s="61">
        <v>158933.81503487469</v>
      </c>
      <c r="AB6" s="61">
        <v>158933.81503487469</v>
      </c>
      <c r="AC6" s="61">
        <v>158933.81503487469</v>
      </c>
      <c r="AD6" s="61">
        <v>158933.81503487469</v>
      </c>
      <c r="AE6" s="61">
        <v>158933.81503487469</v>
      </c>
      <c r="AF6" s="61">
        <v>158933.81503487469</v>
      </c>
    </row>
    <row r="7" spans="1:32" x14ac:dyDescent="0.35">
      <c r="A7" s="52" t="s">
        <v>429</v>
      </c>
      <c r="B7" s="61">
        <v>999999</v>
      </c>
      <c r="C7" s="61">
        <v>999999</v>
      </c>
      <c r="D7" s="61">
        <v>999999</v>
      </c>
      <c r="E7" s="61">
        <v>999999</v>
      </c>
      <c r="F7" s="61">
        <v>999999</v>
      </c>
      <c r="G7" s="61">
        <v>999999</v>
      </c>
      <c r="H7" s="61">
        <v>999999</v>
      </c>
      <c r="I7" s="61">
        <v>999999</v>
      </c>
      <c r="J7" s="61">
        <v>999999</v>
      </c>
      <c r="K7" s="61">
        <v>999999</v>
      </c>
      <c r="L7" s="61">
        <v>999999</v>
      </c>
      <c r="M7" s="61">
        <v>999999</v>
      </c>
      <c r="N7" s="61">
        <v>999999</v>
      </c>
      <c r="O7" s="61">
        <v>999999</v>
      </c>
      <c r="P7" s="61">
        <v>999999</v>
      </c>
      <c r="Q7" s="61">
        <v>999999</v>
      </c>
      <c r="R7" s="61">
        <v>999999</v>
      </c>
      <c r="S7" s="61">
        <v>999999</v>
      </c>
      <c r="T7" s="61">
        <v>999999</v>
      </c>
      <c r="U7" s="61">
        <v>999999</v>
      </c>
      <c r="V7" s="61">
        <v>999999</v>
      </c>
      <c r="W7" s="61">
        <v>999999</v>
      </c>
      <c r="X7" s="61">
        <v>999999</v>
      </c>
      <c r="Y7" s="61">
        <v>999999</v>
      </c>
      <c r="Z7" s="61">
        <v>999999</v>
      </c>
      <c r="AA7" s="61">
        <v>999999</v>
      </c>
      <c r="AB7" s="61">
        <v>999999</v>
      </c>
      <c r="AC7" s="61">
        <v>999999</v>
      </c>
      <c r="AD7" s="61">
        <v>999999</v>
      </c>
      <c r="AE7" s="61">
        <v>999999</v>
      </c>
      <c r="AF7" s="61">
        <v>999999</v>
      </c>
    </row>
    <row r="8" spans="1:32" x14ac:dyDescent="0.35">
      <c r="A8" s="52" t="s">
        <v>430</v>
      </c>
      <c r="B8" s="61">
        <v>999999</v>
      </c>
      <c r="C8" s="61">
        <v>999999</v>
      </c>
      <c r="D8" s="61">
        <v>999999</v>
      </c>
      <c r="E8" s="61">
        <v>999999</v>
      </c>
      <c r="F8" s="61">
        <v>999999</v>
      </c>
      <c r="G8" s="61">
        <v>999999</v>
      </c>
      <c r="H8" s="61">
        <v>999999</v>
      </c>
      <c r="I8" s="61">
        <v>999999</v>
      </c>
      <c r="J8" s="61">
        <v>999999</v>
      </c>
      <c r="K8" s="61">
        <v>999999</v>
      </c>
      <c r="L8" s="61">
        <v>999999</v>
      </c>
      <c r="M8" s="61">
        <v>999999</v>
      </c>
      <c r="N8" s="61">
        <v>999999</v>
      </c>
      <c r="O8" s="61">
        <v>999999</v>
      </c>
      <c r="P8" s="61">
        <v>999999</v>
      </c>
      <c r="Q8" s="61">
        <v>999999</v>
      </c>
      <c r="R8" s="61">
        <v>999999</v>
      </c>
      <c r="S8" s="61">
        <v>999999</v>
      </c>
      <c r="T8" s="61">
        <v>999999</v>
      </c>
      <c r="U8" s="61">
        <v>999999</v>
      </c>
      <c r="V8" s="61">
        <v>999999</v>
      </c>
      <c r="W8" s="61">
        <v>999999</v>
      </c>
      <c r="X8" s="61">
        <v>999999</v>
      </c>
      <c r="Y8" s="61">
        <v>999999</v>
      </c>
      <c r="Z8" s="61">
        <v>999999</v>
      </c>
      <c r="AA8" s="61">
        <v>999999</v>
      </c>
      <c r="AB8" s="61">
        <v>999999</v>
      </c>
      <c r="AC8" s="61">
        <v>999999</v>
      </c>
      <c r="AD8" s="61">
        <v>999999</v>
      </c>
      <c r="AE8" s="61">
        <v>999999</v>
      </c>
      <c r="AF8" s="61">
        <v>999999</v>
      </c>
    </row>
    <row r="9" spans="1:32" x14ac:dyDescent="0.35">
      <c r="A9" s="52" t="s">
        <v>431</v>
      </c>
      <c r="B9" s="61">
        <v>218707.346332952</v>
      </c>
      <c r="C9" s="61">
        <v>196320.00462790579</v>
      </c>
      <c r="D9" s="61">
        <v>182770.67741621763</v>
      </c>
      <c r="E9" s="61">
        <v>173316.35690711741</v>
      </c>
      <c r="F9" s="61">
        <v>166070.96914028164</v>
      </c>
      <c r="G9" s="61">
        <v>160638.01132339906</v>
      </c>
      <c r="H9" s="61">
        <v>156095.13569711187</v>
      </c>
      <c r="I9" s="61">
        <v>152176.89937190025</v>
      </c>
      <c r="J9" s="61">
        <v>148816.42084420141</v>
      </c>
      <c r="K9" s="61">
        <v>145888.85814075559</v>
      </c>
      <c r="L9" s="61">
        <v>143306.5984665154</v>
      </c>
      <c r="M9" s="61">
        <v>141084.00240336676</v>
      </c>
      <c r="N9" s="61">
        <v>138937.19254108105</v>
      </c>
      <c r="O9" s="61">
        <v>136991.75628859026</v>
      </c>
      <c r="P9" s="61">
        <v>135213.52839713384</v>
      </c>
      <c r="Q9" s="61">
        <v>133575.42625258261</v>
      </c>
      <c r="R9" s="61">
        <v>132041.61064856828</v>
      </c>
      <c r="S9" s="61">
        <v>130614.12225222809</v>
      </c>
      <c r="T9" s="61">
        <v>129273.62475844887</v>
      </c>
      <c r="U9" s="61">
        <v>128002.21139736133</v>
      </c>
      <c r="V9" s="61">
        <v>126786.7940352916</v>
      </c>
      <c r="W9" s="61">
        <v>125630.05694955667</v>
      </c>
      <c r="X9" s="61">
        <v>124521.76188947604</v>
      </c>
      <c r="Y9" s="61">
        <v>123454.9764103062</v>
      </c>
      <c r="Z9" s="61">
        <v>122424.0469447776</v>
      </c>
      <c r="AA9" s="61">
        <v>121424.16722212727</v>
      </c>
      <c r="AB9" s="61">
        <v>120451.95116743509</v>
      </c>
      <c r="AC9" s="61">
        <v>119503.35907566069</v>
      </c>
      <c r="AD9" s="61">
        <v>118575.48086511412</v>
      </c>
      <c r="AE9" s="61">
        <v>117665.98604353704</v>
      </c>
      <c r="AF9" s="61">
        <v>116772.85024669656</v>
      </c>
    </row>
    <row r="10" spans="1:32" x14ac:dyDescent="0.35"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</row>
    <row r="11" spans="1:32" x14ac:dyDescent="0.35">
      <c r="A11" s="62" t="s">
        <v>432</v>
      </c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</row>
    <row r="12" spans="1:32" x14ac:dyDescent="0.35">
      <c r="A12" s="52" t="s">
        <v>425</v>
      </c>
      <c r="B12" s="61">
        <v>233859.45039052292</v>
      </c>
      <c r="C12" s="61">
        <v>209948.10145779976</v>
      </c>
      <c r="D12" s="61">
        <v>194405.32300298926</v>
      </c>
      <c r="E12" s="61">
        <v>183234.648295088</v>
      </c>
      <c r="F12" s="61">
        <v>174479.22014363212</v>
      </c>
      <c r="G12" s="61">
        <v>167998.65282068125</v>
      </c>
      <c r="H12" s="61">
        <v>162504.99333992691</v>
      </c>
      <c r="I12" s="61">
        <v>157699.61919924716</v>
      </c>
      <c r="J12" s="61">
        <v>153568.50457659518</v>
      </c>
      <c r="K12" s="61">
        <v>149964.63335542681</v>
      </c>
      <c r="L12" s="61">
        <v>146784.21445259621</v>
      </c>
      <c r="M12" s="61">
        <v>143967.06434077575</v>
      </c>
      <c r="N12" s="61">
        <v>141499.28470539174</v>
      </c>
      <c r="O12" s="61">
        <v>139365.70215713917</v>
      </c>
      <c r="P12" s="61">
        <v>137510.21340783112</v>
      </c>
      <c r="Q12" s="61">
        <v>135888.31834933755</v>
      </c>
      <c r="R12" s="61">
        <v>134438.55837959918</v>
      </c>
      <c r="S12" s="61">
        <v>133167.56388721999</v>
      </c>
      <c r="T12" s="61">
        <v>132042.69295907297</v>
      </c>
      <c r="U12" s="61">
        <v>131033.21629412849</v>
      </c>
      <c r="V12" s="61">
        <v>130116.69257711184</v>
      </c>
      <c r="W12" s="61">
        <v>129299.75219662691</v>
      </c>
      <c r="X12" s="61">
        <v>128564.79912137876</v>
      </c>
      <c r="Y12" s="61">
        <v>127900.10266383732</v>
      </c>
      <c r="Z12" s="61">
        <v>127296.09976351626</v>
      </c>
      <c r="AA12" s="61">
        <v>126744.62994213382</v>
      </c>
      <c r="AB12" s="61">
        <v>126240.08287087131</v>
      </c>
      <c r="AC12" s="61">
        <v>125775.44563870538</v>
      </c>
      <c r="AD12" s="61">
        <v>125345.74545418311</v>
      </c>
      <c r="AE12" s="61">
        <v>124947.02958563679</v>
      </c>
      <c r="AF12" s="61">
        <v>124575.85533129128</v>
      </c>
    </row>
    <row r="13" spans="1:32" x14ac:dyDescent="0.35">
      <c r="A13" s="52" t="s">
        <v>426</v>
      </c>
      <c r="B13" s="61">
        <v>123257.22404694246</v>
      </c>
      <c r="C13" s="61">
        <v>123257.22404694246</v>
      </c>
      <c r="D13" s="61">
        <v>123257.22404694246</v>
      </c>
      <c r="E13" s="61">
        <v>123257.22404694246</v>
      </c>
      <c r="F13" s="61">
        <v>123257.22404694246</v>
      </c>
      <c r="G13" s="61">
        <v>131843.57728899876</v>
      </c>
      <c r="H13" s="61">
        <v>140429.93053105508</v>
      </c>
      <c r="I13" s="61">
        <v>151006.25040410375</v>
      </c>
      <c r="J13" s="61">
        <v>161582.57027715244</v>
      </c>
      <c r="K13" s="61">
        <v>172158.8901502011</v>
      </c>
      <c r="L13" s="61">
        <v>182735.21002324979</v>
      </c>
      <c r="M13" s="61">
        <v>182735.21002324979</v>
      </c>
      <c r="N13" s="61">
        <v>182735.21002324979</v>
      </c>
      <c r="O13" s="61">
        <v>182735.21002324979</v>
      </c>
      <c r="P13" s="61">
        <v>182735.21002324979</v>
      </c>
      <c r="Q13" s="61">
        <v>182735.21002324979</v>
      </c>
      <c r="R13" s="61">
        <v>182735.21002324979</v>
      </c>
      <c r="S13" s="61">
        <v>182735.21002324979</v>
      </c>
      <c r="T13" s="61">
        <v>182735.21002324979</v>
      </c>
      <c r="U13" s="61">
        <v>182735.21002324979</v>
      </c>
      <c r="V13" s="61">
        <v>182735.21002324979</v>
      </c>
      <c r="W13" s="61">
        <v>182735.21002324979</v>
      </c>
      <c r="X13" s="61">
        <v>182735.21002324979</v>
      </c>
      <c r="Y13" s="61">
        <v>182735.21002324979</v>
      </c>
      <c r="Z13" s="61">
        <v>182735.21002324979</v>
      </c>
      <c r="AA13" s="61">
        <v>182735.21002324979</v>
      </c>
      <c r="AB13" s="61">
        <v>182735.21002324979</v>
      </c>
      <c r="AC13" s="61">
        <v>182735.21002324979</v>
      </c>
      <c r="AD13" s="61">
        <v>182735.21002324979</v>
      </c>
      <c r="AE13" s="61">
        <v>182735.21002324979</v>
      </c>
      <c r="AF13" s="61">
        <v>182735.21002324979</v>
      </c>
    </row>
    <row r="14" spans="1:32" x14ac:dyDescent="0.35">
      <c r="A14" s="52" t="s">
        <v>427</v>
      </c>
      <c r="B14" s="61">
        <v>999999</v>
      </c>
      <c r="C14" s="61">
        <v>999999</v>
      </c>
      <c r="D14" s="61">
        <v>999999</v>
      </c>
      <c r="E14" s="61">
        <v>999999</v>
      </c>
      <c r="F14" s="61">
        <v>999999</v>
      </c>
      <c r="G14" s="61">
        <v>999999</v>
      </c>
      <c r="H14" s="61">
        <v>999999</v>
      </c>
      <c r="I14" s="61">
        <v>999999</v>
      </c>
      <c r="J14" s="61">
        <v>999999</v>
      </c>
      <c r="K14" s="61">
        <v>999999</v>
      </c>
      <c r="L14" s="61">
        <v>999999</v>
      </c>
      <c r="M14" s="61">
        <v>999999</v>
      </c>
      <c r="N14" s="61">
        <v>999999</v>
      </c>
      <c r="O14" s="61">
        <v>999999</v>
      </c>
      <c r="P14" s="61">
        <v>999999</v>
      </c>
      <c r="Q14" s="61">
        <v>999999</v>
      </c>
      <c r="R14" s="61">
        <v>999999</v>
      </c>
      <c r="S14" s="61">
        <v>999999</v>
      </c>
      <c r="T14" s="61">
        <v>999999</v>
      </c>
      <c r="U14" s="61">
        <v>999999</v>
      </c>
      <c r="V14" s="61">
        <v>999999</v>
      </c>
      <c r="W14" s="61">
        <v>999999</v>
      </c>
      <c r="X14" s="61">
        <v>999999</v>
      </c>
      <c r="Y14" s="61">
        <v>999999</v>
      </c>
      <c r="Z14" s="61">
        <v>999999</v>
      </c>
      <c r="AA14" s="61">
        <v>999999</v>
      </c>
      <c r="AB14" s="61">
        <v>999999</v>
      </c>
      <c r="AC14" s="61">
        <v>999999</v>
      </c>
      <c r="AD14" s="61">
        <v>999999</v>
      </c>
      <c r="AE14" s="61">
        <v>999999</v>
      </c>
      <c r="AF14" s="61">
        <v>999999</v>
      </c>
    </row>
    <row r="15" spans="1:32" x14ac:dyDescent="0.35">
      <c r="A15" s="52" t="s">
        <v>428</v>
      </c>
      <c r="B15" s="61">
        <v>123257.22404694246</v>
      </c>
      <c r="C15" s="61">
        <v>123257.22404694246</v>
      </c>
      <c r="D15" s="61">
        <v>123257.22404694246</v>
      </c>
      <c r="E15" s="61">
        <v>123257.22404694246</v>
      </c>
      <c r="F15" s="61">
        <v>123257.22404694246</v>
      </c>
      <c r="G15" s="61">
        <v>131843.57728899876</v>
      </c>
      <c r="H15" s="61">
        <v>140429.93053105508</v>
      </c>
      <c r="I15" s="61">
        <v>151006.25040410375</v>
      </c>
      <c r="J15" s="61">
        <v>161582.57027715244</v>
      </c>
      <c r="K15" s="61">
        <v>172158.8901502011</v>
      </c>
      <c r="L15" s="61">
        <v>182735.21002324979</v>
      </c>
      <c r="M15" s="61">
        <v>182735.21002324979</v>
      </c>
      <c r="N15" s="61">
        <v>182735.21002324979</v>
      </c>
      <c r="O15" s="61">
        <v>182735.21002324979</v>
      </c>
      <c r="P15" s="61">
        <v>182735.21002324979</v>
      </c>
      <c r="Q15" s="61">
        <v>182735.21002324979</v>
      </c>
      <c r="R15" s="61">
        <v>182735.21002324979</v>
      </c>
      <c r="S15" s="61">
        <v>182735.21002324979</v>
      </c>
      <c r="T15" s="61">
        <v>182735.21002324979</v>
      </c>
      <c r="U15" s="61">
        <v>182735.21002324979</v>
      </c>
      <c r="V15" s="61">
        <v>182735.21002324979</v>
      </c>
      <c r="W15" s="61">
        <v>182735.21002324979</v>
      </c>
      <c r="X15" s="61">
        <v>182735.21002324979</v>
      </c>
      <c r="Y15" s="61">
        <v>182735.21002324979</v>
      </c>
      <c r="Z15" s="61">
        <v>182735.21002324979</v>
      </c>
      <c r="AA15" s="61">
        <v>182735.21002324979</v>
      </c>
      <c r="AB15" s="61">
        <v>182735.21002324979</v>
      </c>
      <c r="AC15" s="61">
        <v>182735.21002324979</v>
      </c>
      <c r="AD15" s="61">
        <v>182735.21002324979</v>
      </c>
      <c r="AE15" s="61">
        <v>182735.21002324979</v>
      </c>
      <c r="AF15" s="61">
        <v>182735.21002324979</v>
      </c>
    </row>
    <row r="16" spans="1:32" x14ac:dyDescent="0.35">
      <c r="A16" s="52" t="s">
        <v>429</v>
      </c>
      <c r="B16" s="61">
        <v>999999</v>
      </c>
      <c r="C16" s="61">
        <v>999999</v>
      </c>
      <c r="D16" s="61">
        <v>999999</v>
      </c>
      <c r="E16" s="61">
        <v>999999</v>
      </c>
      <c r="F16" s="61">
        <v>999999</v>
      </c>
      <c r="G16" s="61">
        <v>999999</v>
      </c>
      <c r="H16" s="61">
        <v>999999</v>
      </c>
      <c r="I16" s="61">
        <v>999999</v>
      </c>
      <c r="J16" s="61">
        <v>999999</v>
      </c>
      <c r="K16" s="61">
        <v>999999</v>
      </c>
      <c r="L16" s="61">
        <v>999999</v>
      </c>
      <c r="M16" s="61">
        <v>999999</v>
      </c>
      <c r="N16" s="61">
        <v>999999</v>
      </c>
      <c r="O16" s="61">
        <v>999999</v>
      </c>
      <c r="P16" s="61">
        <v>999999</v>
      </c>
      <c r="Q16" s="61">
        <v>999999</v>
      </c>
      <c r="R16" s="61">
        <v>999999</v>
      </c>
      <c r="S16" s="61">
        <v>999999</v>
      </c>
      <c r="T16" s="61">
        <v>999999</v>
      </c>
      <c r="U16" s="61">
        <v>999999</v>
      </c>
      <c r="V16" s="61">
        <v>999999</v>
      </c>
      <c r="W16" s="61">
        <v>999999</v>
      </c>
      <c r="X16" s="61">
        <v>999999</v>
      </c>
      <c r="Y16" s="61">
        <v>999999</v>
      </c>
      <c r="Z16" s="61">
        <v>999999</v>
      </c>
      <c r="AA16" s="61">
        <v>999999</v>
      </c>
      <c r="AB16" s="61">
        <v>999999</v>
      </c>
      <c r="AC16" s="61">
        <v>999999</v>
      </c>
      <c r="AD16" s="61">
        <v>999999</v>
      </c>
      <c r="AE16" s="61">
        <v>999999</v>
      </c>
      <c r="AF16" s="61">
        <v>999999</v>
      </c>
    </row>
    <row r="17" spans="1:32" x14ac:dyDescent="0.35">
      <c r="A17" s="52" t="s">
        <v>430</v>
      </c>
      <c r="B17" s="61">
        <v>999999</v>
      </c>
      <c r="C17" s="61">
        <v>999999</v>
      </c>
      <c r="D17" s="61">
        <v>999999</v>
      </c>
      <c r="E17" s="61">
        <v>999999</v>
      </c>
      <c r="F17" s="61">
        <v>999999</v>
      </c>
      <c r="G17" s="61">
        <v>999999</v>
      </c>
      <c r="H17" s="61">
        <v>999999</v>
      </c>
      <c r="I17" s="61">
        <v>999999</v>
      </c>
      <c r="J17" s="61">
        <v>999999</v>
      </c>
      <c r="K17" s="61">
        <v>999999</v>
      </c>
      <c r="L17" s="61">
        <v>999999</v>
      </c>
      <c r="M17" s="61">
        <v>999999</v>
      </c>
      <c r="N17" s="61">
        <v>999999</v>
      </c>
      <c r="O17" s="61">
        <v>999999</v>
      </c>
      <c r="P17" s="61">
        <v>999999</v>
      </c>
      <c r="Q17" s="61">
        <v>999999</v>
      </c>
      <c r="R17" s="61">
        <v>999999</v>
      </c>
      <c r="S17" s="61">
        <v>999999</v>
      </c>
      <c r="T17" s="61">
        <v>999999</v>
      </c>
      <c r="U17" s="61">
        <v>999999</v>
      </c>
      <c r="V17" s="61">
        <v>999999</v>
      </c>
      <c r="W17" s="61">
        <v>999999</v>
      </c>
      <c r="X17" s="61">
        <v>999999</v>
      </c>
      <c r="Y17" s="61">
        <v>999999</v>
      </c>
      <c r="Z17" s="61">
        <v>999999</v>
      </c>
      <c r="AA17" s="61">
        <v>999999</v>
      </c>
      <c r="AB17" s="61">
        <v>999999</v>
      </c>
      <c r="AC17" s="61">
        <v>999999</v>
      </c>
      <c r="AD17" s="61">
        <v>999999</v>
      </c>
      <c r="AE17" s="61">
        <v>999999</v>
      </c>
      <c r="AF17" s="61">
        <v>999999</v>
      </c>
    </row>
    <row r="18" spans="1:32" x14ac:dyDescent="0.35">
      <c r="A18" s="52" t="s">
        <v>431</v>
      </c>
      <c r="B18" s="61">
        <v>300676.43621638662</v>
      </c>
      <c r="C18" s="61">
        <v>260619.67748916466</v>
      </c>
      <c r="D18" s="61">
        <v>236280.83208649443</v>
      </c>
      <c r="E18" s="61">
        <v>219330.30673045837</v>
      </c>
      <c r="F18" s="61">
        <v>206358.3637017654</v>
      </c>
      <c r="G18" s="61">
        <v>196733.4245837277</v>
      </c>
      <c r="H18" s="61">
        <v>188696.90402505983</v>
      </c>
      <c r="I18" s="61">
        <v>181769.31634289454</v>
      </c>
      <c r="J18" s="61">
        <v>175850.05264603836</v>
      </c>
      <c r="K18" s="61">
        <v>170712.06638558381</v>
      </c>
      <c r="L18" s="61">
        <v>166196.27830578489</v>
      </c>
      <c r="M18" s="61">
        <v>162284.49520509975</v>
      </c>
      <c r="N18" s="61">
        <v>158639.60674920981</v>
      </c>
      <c r="O18" s="61">
        <v>155397.46551290966</v>
      </c>
      <c r="P18" s="61">
        <v>152489.7409986784</v>
      </c>
      <c r="Q18" s="61">
        <v>149862.26797825738</v>
      </c>
      <c r="R18" s="61">
        <v>147443.36803891024</v>
      </c>
      <c r="S18" s="61">
        <v>145237.12251491132</v>
      </c>
      <c r="T18" s="61">
        <v>143204.85879603442</v>
      </c>
      <c r="U18" s="61">
        <v>141310.76334254077</v>
      </c>
      <c r="V18" s="61">
        <v>139528.65988708279</v>
      </c>
      <c r="W18" s="61">
        <v>137863.91698429445</v>
      </c>
      <c r="X18" s="61">
        <v>136296.05813281462</v>
      </c>
      <c r="Y18" s="61">
        <v>134811.21844315645</v>
      </c>
      <c r="Z18" s="61">
        <v>133398.09078078077</v>
      </c>
      <c r="AA18" s="61">
        <v>132047.06260416156</v>
      </c>
      <c r="AB18" s="61">
        <v>130751.36176345867</v>
      </c>
      <c r="AC18" s="61">
        <v>129502.90884859137</v>
      </c>
      <c r="AD18" s="61">
        <v>128295.88369617976</v>
      </c>
      <c r="AE18" s="61">
        <v>127125.62532170708</v>
      </c>
      <c r="AF18" s="61">
        <v>125988.08499670762</v>
      </c>
    </row>
    <row r="19" spans="1:32" x14ac:dyDescent="0.35">
      <c r="A19" s="59" t="s">
        <v>433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</row>
    <row r="20" spans="1:32" x14ac:dyDescent="0.35">
      <c r="A20" s="63" t="s">
        <v>424</v>
      </c>
    </row>
    <row r="21" spans="1:32" x14ac:dyDescent="0.35">
      <c r="A21" s="52" t="s">
        <v>425</v>
      </c>
      <c r="B21" s="52">
        <v>2020</v>
      </c>
      <c r="C21" s="52">
        <f>B21+1</f>
        <v>2021</v>
      </c>
      <c r="D21" s="52">
        <f t="shared" ref="D21:AE21" si="0">C21+1</f>
        <v>2022</v>
      </c>
      <c r="E21" s="52">
        <f t="shared" si="0"/>
        <v>2023</v>
      </c>
      <c r="F21" s="52">
        <f t="shared" si="0"/>
        <v>2024</v>
      </c>
      <c r="G21" s="52">
        <f t="shared" si="0"/>
        <v>2025</v>
      </c>
      <c r="H21" s="52">
        <f t="shared" si="0"/>
        <v>2026</v>
      </c>
      <c r="I21" s="52">
        <f t="shared" si="0"/>
        <v>2027</v>
      </c>
      <c r="J21" s="52">
        <f t="shared" si="0"/>
        <v>2028</v>
      </c>
      <c r="K21" s="52">
        <f t="shared" si="0"/>
        <v>2029</v>
      </c>
      <c r="L21" s="52">
        <f t="shared" si="0"/>
        <v>2030</v>
      </c>
      <c r="M21" s="52">
        <f t="shared" si="0"/>
        <v>2031</v>
      </c>
      <c r="N21" s="52">
        <f t="shared" si="0"/>
        <v>2032</v>
      </c>
      <c r="O21" s="52">
        <f t="shared" si="0"/>
        <v>2033</v>
      </c>
      <c r="P21" s="52">
        <f t="shared" si="0"/>
        <v>2034</v>
      </c>
      <c r="Q21" s="52">
        <f t="shared" si="0"/>
        <v>2035</v>
      </c>
      <c r="R21" s="52">
        <f t="shared" si="0"/>
        <v>2036</v>
      </c>
      <c r="S21" s="52">
        <f t="shared" si="0"/>
        <v>2037</v>
      </c>
      <c r="T21" s="52">
        <f t="shared" si="0"/>
        <v>2038</v>
      </c>
      <c r="U21" s="52">
        <f t="shared" si="0"/>
        <v>2039</v>
      </c>
      <c r="V21" s="52">
        <f t="shared" si="0"/>
        <v>2040</v>
      </c>
      <c r="W21" s="52">
        <f t="shared" si="0"/>
        <v>2041</v>
      </c>
      <c r="X21" s="52">
        <f t="shared" si="0"/>
        <v>2042</v>
      </c>
      <c r="Y21" s="52">
        <f t="shared" si="0"/>
        <v>2043</v>
      </c>
      <c r="Z21" s="52">
        <f t="shared" si="0"/>
        <v>2044</v>
      </c>
      <c r="AA21" s="52">
        <f t="shared" si="0"/>
        <v>2045</v>
      </c>
      <c r="AB21" s="52">
        <f t="shared" si="0"/>
        <v>2046</v>
      </c>
      <c r="AC21" s="52">
        <f t="shared" si="0"/>
        <v>2047</v>
      </c>
      <c r="AD21" s="52">
        <f t="shared" si="0"/>
        <v>2048</v>
      </c>
      <c r="AE21" s="52">
        <f t="shared" si="0"/>
        <v>2049</v>
      </c>
      <c r="AF21" s="52">
        <f>AE21+1</f>
        <v>2050</v>
      </c>
    </row>
    <row r="22" spans="1:32" x14ac:dyDescent="0.35">
      <c r="A22" s="52" t="s">
        <v>426</v>
      </c>
      <c r="B22" s="53">
        <f>D70</f>
        <v>200112.64000000001</v>
      </c>
      <c r="C22" s="61">
        <f>B22-C79</f>
        <v>186047.96500000003</v>
      </c>
      <c r="D22" s="61">
        <f>$B$22-D79</f>
        <v>176905.69</v>
      </c>
      <c r="E22" s="61">
        <f t="shared" ref="E22:AF22" si="1">$B$22-E79</f>
        <v>170335.09000000003</v>
      </c>
      <c r="F22" s="61">
        <f t="shared" si="1"/>
        <v>165185.14000000001</v>
      </c>
      <c r="G22" s="61">
        <f t="shared" si="1"/>
        <v>161373.26500000001</v>
      </c>
      <c r="H22" s="61">
        <f t="shared" si="1"/>
        <v>158141.89000000001</v>
      </c>
      <c r="I22" s="61">
        <f t="shared" si="1"/>
        <v>155315.36500000002</v>
      </c>
      <c r="J22" s="61">
        <f t="shared" si="1"/>
        <v>152885.44</v>
      </c>
      <c r="K22" s="61">
        <f t="shared" si="1"/>
        <v>150765.64000000001</v>
      </c>
      <c r="L22" s="61">
        <f t="shared" si="1"/>
        <v>148894.91500000001</v>
      </c>
      <c r="M22" s="61">
        <f t="shared" si="1"/>
        <v>147237.86500000002</v>
      </c>
      <c r="N22" s="61">
        <f t="shared" si="1"/>
        <v>145786.315</v>
      </c>
      <c r="O22" s="61">
        <f t="shared" si="1"/>
        <v>144531.34000000003</v>
      </c>
      <c r="P22" s="61">
        <f t="shared" si="1"/>
        <v>143439.94</v>
      </c>
      <c r="Q22" s="61">
        <f t="shared" si="1"/>
        <v>142485.94</v>
      </c>
      <c r="R22" s="61">
        <f t="shared" si="1"/>
        <v>141633.19</v>
      </c>
      <c r="S22" s="61">
        <f t="shared" si="1"/>
        <v>140885.59000000003</v>
      </c>
      <c r="T22" s="61">
        <f t="shared" si="1"/>
        <v>140223.94</v>
      </c>
      <c r="U22" s="61">
        <f t="shared" si="1"/>
        <v>139630.16500000001</v>
      </c>
      <c r="V22" s="61">
        <f t="shared" si="1"/>
        <v>139091.065</v>
      </c>
      <c r="W22" s="61">
        <f t="shared" si="1"/>
        <v>138610.54</v>
      </c>
      <c r="X22" s="61">
        <f t="shared" si="1"/>
        <v>138178.24000000002</v>
      </c>
      <c r="Y22" s="61">
        <f t="shared" si="1"/>
        <v>137787.26500000001</v>
      </c>
      <c r="Z22" s="61">
        <f t="shared" si="1"/>
        <v>137431.99000000002</v>
      </c>
      <c r="AA22" s="61">
        <f t="shared" si="1"/>
        <v>137107.61500000002</v>
      </c>
      <c r="AB22" s="61">
        <f t="shared" si="1"/>
        <v>136810.84000000003</v>
      </c>
      <c r="AC22" s="61">
        <f t="shared" si="1"/>
        <v>136537.54</v>
      </c>
      <c r="AD22" s="61">
        <f t="shared" si="1"/>
        <v>136284.79</v>
      </c>
      <c r="AE22" s="61">
        <f t="shared" si="1"/>
        <v>136050.26500000001</v>
      </c>
      <c r="AF22" s="61">
        <f t="shared" si="1"/>
        <v>135831.94</v>
      </c>
    </row>
    <row r="23" spans="1:32" x14ac:dyDescent="0.35">
      <c r="A23" s="52" t="s">
        <v>427</v>
      </c>
      <c r="B23" s="52">
        <f>B25</f>
        <v>117000</v>
      </c>
      <c r="C23" s="52">
        <f t="shared" ref="C23:AF23" si="2">C25</f>
        <v>117000</v>
      </c>
      <c r="D23" s="52">
        <f t="shared" si="2"/>
        <v>117000</v>
      </c>
      <c r="E23" s="52">
        <f t="shared" si="2"/>
        <v>117000</v>
      </c>
      <c r="F23" s="52">
        <f t="shared" si="2"/>
        <v>117000</v>
      </c>
      <c r="G23" s="52">
        <f t="shared" si="2"/>
        <v>127101</v>
      </c>
      <c r="H23" s="52">
        <f t="shared" si="2"/>
        <v>137202</v>
      </c>
      <c r="I23" s="52">
        <f t="shared" si="2"/>
        <v>149644</v>
      </c>
      <c r="J23" s="52">
        <f t="shared" si="2"/>
        <v>162086</v>
      </c>
      <c r="K23" s="52">
        <f t="shared" si="2"/>
        <v>174528</v>
      </c>
      <c r="L23" s="52">
        <f t="shared" si="2"/>
        <v>186970</v>
      </c>
      <c r="M23" s="52">
        <f t="shared" si="2"/>
        <v>186970</v>
      </c>
      <c r="N23" s="52">
        <f t="shared" si="2"/>
        <v>186970</v>
      </c>
      <c r="O23" s="52">
        <f t="shared" si="2"/>
        <v>186970</v>
      </c>
      <c r="P23" s="52">
        <f t="shared" si="2"/>
        <v>186970</v>
      </c>
      <c r="Q23" s="52">
        <f t="shared" si="2"/>
        <v>186970</v>
      </c>
      <c r="R23" s="52">
        <f t="shared" si="2"/>
        <v>186970</v>
      </c>
      <c r="S23" s="52">
        <f t="shared" si="2"/>
        <v>186970</v>
      </c>
      <c r="T23" s="52">
        <f t="shared" si="2"/>
        <v>186970</v>
      </c>
      <c r="U23" s="52">
        <f t="shared" si="2"/>
        <v>186970</v>
      </c>
      <c r="V23" s="52">
        <f t="shared" si="2"/>
        <v>186970</v>
      </c>
      <c r="W23" s="52">
        <f t="shared" si="2"/>
        <v>186970</v>
      </c>
      <c r="X23" s="52">
        <f t="shared" si="2"/>
        <v>186970</v>
      </c>
      <c r="Y23" s="52">
        <f t="shared" si="2"/>
        <v>186970</v>
      </c>
      <c r="Z23" s="52">
        <f t="shared" si="2"/>
        <v>186970</v>
      </c>
      <c r="AA23" s="52">
        <f t="shared" si="2"/>
        <v>186970</v>
      </c>
      <c r="AB23" s="52">
        <f t="shared" si="2"/>
        <v>186970</v>
      </c>
      <c r="AC23" s="52">
        <f t="shared" si="2"/>
        <v>186970</v>
      </c>
      <c r="AD23" s="52">
        <f t="shared" si="2"/>
        <v>186970</v>
      </c>
      <c r="AE23" s="52">
        <f t="shared" si="2"/>
        <v>186970</v>
      </c>
      <c r="AF23" s="52">
        <f t="shared" si="2"/>
        <v>186970</v>
      </c>
    </row>
    <row r="24" spans="1:32" x14ac:dyDescent="0.35">
      <c r="A24" s="52" t="s">
        <v>428</v>
      </c>
    </row>
    <row r="25" spans="1:32" x14ac:dyDescent="0.35">
      <c r="A25" s="52" t="s">
        <v>429</v>
      </c>
      <c r="B25" s="52">
        <f t="shared" ref="B25:L25" si="3">B74</f>
        <v>117000</v>
      </c>
      <c r="C25" s="52">
        <f t="shared" si="3"/>
        <v>117000</v>
      </c>
      <c r="D25" s="52">
        <f t="shared" si="3"/>
        <v>117000</v>
      </c>
      <c r="E25" s="52">
        <f t="shared" si="3"/>
        <v>117000</v>
      </c>
      <c r="F25" s="52">
        <f t="shared" si="3"/>
        <v>117000</v>
      </c>
      <c r="G25" s="52">
        <f t="shared" si="3"/>
        <v>127101</v>
      </c>
      <c r="H25" s="52">
        <f t="shared" si="3"/>
        <v>137202</v>
      </c>
      <c r="I25" s="52">
        <f t="shared" si="3"/>
        <v>149644</v>
      </c>
      <c r="J25" s="52">
        <f t="shared" si="3"/>
        <v>162086</v>
      </c>
      <c r="K25" s="52">
        <f t="shared" si="3"/>
        <v>174528</v>
      </c>
      <c r="L25" s="52">
        <f t="shared" si="3"/>
        <v>186970</v>
      </c>
      <c r="M25" s="52">
        <f>L25</f>
        <v>186970</v>
      </c>
      <c r="N25" s="52">
        <f t="shared" ref="N25:AF25" si="4">M25</f>
        <v>186970</v>
      </c>
      <c r="O25" s="52">
        <f t="shared" si="4"/>
        <v>186970</v>
      </c>
      <c r="P25" s="52">
        <f t="shared" si="4"/>
        <v>186970</v>
      </c>
      <c r="Q25" s="52">
        <f t="shared" si="4"/>
        <v>186970</v>
      </c>
      <c r="R25" s="52">
        <f t="shared" si="4"/>
        <v>186970</v>
      </c>
      <c r="S25" s="52">
        <f t="shared" si="4"/>
        <v>186970</v>
      </c>
      <c r="T25" s="52">
        <f t="shared" si="4"/>
        <v>186970</v>
      </c>
      <c r="U25" s="52">
        <f t="shared" si="4"/>
        <v>186970</v>
      </c>
      <c r="V25" s="52">
        <f t="shared" si="4"/>
        <v>186970</v>
      </c>
      <c r="W25" s="52">
        <f t="shared" si="4"/>
        <v>186970</v>
      </c>
      <c r="X25" s="52">
        <f t="shared" si="4"/>
        <v>186970</v>
      </c>
      <c r="Y25" s="52">
        <f t="shared" si="4"/>
        <v>186970</v>
      </c>
      <c r="Z25" s="52">
        <f t="shared" si="4"/>
        <v>186970</v>
      </c>
      <c r="AA25" s="52">
        <f t="shared" si="4"/>
        <v>186970</v>
      </c>
      <c r="AB25" s="52">
        <f t="shared" si="4"/>
        <v>186970</v>
      </c>
      <c r="AC25" s="52">
        <f t="shared" si="4"/>
        <v>186970</v>
      </c>
      <c r="AD25" s="52">
        <f t="shared" si="4"/>
        <v>186970</v>
      </c>
      <c r="AE25" s="52">
        <f t="shared" si="4"/>
        <v>186970</v>
      </c>
      <c r="AF25" s="52">
        <f t="shared" si="4"/>
        <v>186970</v>
      </c>
    </row>
    <row r="26" spans="1:32" x14ac:dyDescent="0.35">
      <c r="A26" s="52" t="s">
        <v>430</v>
      </c>
    </row>
    <row r="27" spans="1:32" x14ac:dyDescent="0.35">
      <c r="A27" s="52" t="s">
        <v>431</v>
      </c>
    </row>
    <row r="28" spans="1:32" x14ac:dyDescent="0.35">
      <c r="B28" s="61">
        <f>B22*[2]Hydrogen!B2</f>
        <v>257287.68000000005</v>
      </c>
      <c r="C28" s="61">
        <f>C22*[2]Hydrogen!C2</f>
        <v>230951.17459569691</v>
      </c>
      <c r="D28" s="61">
        <f>D22*[2]Hydrogen!D2</f>
        <v>215011.72389910696</v>
      </c>
      <c r="E28" s="61">
        <f>E22*[2]Hydrogen!E2</f>
        <v>203889.64578628627</v>
      </c>
      <c r="F28" s="61">
        <f>F22*[2]Hydrogen!F2</f>
        <v>195366.15976496332</v>
      </c>
      <c r="G28" s="61">
        <f>G22*[2]Hydrogen!G2</f>
        <v>188974.81930164128</v>
      </c>
      <c r="H28" s="61">
        <f>H22*[2]Hydrogen!H2</f>
        <v>183630.57298338271</v>
      </c>
      <c r="I28" s="61">
        <f>I22*[2]Hydrogen!I2</f>
        <v>179021.15336072995</v>
      </c>
      <c r="J28" s="61">
        <f>J22*[2]Hydrogen!J2</f>
        <v>175067.88092348314</v>
      </c>
      <c r="K28" s="61">
        <f>K22*[2]Hydrogen!K2</f>
        <v>171623.89137007593</v>
      </c>
      <c r="L28" s="61">
        <f>L22*[2]Hydrogen!L2</f>
        <v>168586.11686509254</v>
      </c>
      <c r="M28" s="61">
        <f>M22*[2]Hydrogen!M2</f>
        <v>165971.45122055543</v>
      </c>
      <c r="N28" s="61">
        <f>N22*[2]Hydrogen!N2</f>
        <v>163445.94058668884</v>
      </c>
      <c r="O28" s="61">
        <f>O22*[2]Hydrogen!O2</f>
        <v>161157.32619680342</v>
      </c>
      <c r="P28" s="61">
        <f>P22*[2]Hydrogen!P2</f>
        <v>159065.41599636778</v>
      </c>
      <c r="Q28" s="61">
        <f>Q22*[2]Hydrogen!Q2</f>
        <v>157138.34995381706</v>
      </c>
      <c r="R28" s="61">
        <f>R22*[2]Hydrogen!R2</f>
        <v>155333.96676815182</v>
      </c>
      <c r="S28" s="61">
        <f>S22*[2]Hydrogen!S2</f>
        <v>153654.66708353051</v>
      </c>
      <c r="T28" s="61">
        <f>T22*[2]Hydrogen!T2</f>
        <v>152077.7036389866</v>
      </c>
      <c r="U28" s="61">
        <f>U22*[2]Hydrogen!U2</f>
        <v>150582.01088115294</v>
      </c>
      <c r="V28" s="61">
        <f>V22*[2]Hydrogen!V2</f>
        <v>149152.19190816526</v>
      </c>
      <c r="W28" s="61">
        <f>W22*[2]Hydrogen!W2</f>
        <v>147791.40450825039</v>
      </c>
      <c r="X28" s="61">
        <f>X22*[2]Hydrogen!X2</f>
        <v>146487.60438655943</v>
      </c>
      <c r="Y28" s="61">
        <f>Y22*[2]Hydrogen!Y2</f>
        <v>145232.63620375568</v>
      </c>
      <c r="Z28" s="61">
        <f>Z22*[2]Hydrogen!Z2</f>
        <v>144019.84909405478</v>
      </c>
      <c r="AA28" s="61">
        <f>AA22*[2]Hydrogen!AA2</f>
        <v>142843.58895266883</v>
      </c>
      <c r="AB28" s="61">
        <f>AB22*[2]Hydrogen!AB2</f>
        <v>141699.87239552263</v>
      </c>
      <c r="AC28" s="61">
        <f>AC22*[2]Hydrogen!AC2</f>
        <v>140583.94710699833</v>
      </c>
      <c r="AD28" s="61">
        <f>AD22*[2]Hydrogen!AD2</f>
        <v>139492.38966223539</v>
      </c>
      <c r="AE28" s="61">
        <f>AE22*[2]Hydrogen!AE2</f>
        <v>138422.45846632877</v>
      </c>
      <c r="AF28" s="61">
        <f>AF22*[2]Hydrogen!AF2</f>
        <v>137371.77205388329</v>
      </c>
    </row>
    <row r="29" spans="1:32" x14ac:dyDescent="0.35">
      <c r="A29" s="63" t="s">
        <v>432</v>
      </c>
    </row>
    <row r="30" spans="1:32" x14ac:dyDescent="0.35">
      <c r="A30" s="52" t="s">
        <v>425</v>
      </c>
    </row>
    <row r="31" spans="1:32" x14ac:dyDescent="0.35">
      <c r="A31" s="52" t="s">
        <v>426</v>
      </c>
      <c r="B31" s="64">
        <f t="shared" ref="B31" si="5">D69</f>
        <v>275112.64</v>
      </c>
      <c r="C31" s="61">
        <f>$B$31-C78</f>
        <v>246983.29000000004</v>
      </c>
      <c r="D31" s="61">
        <f t="shared" ref="D31:AF31" si="6">$B$31-D78</f>
        <v>228698.74000000002</v>
      </c>
      <c r="E31" s="61">
        <f t="shared" si="6"/>
        <v>215557.54</v>
      </c>
      <c r="F31" s="61">
        <f t="shared" si="6"/>
        <v>205257.64</v>
      </c>
      <c r="G31" s="61">
        <f t="shared" si="6"/>
        <v>197633.89</v>
      </c>
      <c r="H31" s="61">
        <f t="shared" si="6"/>
        <v>191171.14</v>
      </c>
      <c r="I31" s="61">
        <f t="shared" si="6"/>
        <v>185518.09000000003</v>
      </c>
      <c r="J31" s="61">
        <f t="shared" si="6"/>
        <v>180658.24</v>
      </c>
      <c r="K31" s="61">
        <f t="shared" si="6"/>
        <v>176418.64</v>
      </c>
      <c r="L31" s="61">
        <f t="shared" si="6"/>
        <v>172677.19</v>
      </c>
      <c r="M31" s="61">
        <f t="shared" si="6"/>
        <v>169363.09000000003</v>
      </c>
      <c r="N31" s="61">
        <f t="shared" si="6"/>
        <v>166459.99000000002</v>
      </c>
      <c r="O31" s="61">
        <f t="shared" si="6"/>
        <v>163950.04</v>
      </c>
      <c r="P31" s="61">
        <f t="shared" si="6"/>
        <v>161767.24000000002</v>
      </c>
      <c r="Q31" s="61">
        <f t="shared" si="6"/>
        <v>159859.24</v>
      </c>
      <c r="R31" s="61">
        <f t="shared" si="6"/>
        <v>158153.74</v>
      </c>
      <c r="S31" s="61">
        <f t="shared" si="6"/>
        <v>156658.54</v>
      </c>
      <c r="T31" s="61">
        <f t="shared" si="6"/>
        <v>155335.24000000002</v>
      </c>
      <c r="U31" s="61">
        <f t="shared" si="6"/>
        <v>154147.69</v>
      </c>
      <c r="V31" s="61">
        <f t="shared" si="6"/>
        <v>153069.49</v>
      </c>
      <c r="W31" s="61">
        <f t="shared" si="6"/>
        <v>152108.44</v>
      </c>
      <c r="X31" s="61">
        <f t="shared" si="6"/>
        <v>151243.84000000003</v>
      </c>
      <c r="Y31" s="61">
        <f t="shared" si="6"/>
        <v>150461.89000000001</v>
      </c>
      <c r="Z31" s="61">
        <f t="shared" si="6"/>
        <v>149751.34000000003</v>
      </c>
      <c r="AA31" s="61">
        <f t="shared" si="6"/>
        <v>149102.59000000003</v>
      </c>
      <c r="AB31" s="61">
        <f t="shared" si="6"/>
        <v>148509.04</v>
      </c>
      <c r="AC31" s="61">
        <f t="shared" si="6"/>
        <v>147962.44</v>
      </c>
      <c r="AD31" s="61">
        <f t="shared" si="6"/>
        <v>147456.94</v>
      </c>
      <c r="AE31" s="61">
        <f t="shared" si="6"/>
        <v>146987.89000000001</v>
      </c>
      <c r="AF31" s="61">
        <f t="shared" si="6"/>
        <v>146551.24000000002</v>
      </c>
    </row>
    <row r="32" spans="1:32" x14ac:dyDescent="0.35">
      <c r="A32" s="52" t="s">
        <v>427</v>
      </c>
      <c r="B32" s="64">
        <f>B34</f>
        <v>145000</v>
      </c>
      <c r="C32" s="64">
        <f t="shared" ref="C32:AF32" si="7">C34</f>
        <v>145000</v>
      </c>
      <c r="D32" s="64">
        <f t="shared" si="7"/>
        <v>145000</v>
      </c>
      <c r="E32" s="64">
        <f t="shared" si="7"/>
        <v>145000</v>
      </c>
      <c r="F32" s="64">
        <f t="shared" si="7"/>
        <v>145000</v>
      </c>
      <c r="G32" s="64">
        <f t="shared" si="7"/>
        <v>155101</v>
      </c>
      <c r="H32" s="64">
        <f t="shared" si="7"/>
        <v>165202</v>
      </c>
      <c r="I32" s="64">
        <f t="shared" si="7"/>
        <v>177644</v>
      </c>
      <c r="J32" s="64">
        <f t="shared" si="7"/>
        <v>190086</v>
      </c>
      <c r="K32" s="64">
        <f t="shared" si="7"/>
        <v>202528</v>
      </c>
      <c r="L32" s="64">
        <f t="shared" si="7"/>
        <v>214970</v>
      </c>
      <c r="M32" s="64">
        <f t="shared" si="7"/>
        <v>214970</v>
      </c>
      <c r="N32" s="64">
        <f t="shared" si="7"/>
        <v>214970</v>
      </c>
      <c r="O32" s="64">
        <f t="shared" si="7"/>
        <v>214970</v>
      </c>
      <c r="P32" s="64">
        <f t="shared" si="7"/>
        <v>214970</v>
      </c>
      <c r="Q32" s="64">
        <f t="shared" si="7"/>
        <v>214970</v>
      </c>
      <c r="R32" s="64">
        <f t="shared" si="7"/>
        <v>214970</v>
      </c>
      <c r="S32" s="64">
        <f t="shared" si="7"/>
        <v>214970</v>
      </c>
      <c r="T32" s="64">
        <f t="shared" si="7"/>
        <v>214970</v>
      </c>
      <c r="U32" s="64">
        <f t="shared" si="7"/>
        <v>214970</v>
      </c>
      <c r="V32" s="64">
        <f t="shared" si="7"/>
        <v>214970</v>
      </c>
      <c r="W32" s="64">
        <f t="shared" si="7"/>
        <v>214970</v>
      </c>
      <c r="X32" s="64">
        <f t="shared" si="7"/>
        <v>214970</v>
      </c>
      <c r="Y32" s="64">
        <f t="shared" si="7"/>
        <v>214970</v>
      </c>
      <c r="Z32" s="64">
        <f t="shared" si="7"/>
        <v>214970</v>
      </c>
      <c r="AA32" s="64">
        <f t="shared" si="7"/>
        <v>214970</v>
      </c>
      <c r="AB32" s="64">
        <f t="shared" si="7"/>
        <v>214970</v>
      </c>
      <c r="AC32" s="64">
        <f t="shared" si="7"/>
        <v>214970</v>
      </c>
      <c r="AD32" s="64">
        <f t="shared" si="7"/>
        <v>214970</v>
      </c>
      <c r="AE32" s="64">
        <f t="shared" si="7"/>
        <v>214970</v>
      </c>
      <c r="AF32" s="64">
        <f t="shared" si="7"/>
        <v>214970</v>
      </c>
    </row>
    <row r="33" spans="1:32" x14ac:dyDescent="0.35">
      <c r="A33" s="52" t="s">
        <v>428</v>
      </c>
    </row>
    <row r="34" spans="1:32" x14ac:dyDescent="0.35">
      <c r="A34" s="52" t="s">
        <v>429</v>
      </c>
      <c r="B34" s="56">
        <f t="shared" ref="B34:L34" si="8">B73</f>
        <v>145000</v>
      </c>
      <c r="C34" s="56">
        <f t="shared" si="8"/>
        <v>145000</v>
      </c>
      <c r="D34" s="56">
        <f t="shared" si="8"/>
        <v>145000</v>
      </c>
      <c r="E34" s="56">
        <f t="shared" si="8"/>
        <v>145000</v>
      </c>
      <c r="F34" s="56">
        <f t="shared" si="8"/>
        <v>145000</v>
      </c>
      <c r="G34" s="56">
        <f t="shared" si="8"/>
        <v>155101</v>
      </c>
      <c r="H34" s="56">
        <f t="shared" si="8"/>
        <v>165202</v>
      </c>
      <c r="I34" s="56">
        <f t="shared" si="8"/>
        <v>177644</v>
      </c>
      <c r="J34" s="56">
        <f t="shared" si="8"/>
        <v>190086</v>
      </c>
      <c r="K34" s="56">
        <f t="shared" si="8"/>
        <v>202528</v>
      </c>
      <c r="L34" s="56">
        <f t="shared" si="8"/>
        <v>214970</v>
      </c>
      <c r="M34" s="56">
        <f>L34</f>
        <v>214970</v>
      </c>
      <c r="N34" s="56">
        <f t="shared" ref="N34:AF34" si="9">M34</f>
        <v>214970</v>
      </c>
      <c r="O34" s="56">
        <f t="shared" si="9"/>
        <v>214970</v>
      </c>
      <c r="P34" s="56">
        <f t="shared" si="9"/>
        <v>214970</v>
      </c>
      <c r="Q34" s="56">
        <f t="shared" si="9"/>
        <v>214970</v>
      </c>
      <c r="R34" s="56">
        <f t="shared" si="9"/>
        <v>214970</v>
      </c>
      <c r="S34" s="56">
        <f t="shared" si="9"/>
        <v>214970</v>
      </c>
      <c r="T34" s="56">
        <f t="shared" si="9"/>
        <v>214970</v>
      </c>
      <c r="U34" s="56">
        <f t="shared" si="9"/>
        <v>214970</v>
      </c>
      <c r="V34" s="56">
        <f t="shared" si="9"/>
        <v>214970</v>
      </c>
      <c r="W34" s="56">
        <f t="shared" si="9"/>
        <v>214970</v>
      </c>
      <c r="X34" s="56">
        <f t="shared" si="9"/>
        <v>214970</v>
      </c>
      <c r="Y34" s="56">
        <f t="shared" si="9"/>
        <v>214970</v>
      </c>
      <c r="Z34" s="56">
        <f t="shared" si="9"/>
        <v>214970</v>
      </c>
      <c r="AA34" s="56">
        <f t="shared" si="9"/>
        <v>214970</v>
      </c>
      <c r="AB34" s="56">
        <f t="shared" si="9"/>
        <v>214970</v>
      </c>
      <c r="AC34" s="56">
        <f t="shared" si="9"/>
        <v>214970</v>
      </c>
      <c r="AD34" s="56">
        <f t="shared" si="9"/>
        <v>214970</v>
      </c>
      <c r="AE34" s="56">
        <f t="shared" si="9"/>
        <v>214970</v>
      </c>
      <c r="AF34" s="56">
        <f t="shared" si="9"/>
        <v>214970</v>
      </c>
    </row>
    <row r="35" spans="1:32" x14ac:dyDescent="0.35">
      <c r="A35" s="52" t="s">
        <v>430</v>
      </c>
    </row>
    <row r="36" spans="1:32" x14ac:dyDescent="0.35">
      <c r="A36" s="52" t="s">
        <v>431</v>
      </c>
    </row>
    <row r="37" spans="1:32" x14ac:dyDescent="0.35">
      <c r="B37" s="61">
        <f>B31*[2]Hydrogen!B2</f>
        <v>353716.25142857147</v>
      </c>
      <c r="C37" s="61">
        <f>C31*[2]Hydrogen!C2</f>
        <v>306593.41493474355</v>
      </c>
      <c r="D37" s="61">
        <f>D31*[2]Hydrogen!D2</f>
        <v>277961.15738817479</v>
      </c>
      <c r="E37" s="61">
        <f>E31*[2]Hydrogen!E2</f>
        <v>258020.53163070057</v>
      </c>
      <c r="F37" s="61">
        <f>F31*[2]Hydrogen!F2</f>
        <v>242760.31663150404</v>
      </c>
      <c r="G37" s="61">
        <f>G31*[2]Hydrogen!G2</f>
        <v>231437.52250802168</v>
      </c>
      <c r="H37" s="61">
        <f>H31*[2]Hydrogen!H2</f>
        <v>221983.34657620743</v>
      </c>
      <c r="I37" s="61">
        <f>I31*[2]Hydrogen!I2</f>
        <v>213833.72109436628</v>
      </c>
      <c r="J37" s="61">
        <f>J31*[2]Hydrogen!J2</f>
        <v>206870.28959831648</v>
      </c>
      <c r="K37" s="61">
        <f>K31*[2]Hydrogen!K2</f>
        <v>200825.95415650762</v>
      </c>
      <c r="L37" s="61">
        <f>L31*[2]Hydrogen!L2</f>
        <v>195513.57367224921</v>
      </c>
      <c r="M37" s="61">
        <f>M31*[2]Hydrogen!M2</f>
        <v>190911.74563348593</v>
      </c>
      <c r="N37" s="61">
        <f>N31*[2]Hydrogen!N2</f>
        <v>186623.8928914612</v>
      </c>
      <c r="O37" s="61">
        <f>O31*[2]Hydrogen!O2</f>
        <v>182809.83263739868</v>
      </c>
      <c r="P37" s="61">
        <f>P31*[2]Hydrogen!P2</f>
        <v>179389.18076223589</v>
      </c>
      <c r="Q37" s="61">
        <f>Q31*[2]Hydrogen!Q2</f>
        <v>176298.21720284282</v>
      </c>
      <c r="R37" s="61">
        <f>R31*[2]Hydrogen!R2</f>
        <v>173452.61935722074</v>
      </c>
      <c r="S37" s="61">
        <f>S31*[2]Hydrogen!S2</f>
        <v>170857.1885136865</v>
      </c>
      <c r="T37" s="61">
        <f>T31*[2]Hydrogen!T2</f>
        <v>168466.43015030716</v>
      </c>
      <c r="U37" s="61">
        <f>U31*[2]Hydrogen!U2</f>
        <v>166238.21316034818</v>
      </c>
      <c r="V37" s="61">
        <f>V31*[2]Hydrogen!V2</f>
        <v>164141.74374008123</v>
      </c>
      <c r="W37" s="61">
        <f>W31*[2]Hydrogen!W2</f>
        <v>162183.33746595989</v>
      </c>
      <c r="X37" s="61">
        <f>X31*[2]Hydrogen!X2</f>
        <v>160338.90574828634</v>
      </c>
      <c r="Y37" s="61">
        <f>Y31*[2]Hydrogen!Y2</f>
        <v>158592.13790838729</v>
      </c>
      <c r="Z37" s="61">
        <f>Z31*[2]Hydrogen!Z2</f>
        <v>156929.73221469391</v>
      </c>
      <c r="AA37" s="61">
        <f>AA31*[2]Hydrogen!AA2</f>
        <v>155340.38045763035</v>
      </c>
      <c r="AB37" s="61">
        <f>AB31*[2]Hydrogen!AB2</f>
        <v>153816.11586904636</v>
      </c>
      <c r="AC37" s="61">
        <f>AC31*[2]Hydrogen!AC2</f>
        <v>152347.43381770619</v>
      </c>
      <c r="AD37" s="61">
        <f>AD31*[2]Hydrogen!AD2</f>
        <v>150927.48745388878</v>
      </c>
      <c r="AE37" s="61">
        <f>AE31*[2]Hydrogen!AE2</f>
        <v>149550.7935877839</v>
      </c>
      <c r="AF37" s="61">
        <f>AF31*[2]Hydrogen!AF2</f>
        <v>148212.58928860139</v>
      </c>
    </row>
    <row r="38" spans="1:32" x14ac:dyDescent="0.35">
      <c r="A38" s="63" t="s">
        <v>434</v>
      </c>
    </row>
    <row r="39" spans="1:32" x14ac:dyDescent="0.35">
      <c r="A39" s="52" t="s">
        <v>435</v>
      </c>
    </row>
    <row r="40" spans="1:32" x14ac:dyDescent="0.35">
      <c r="A40" s="52" t="str">
        <f t="shared" ref="A40:A41" si="10">A51</f>
        <v>Sleeper / long haul</v>
      </c>
      <c r="B40" s="52" t="s">
        <v>435</v>
      </c>
    </row>
    <row r="41" spans="1:32" x14ac:dyDescent="0.35">
      <c r="A41" s="52" t="str">
        <f t="shared" si="10"/>
        <v>Day cab</v>
      </c>
      <c r="B41" s="53">
        <f>C52</f>
        <v>284599.03999999998</v>
      </c>
    </row>
    <row r="42" spans="1:32" x14ac:dyDescent="0.35">
      <c r="B42" s="53">
        <f>C53</f>
        <v>209599.03999999998</v>
      </c>
    </row>
    <row r="43" spans="1:32" x14ac:dyDescent="0.35">
      <c r="A43" s="57" t="s">
        <v>436</v>
      </c>
    </row>
    <row r="44" spans="1:32" x14ac:dyDescent="0.35">
      <c r="B44" s="58"/>
      <c r="C44" s="58"/>
      <c r="D44" s="58"/>
      <c r="G44" s="65" t="s">
        <v>437</v>
      </c>
    </row>
    <row r="45" spans="1:32" x14ac:dyDescent="0.35">
      <c r="A45" s="52" t="s">
        <v>438</v>
      </c>
      <c r="B45" s="52" t="s">
        <v>439</v>
      </c>
      <c r="C45" s="53">
        <v>248000</v>
      </c>
      <c r="D45" s="53"/>
    </row>
    <row r="46" spans="1:32" x14ac:dyDescent="0.35">
      <c r="A46" s="52" t="s">
        <v>440</v>
      </c>
      <c r="B46" s="52" t="s">
        <v>441</v>
      </c>
      <c r="C46" s="53"/>
      <c r="D46" s="53">
        <v>150000</v>
      </c>
    </row>
    <row r="47" spans="1:32" x14ac:dyDescent="0.35">
      <c r="B47" s="52" t="s">
        <v>442</v>
      </c>
      <c r="C47" s="53"/>
      <c r="D47" s="53">
        <f>D46/2</f>
        <v>75000</v>
      </c>
    </row>
    <row r="48" spans="1:32" x14ac:dyDescent="0.35">
      <c r="B48" s="52" t="s">
        <v>443</v>
      </c>
      <c r="C48" s="53"/>
      <c r="D48" s="53">
        <f>C45-D46</f>
        <v>98000</v>
      </c>
    </row>
    <row r="49" spans="1:5" x14ac:dyDescent="0.35">
      <c r="B49" s="52" t="s">
        <v>444</v>
      </c>
      <c r="C49" s="53">
        <f>'HDV frt'!C62</f>
        <v>36599.040000000001</v>
      </c>
      <c r="D49" s="53"/>
    </row>
    <row r="50" spans="1:5" x14ac:dyDescent="0.35">
      <c r="A50" s="63" t="s">
        <v>445</v>
      </c>
      <c r="C50" s="53"/>
      <c r="D50" s="53"/>
    </row>
    <row r="51" spans="1:5" x14ac:dyDescent="0.35">
      <c r="A51" s="52" t="s">
        <v>438</v>
      </c>
      <c r="C51" s="53"/>
      <c r="D51" s="53"/>
    </row>
    <row r="52" spans="1:5" x14ac:dyDescent="0.35">
      <c r="A52" s="52" t="s">
        <v>440</v>
      </c>
      <c r="B52" s="52" t="s">
        <v>446</v>
      </c>
      <c r="C52" s="53">
        <f>SUM(C45:C49)</f>
        <v>284599.03999999998</v>
      </c>
      <c r="D52" s="53"/>
    </row>
    <row r="53" spans="1:5" x14ac:dyDescent="0.35">
      <c r="B53" s="52" t="s">
        <v>447</v>
      </c>
      <c r="C53" s="53">
        <f>C52-D46/2</f>
        <v>209599.03999999998</v>
      </c>
      <c r="D53" s="53"/>
    </row>
    <row r="55" spans="1:5" x14ac:dyDescent="0.35">
      <c r="B55" s="65" t="s">
        <v>437</v>
      </c>
      <c r="C55" s="65" t="s">
        <v>448</v>
      </c>
      <c r="D55" s="52" t="s">
        <v>449</v>
      </c>
    </row>
    <row r="56" spans="1:5" x14ac:dyDescent="0.35">
      <c r="A56" s="52" t="s">
        <v>450</v>
      </c>
      <c r="B56" s="52" t="s">
        <v>451</v>
      </c>
      <c r="C56" s="52" t="s">
        <v>452</v>
      </c>
    </row>
    <row r="57" spans="1:5" x14ac:dyDescent="0.35">
      <c r="A57" s="52" t="s">
        <v>453</v>
      </c>
      <c r="B57" s="52">
        <v>0.04</v>
      </c>
      <c r="C57" s="52">
        <v>0.08</v>
      </c>
      <c r="D57" s="66">
        <f>B57*C57</f>
        <v>3.2000000000000002E-3</v>
      </c>
    </row>
    <row r="58" spans="1:5" x14ac:dyDescent="0.35">
      <c r="B58" s="52">
        <v>0.12</v>
      </c>
      <c r="C58" s="52">
        <v>0.78</v>
      </c>
      <c r="D58" s="66">
        <f>B58*C58</f>
        <v>9.3600000000000003E-2</v>
      </c>
    </row>
    <row r="59" spans="1:5" x14ac:dyDescent="0.35">
      <c r="D59" s="66">
        <f>D57+D58</f>
        <v>9.6799999999999997E-2</v>
      </c>
      <c r="E59" s="52" t="s">
        <v>454</v>
      </c>
    </row>
    <row r="60" spans="1:5" x14ac:dyDescent="0.35">
      <c r="D60" s="52">
        <f>(D59)*D48</f>
        <v>9486.4</v>
      </c>
      <c r="E60" s="52" t="s">
        <v>455</v>
      </c>
    </row>
    <row r="61" spans="1:5" x14ac:dyDescent="0.35">
      <c r="A61" s="52" t="s">
        <v>456</v>
      </c>
    </row>
    <row r="62" spans="1:5" x14ac:dyDescent="0.35">
      <c r="A62" s="52" t="s">
        <v>457</v>
      </c>
      <c r="C62" s="53">
        <f>C63*101664</f>
        <v>36599.040000000001</v>
      </c>
    </row>
    <row r="63" spans="1:5" x14ac:dyDescent="0.35">
      <c r="C63" s="52">
        <v>0.36</v>
      </c>
    </row>
    <row r="64" spans="1:5" x14ac:dyDescent="0.35">
      <c r="A64" s="57" t="s">
        <v>458</v>
      </c>
    </row>
    <row r="65" spans="1:32" x14ac:dyDescent="0.35">
      <c r="A65" s="52" t="s">
        <v>459</v>
      </c>
      <c r="B65" s="57"/>
      <c r="C65" s="57"/>
      <c r="D65" s="57"/>
    </row>
    <row r="66" spans="1:32" x14ac:dyDescent="0.35">
      <c r="D66" s="67">
        <f>D48-D60</f>
        <v>88513.600000000006</v>
      </c>
    </row>
    <row r="67" spans="1:32" x14ac:dyDescent="0.35">
      <c r="A67" s="63" t="s">
        <v>460</v>
      </c>
      <c r="D67" s="67"/>
    </row>
    <row r="68" spans="1:32" x14ac:dyDescent="0.35">
      <c r="A68" s="52" t="s">
        <v>438</v>
      </c>
    </row>
    <row r="69" spans="1:32" x14ac:dyDescent="0.35">
      <c r="A69" s="52" t="s">
        <v>440</v>
      </c>
      <c r="B69" s="52" t="s">
        <v>446</v>
      </c>
      <c r="D69" s="68">
        <f>D46+C49+D66</f>
        <v>275112.64</v>
      </c>
    </row>
    <row r="70" spans="1:32" x14ac:dyDescent="0.35">
      <c r="B70" s="52" t="s">
        <v>447</v>
      </c>
      <c r="D70" s="68">
        <f>D47+C49+D66</f>
        <v>200112.64000000001</v>
      </c>
    </row>
    <row r="71" spans="1:32" x14ac:dyDescent="0.35">
      <c r="A71" s="63"/>
    </row>
    <row r="72" spans="1:32" x14ac:dyDescent="0.35">
      <c r="A72" s="52" t="s">
        <v>461</v>
      </c>
      <c r="B72" s="52">
        <v>2020</v>
      </c>
      <c r="C72" s="52" t="s">
        <v>462</v>
      </c>
      <c r="G72" s="52">
        <v>2025</v>
      </c>
      <c r="H72" s="52">
        <v>2026</v>
      </c>
      <c r="I72" s="52">
        <f>H72+1</f>
        <v>2027</v>
      </c>
      <c r="J72" s="52">
        <f t="shared" ref="J72:L72" si="11">I72+1</f>
        <v>2028</v>
      </c>
      <c r="K72" s="52">
        <f t="shared" si="11"/>
        <v>2029</v>
      </c>
      <c r="L72" s="52">
        <f t="shared" si="11"/>
        <v>2030</v>
      </c>
    </row>
    <row r="73" spans="1:32" x14ac:dyDescent="0.35">
      <c r="A73" s="52" t="s">
        <v>463</v>
      </c>
      <c r="B73" s="56">
        <v>145000</v>
      </c>
      <c r="C73" s="56">
        <f>B73</f>
        <v>145000</v>
      </c>
      <c r="D73" s="56">
        <f t="shared" ref="D73:F74" si="12">C73</f>
        <v>145000</v>
      </c>
      <c r="E73" s="56">
        <f t="shared" si="12"/>
        <v>145000</v>
      </c>
      <c r="F73" s="56">
        <f t="shared" si="12"/>
        <v>145000</v>
      </c>
      <c r="G73" s="61">
        <f>F73+[2]CARB!C21</f>
        <v>155101</v>
      </c>
      <c r="H73" s="61">
        <f>G73+[2]CARB!C21</f>
        <v>165202</v>
      </c>
      <c r="I73" s="61">
        <f>H73+[2]CARB!$D$21</f>
        <v>177644</v>
      </c>
      <c r="J73" s="61">
        <f>I73+[2]CARB!$D$21</f>
        <v>190086</v>
      </c>
      <c r="K73" s="61">
        <f>J73+[2]CARB!$D$21</f>
        <v>202528</v>
      </c>
      <c r="L73" s="61">
        <f>K73+[2]CARB!$D$21</f>
        <v>214970</v>
      </c>
      <c r="M73" s="61"/>
      <c r="N73" s="61"/>
    </row>
    <row r="74" spans="1:32" x14ac:dyDescent="0.35">
      <c r="A74" s="63"/>
      <c r="B74" s="52">
        <f>117000</f>
        <v>117000</v>
      </c>
      <c r="C74" s="56">
        <f>B74</f>
        <v>117000</v>
      </c>
      <c r="D74" s="56">
        <f t="shared" si="12"/>
        <v>117000</v>
      </c>
      <c r="E74" s="56">
        <f t="shared" si="12"/>
        <v>117000</v>
      </c>
      <c r="F74" s="56">
        <f t="shared" si="12"/>
        <v>117000</v>
      </c>
      <c r="G74" s="61">
        <f>F74+[2]CARB!C21</f>
        <v>127101</v>
      </c>
      <c r="H74" s="61">
        <f>G74+[2]CARB!C21</f>
        <v>137202</v>
      </c>
      <c r="I74" s="61">
        <f>H74+[2]CARB!$D$21</f>
        <v>149644</v>
      </c>
      <c r="J74" s="61">
        <f>I74+[2]CARB!$D$21</f>
        <v>162086</v>
      </c>
      <c r="K74" s="61">
        <f>J74+[2]CARB!$D$21</f>
        <v>174528</v>
      </c>
      <c r="L74" s="61">
        <f>K74+[2]CARB!$D$21</f>
        <v>186970</v>
      </c>
      <c r="M74" s="61"/>
      <c r="N74" s="61"/>
    </row>
    <row r="75" spans="1:32" x14ac:dyDescent="0.35">
      <c r="A75" s="52" t="s">
        <v>464</v>
      </c>
    </row>
    <row r="76" spans="1:32" x14ac:dyDescent="0.35">
      <c r="A76" s="52" t="s">
        <v>465</v>
      </c>
      <c r="B76" s="64">
        <f>D46</f>
        <v>150000</v>
      </c>
      <c r="D76" s="61"/>
    </row>
    <row r="77" spans="1:32" x14ac:dyDescent="0.35">
      <c r="A77" s="52" t="s">
        <v>466</v>
      </c>
      <c r="B77" s="64">
        <f>D47</f>
        <v>75000</v>
      </c>
      <c r="D77" s="61"/>
    </row>
    <row r="78" spans="1:32" x14ac:dyDescent="0.35">
      <c r="A78" s="52" t="s">
        <v>467</v>
      </c>
      <c r="B78" s="64"/>
      <c r="C78" s="61">
        <f>(1-C83)*$B$76</f>
        <v>28129.349999999991</v>
      </c>
      <c r="D78" s="61">
        <f t="shared" ref="D78:AF78" si="13">(1-D83)*$B$76</f>
        <v>46413.899999999994</v>
      </c>
      <c r="E78" s="61">
        <f t="shared" si="13"/>
        <v>59555.1</v>
      </c>
      <c r="F78" s="61">
        <f t="shared" si="13"/>
        <v>69855</v>
      </c>
      <c r="G78" s="61">
        <f t="shared" si="13"/>
        <v>77478.75</v>
      </c>
      <c r="H78" s="61">
        <f t="shared" si="13"/>
        <v>83941.499999999985</v>
      </c>
      <c r="I78" s="61">
        <f t="shared" si="13"/>
        <v>89594.549999999988</v>
      </c>
      <c r="J78" s="61">
        <f t="shared" si="13"/>
        <v>94454.400000000009</v>
      </c>
      <c r="K78" s="61">
        <f t="shared" si="13"/>
        <v>98694</v>
      </c>
      <c r="L78" s="61">
        <f t="shared" si="13"/>
        <v>102435.45000000001</v>
      </c>
      <c r="M78" s="61">
        <f t="shared" si="13"/>
        <v>105749.55</v>
      </c>
      <c r="N78" s="61">
        <f t="shared" si="13"/>
        <v>108652.65</v>
      </c>
      <c r="O78" s="61">
        <f t="shared" si="13"/>
        <v>111162.6</v>
      </c>
      <c r="P78" s="61">
        <f t="shared" si="13"/>
        <v>113345.4</v>
      </c>
      <c r="Q78" s="61">
        <f t="shared" si="13"/>
        <v>115253.40000000001</v>
      </c>
      <c r="R78" s="61">
        <f t="shared" si="13"/>
        <v>116958.90000000001</v>
      </c>
      <c r="S78" s="61">
        <f t="shared" si="13"/>
        <v>118454.1</v>
      </c>
      <c r="T78" s="61">
        <f t="shared" si="13"/>
        <v>119777.4</v>
      </c>
      <c r="U78" s="61">
        <f t="shared" si="13"/>
        <v>120964.95</v>
      </c>
      <c r="V78" s="61">
        <f t="shared" si="13"/>
        <v>122043.15000000001</v>
      </c>
      <c r="W78" s="61">
        <f t="shared" si="13"/>
        <v>123004.2</v>
      </c>
      <c r="X78" s="61">
        <f t="shared" si="13"/>
        <v>123868.79999999999</v>
      </c>
      <c r="Y78" s="61">
        <f t="shared" si="13"/>
        <v>124650.75</v>
      </c>
      <c r="Z78" s="61">
        <f t="shared" si="13"/>
        <v>125361.3</v>
      </c>
      <c r="AA78" s="61">
        <f t="shared" si="13"/>
        <v>126010.05</v>
      </c>
      <c r="AB78" s="61">
        <f t="shared" si="13"/>
        <v>126603.6</v>
      </c>
      <c r="AC78" s="61">
        <f t="shared" si="13"/>
        <v>127150.2</v>
      </c>
      <c r="AD78" s="61">
        <f t="shared" si="13"/>
        <v>127655.7</v>
      </c>
      <c r="AE78" s="61">
        <f t="shared" si="13"/>
        <v>128124.75000000001</v>
      </c>
      <c r="AF78" s="61">
        <f t="shared" si="13"/>
        <v>128561.4</v>
      </c>
    </row>
    <row r="79" spans="1:32" x14ac:dyDescent="0.35">
      <c r="B79" s="64"/>
      <c r="C79" s="61">
        <f>(1-C83)*$B$77</f>
        <v>14064.674999999996</v>
      </c>
      <c r="D79" s="61">
        <f t="shared" ref="D79:AF79" si="14">(1-D83)*$B$77</f>
        <v>23206.949999999997</v>
      </c>
      <c r="E79" s="61">
        <f t="shared" si="14"/>
        <v>29777.55</v>
      </c>
      <c r="F79" s="61">
        <f t="shared" si="14"/>
        <v>34927.5</v>
      </c>
      <c r="G79" s="61">
        <f t="shared" si="14"/>
        <v>38739.375</v>
      </c>
      <c r="H79" s="61">
        <f t="shared" si="14"/>
        <v>41970.749999999993</v>
      </c>
      <c r="I79" s="61">
        <f t="shared" si="14"/>
        <v>44797.274999999994</v>
      </c>
      <c r="J79" s="61">
        <f t="shared" si="14"/>
        <v>47227.200000000004</v>
      </c>
      <c r="K79" s="61">
        <f t="shared" si="14"/>
        <v>49347</v>
      </c>
      <c r="L79" s="61">
        <f t="shared" si="14"/>
        <v>51217.725000000006</v>
      </c>
      <c r="M79" s="61">
        <f t="shared" si="14"/>
        <v>52874.775000000001</v>
      </c>
      <c r="N79" s="61">
        <f t="shared" si="14"/>
        <v>54326.324999999997</v>
      </c>
      <c r="O79" s="61">
        <f t="shared" si="14"/>
        <v>55581.3</v>
      </c>
      <c r="P79" s="61">
        <f t="shared" si="14"/>
        <v>56672.7</v>
      </c>
      <c r="Q79" s="61">
        <f t="shared" si="14"/>
        <v>57626.700000000004</v>
      </c>
      <c r="R79" s="61">
        <f t="shared" si="14"/>
        <v>58479.450000000004</v>
      </c>
      <c r="S79" s="61">
        <f t="shared" si="14"/>
        <v>59227.05</v>
      </c>
      <c r="T79" s="61">
        <f t="shared" si="14"/>
        <v>59888.7</v>
      </c>
      <c r="U79" s="61">
        <f t="shared" si="14"/>
        <v>60482.474999999999</v>
      </c>
      <c r="V79" s="61">
        <f t="shared" si="14"/>
        <v>61021.575000000004</v>
      </c>
      <c r="W79" s="61">
        <f t="shared" si="14"/>
        <v>61502.1</v>
      </c>
      <c r="X79" s="61">
        <f t="shared" si="14"/>
        <v>61934.399999999994</v>
      </c>
      <c r="Y79" s="61">
        <f t="shared" si="14"/>
        <v>62325.375</v>
      </c>
      <c r="Z79" s="61">
        <f t="shared" si="14"/>
        <v>62680.65</v>
      </c>
      <c r="AA79" s="61">
        <f t="shared" si="14"/>
        <v>63005.025000000001</v>
      </c>
      <c r="AB79" s="61">
        <f t="shared" si="14"/>
        <v>63301.8</v>
      </c>
      <c r="AC79" s="61">
        <f t="shared" si="14"/>
        <v>63575.1</v>
      </c>
      <c r="AD79" s="61">
        <f t="shared" si="14"/>
        <v>63827.85</v>
      </c>
      <c r="AE79" s="61">
        <f t="shared" si="14"/>
        <v>64062.375000000007</v>
      </c>
      <c r="AF79" s="61">
        <f t="shared" si="14"/>
        <v>64280.7</v>
      </c>
    </row>
    <row r="80" spans="1:32" x14ac:dyDescent="0.35">
      <c r="A80" s="52" t="s">
        <v>468</v>
      </c>
      <c r="B80" s="64"/>
      <c r="D80" s="61"/>
    </row>
    <row r="81" spans="1:32" x14ac:dyDescent="0.35">
      <c r="A81" s="52" t="s">
        <v>469</v>
      </c>
    </row>
    <row r="82" spans="1:32" x14ac:dyDescent="0.35">
      <c r="A82" s="52" t="s">
        <v>470</v>
      </c>
      <c r="B82" s="52">
        <v>2020</v>
      </c>
      <c r="C82" s="52">
        <v>2021</v>
      </c>
      <c r="D82" s="52">
        <v>2022</v>
      </c>
      <c r="E82" s="52">
        <v>2023</v>
      </c>
      <c r="F82" s="52">
        <v>2024</v>
      </c>
      <c r="G82" s="52">
        <v>2025</v>
      </c>
      <c r="H82" s="52">
        <v>2026</v>
      </c>
      <c r="I82" s="52">
        <v>2027</v>
      </c>
      <c r="J82" s="52">
        <v>2028</v>
      </c>
      <c r="K82" s="52">
        <v>2029</v>
      </c>
      <c r="L82" s="52">
        <v>2030</v>
      </c>
      <c r="M82" s="52">
        <v>2031</v>
      </c>
      <c r="N82" s="52">
        <v>2032</v>
      </c>
      <c r="O82" s="52">
        <v>2033</v>
      </c>
      <c r="P82" s="52">
        <v>2034</v>
      </c>
      <c r="Q82" s="52">
        <v>2035</v>
      </c>
      <c r="R82" s="52">
        <v>2036</v>
      </c>
      <c r="S82" s="52">
        <v>2037</v>
      </c>
      <c r="T82" s="52">
        <v>2038</v>
      </c>
      <c r="U82" s="52">
        <v>2039</v>
      </c>
      <c r="V82" s="52">
        <v>2040</v>
      </c>
      <c r="W82" s="52">
        <v>2041</v>
      </c>
      <c r="X82" s="52">
        <v>2042</v>
      </c>
      <c r="Y82" s="52">
        <v>2043</v>
      </c>
      <c r="Z82" s="52">
        <v>2044</v>
      </c>
      <c r="AA82" s="52">
        <v>2045</v>
      </c>
      <c r="AB82" s="52">
        <v>2046</v>
      </c>
      <c r="AC82" s="52">
        <v>2047</v>
      </c>
      <c r="AD82" s="52">
        <v>2048</v>
      </c>
      <c r="AE82" s="52">
        <v>2049</v>
      </c>
      <c r="AF82" s="52">
        <v>2050</v>
      </c>
    </row>
    <row r="83" spans="1:32" x14ac:dyDescent="0.35">
      <c r="B83" s="52">
        <v>1</v>
      </c>
      <c r="C83" s="52">
        <v>0.81247100000000005</v>
      </c>
      <c r="D83" s="52">
        <v>0.69057400000000002</v>
      </c>
      <c r="E83" s="52">
        <v>0.602966</v>
      </c>
      <c r="F83" s="52">
        <v>0.5343</v>
      </c>
      <c r="G83" s="52">
        <v>0.48347499999999999</v>
      </c>
      <c r="H83" s="52">
        <v>0.44039</v>
      </c>
      <c r="I83" s="52">
        <v>0.40270299999999998</v>
      </c>
      <c r="J83" s="52">
        <v>0.37030400000000002</v>
      </c>
      <c r="K83" s="52">
        <v>0.34204000000000001</v>
      </c>
      <c r="L83" s="52">
        <v>0.31709700000000002</v>
      </c>
      <c r="M83" s="52">
        <v>0.29500300000000002</v>
      </c>
      <c r="N83" s="52">
        <v>0.27564899999999998</v>
      </c>
      <c r="O83" s="52">
        <v>0.25891599999999998</v>
      </c>
      <c r="P83" s="52">
        <v>0.244364</v>
      </c>
      <c r="Q83" s="52">
        <v>0.23164399999999999</v>
      </c>
      <c r="R83" s="52">
        <v>0.220274</v>
      </c>
      <c r="S83" s="52">
        <v>0.21030599999999999</v>
      </c>
      <c r="T83" s="52">
        <v>0.201484</v>
      </c>
      <c r="U83" s="52">
        <v>0.19356699999999999</v>
      </c>
      <c r="V83" s="52">
        <v>0.18637899999999999</v>
      </c>
      <c r="W83" s="52">
        <v>0.17997199999999999</v>
      </c>
      <c r="X83" s="52">
        <v>0.174208</v>
      </c>
      <c r="Y83" s="52">
        <v>0.16899500000000001</v>
      </c>
      <c r="Z83" s="52">
        <v>0.16425799999999999</v>
      </c>
      <c r="AA83" s="52">
        <v>0.15993299999999999</v>
      </c>
      <c r="AB83" s="52">
        <v>0.155976</v>
      </c>
      <c r="AC83" s="52">
        <v>0.152332</v>
      </c>
      <c r="AD83" s="52">
        <v>0.14896200000000001</v>
      </c>
      <c r="AE83" s="52">
        <v>0.14583499999999999</v>
      </c>
      <c r="AF83" s="52">
        <v>0.142924</v>
      </c>
    </row>
    <row r="84" spans="1:32" x14ac:dyDescent="0.35">
      <c r="A84" s="65" t="s">
        <v>471</v>
      </c>
    </row>
    <row r="85" spans="1:32" x14ac:dyDescent="0.35">
      <c r="D85" s="65" t="s">
        <v>472</v>
      </c>
    </row>
    <row r="129" spans="1:1" x14ac:dyDescent="0.35">
      <c r="A129" s="52" t="s">
        <v>473</v>
      </c>
    </row>
  </sheetData>
  <hyperlinks>
    <hyperlink ref="C55" r:id="rId1" xr:uid="{C11523CB-5B22-42DF-B958-6A494CD697F9}"/>
    <hyperlink ref="B55" r:id="rId2" xr:uid="{3B5E4C89-6A97-4039-B129-2919B28ED865}"/>
    <hyperlink ref="G44" r:id="rId3" xr:uid="{9E9F6442-DA07-45C1-B1AD-B01B2D6B36D4}"/>
    <hyperlink ref="A84" r:id="rId4" display="Figure 5" xr:uid="{BA847396-6266-485A-A6AB-CB7697629A2E}"/>
    <hyperlink ref="D85" r:id="rId5" display="page 10" xr:uid="{E716DF78-EBF7-4552-A90A-01B02D143EF5}"/>
  </hyperlinks>
  <pageMargins left="0.7" right="0.7" top="0.75" bottom="0.75" header="0.3" footer="0.3"/>
  <pageSetup orientation="portrait" r:id="rId6"/>
  <drawing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8BFDE-3C1E-46A9-B492-C20090E84F3C}">
  <sheetPr>
    <tabColor theme="9"/>
  </sheetPr>
  <dimension ref="A1:AF91"/>
  <sheetViews>
    <sheetView topLeftCell="Q1" workbookViewId="0">
      <selection activeCell="A3" sqref="A2:AF3"/>
    </sheetView>
  </sheetViews>
  <sheetFormatPr defaultRowHeight="14.5" x14ac:dyDescent="0.35"/>
  <cols>
    <col min="1" max="1" width="15" style="52" customWidth="1"/>
    <col min="2" max="2" width="15.08203125" style="52" customWidth="1"/>
    <col min="3" max="3" width="13.83203125" style="52" customWidth="1"/>
    <col min="4" max="4" width="22.1640625" style="52" customWidth="1"/>
    <col min="5" max="5" width="14.33203125" style="52" customWidth="1"/>
    <col min="6" max="6" width="13.33203125" style="52" customWidth="1"/>
    <col min="7" max="7" width="11.9140625" style="52" customWidth="1"/>
    <col min="8" max="9" width="8.6640625" style="52"/>
    <col min="10" max="10" width="10.1640625" style="52" bestFit="1" customWidth="1"/>
    <col min="11" max="11" width="8.6640625" style="52"/>
    <col min="12" max="12" width="9.25" style="52" bestFit="1" customWidth="1"/>
    <col min="13" max="13" width="13.58203125" style="52" customWidth="1"/>
    <col min="14" max="31" width="8.6640625" style="52"/>
    <col min="32" max="32" width="11.6640625" style="52" customWidth="1"/>
    <col min="33" max="16384" width="8.6640625" style="52"/>
  </cols>
  <sheetData>
    <row r="1" spans="1:32" x14ac:dyDescent="0.35">
      <c r="A1" s="52" t="s">
        <v>474</v>
      </c>
    </row>
    <row r="2" spans="1:32" x14ac:dyDescent="0.35">
      <c r="B2" s="52">
        <v>2020</v>
      </c>
      <c r="C2" s="52">
        <v>2021</v>
      </c>
      <c r="D2" s="52">
        <v>2022</v>
      </c>
      <c r="E2" s="52">
        <v>2023</v>
      </c>
      <c r="F2" s="52">
        <v>2024</v>
      </c>
      <c r="G2" s="52">
        <v>2025</v>
      </c>
      <c r="H2" s="52">
        <v>2026</v>
      </c>
      <c r="I2" s="52">
        <v>2027</v>
      </c>
      <c r="J2" s="52">
        <v>2028</v>
      </c>
      <c r="K2" s="52">
        <v>2029</v>
      </c>
      <c r="L2" s="52">
        <v>2030</v>
      </c>
      <c r="M2" s="52">
        <v>2031</v>
      </c>
      <c r="N2" s="52">
        <v>2032</v>
      </c>
      <c r="O2" s="52">
        <v>2033</v>
      </c>
      <c r="P2" s="52">
        <v>2034</v>
      </c>
      <c r="Q2" s="52">
        <v>2035</v>
      </c>
      <c r="R2" s="52">
        <v>2036</v>
      </c>
      <c r="S2" s="52">
        <v>2037</v>
      </c>
      <c r="T2" s="52">
        <v>2038</v>
      </c>
      <c r="U2" s="52">
        <v>2039</v>
      </c>
      <c r="V2" s="52">
        <v>2040</v>
      </c>
      <c r="W2" s="52">
        <v>2041</v>
      </c>
      <c r="X2" s="52">
        <v>2042</v>
      </c>
      <c r="Y2" s="52">
        <v>2043</v>
      </c>
      <c r="Z2" s="52">
        <v>2044</v>
      </c>
      <c r="AA2" s="52">
        <v>2045</v>
      </c>
      <c r="AB2" s="52">
        <v>2046</v>
      </c>
      <c r="AC2" s="52">
        <v>2047</v>
      </c>
      <c r="AD2" s="52">
        <v>2048</v>
      </c>
      <c r="AE2" s="52">
        <v>2049</v>
      </c>
      <c r="AF2" s="52">
        <v>2050</v>
      </c>
    </row>
    <row r="3" spans="1:32" x14ac:dyDescent="0.35">
      <c r="A3" s="52" t="s">
        <v>425</v>
      </c>
      <c r="B3" s="61">
        <v>57533.449619128398</v>
      </c>
      <c r="C3" s="61">
        <v>54944.043953458269</v>
      </c>
      <c r="D3" s="61">
        <v>53260.886775484774</v>
      </c>
      <c r="E3" s="61">
        <v>52051.19306646895</v>
      </c>
      <c r="F3" s="61">
        <v>51103.051022097658</v>
      </c>
      <c r="G3" s="61">
        <v>50401.258003643525</v>
      </c>
      <c r="H3" s="61">
        <v>49806.339121201891</v>
      </c>
      <c r="I3" s="61">
        <v>49285.955973410826</v>
      </c>
      <c r="J3" s="61">
        <v>48838.589677200398</v>
      </c>
      <c r="K3" s="61">
        <v>48448.319576391987</v>
      </c>
      <c r="L3" s="61">
        <v>48103.905936267998</v>
      </c>
      <c r="M3" s="61">
        <v>47798.831367655599</v>
      </c>
      <c r="N3" s="61">
        <v>47531.590795512733</v>
      </c>
      <c r="O3" s="61">
        <v>47300.541064518278</v>
      </c>
      <c r="P3" s="61">
        <v>47099.606642392464</v>
      </c>
      <c r="Q3" s="61">
        <v>46923.968527395191</v>
      </c>
      <c r="R3" s="61">
        <v>46766.971250074515</v>
      </c>
      <c r="S3" s="61">
        <v>46629.332827881677</v>
      </c>
      <c r="T3" s="61">
        <v>46507.518405672097</v>
      </c>
      <c r="U3" s="61">
        <v>46398.200248719782</v>
      </c>
      <c r="V3" s="61">
        <v>46298.94814411283</v>
      </c>
      <c r="W3" s="61">
        <v>46210.480109302487</v>
      </c>
      <c r="X3" s="61">
        <v>46130.890636437369</v>
      </c>
      <c r="Y3" s="61">
        <v>46058.909386949883</v>
      </c>
      <c r="Z3" s="61">
        <v>45993.500758746894</v>
      </c>
      <c r="AA3" s="61">
        <v>45933.781038042238</v>
      </c>
      <c r="AB3" s="61">
        <v>45879.142671607944</v>
      </c>
      <c r="AC3" s="61">
        <v>45828.826217909038</v>
      </c>
      <c r="AD3" s="61">
        <v>45782.293163857088</v>
      </c>
      <c r="AE3" s="61">
        <v>45739.115460586923</v>
      </c>
      <c r="AF3" s="61">
        <v>45698.920291345014</v>
      </c>
    </row>
    <row r="4" spans="1:32" x14ac:dyDescent="0.35">
      <c r="A4" s="52" t="s">
        <v>426</v>
      </c>
      <c r="B4" s="61">
        <v>52508.216124604602</v>
      </c>
      <c r="C4" s="61">
        <v>53065.107962919996</v>
      </c>
      <c r="D4" s="61">
        <v>53621.999801235383</v>
      </c>
      <c r="E4" s="61">
        <v>54178.891639550777</v>
      </c>
      <c r="F4" s="61">
        <v>55198.926836126149</v>
      </c>
      <c r="G4" s="61">
        <v>56218.962032701515</v>
      </c>
      <c r="H4" s="61">
        <v>57238.997229276894</v>
      </c>
      <c r="I4" s="61">
        <v>58259.032425852267</v>
      </c>
      <c r="J4" s="61">
        <v>59665.398880471315</v>
      </c>
      <c r="K4" s="61">
        <v>61071.765335090371</v>
      </c>
      <c r="L4" s="61">
        <v>62478.13178970942</v>
      </c>
      <c r="M4" s="61">
        <v>62478.13178970942</v>
      </c>
      <c r="N4" s="61">
        <v>62478.13178970942</v>
      </c>
      <c r="O4" s="61">
        <v>62478.13178970942</v>
      </c>
      <c r="P4" s="61">
        <v>62478.13178970942</v>
      </c>
      <c r="Q4" s="61">
        <v>62478.13178970942</v>
      </c>
      <c r="R4" s="61">
        <v>62478.13178970942</v>
      </c>
      <c r="S4" s="61">
        <v>62478.13178970942</v>
      </c>
      <c r="T4" s="61">
        <v>62478.13178970942</v>
      </c>
      <c r="U4" s="61">
        <v>62478.13178970942</v>
      </c>
      <c r="V4" s="61">
        <v>62478.13178970942</v>
      </c>
      <c r="W4" s="61">
        <v>62478.13178970942</v>
      </c>
      <c r="X4" s="61">
        <v>62478.13178970942</v>
      </c>
      <c r="Y4" s="61">
        <v>62478.13178970942</v>
      </c>
      <c r="Z4" s="61">
        <v>62478.13178970942</v>
      </c>
      <c r="AA4" s="61">
        <v>62478.13178970942</v>
      </c>
      <c r="AB4" s="61">
        <v>62478.13178970942</v>
      </c>
      <c r="AC4" s="61">
        <v>62478.13178970942</v>
      </c>
      <c r="AD4" s="61">
        <v>62478.13178970942</v>
      </c>
      <c r="AE4" s="61">
        <v>62478.13178970942</v>
      </c>
      <c r="AF4" s="61">
        <v>62478.13178970942</v>
      </c>
    </row>
    <row r="5" spans="1:32" x14ac:dyDescent="0.35">
      <c r="A5" s="52" t="s">
        <v>427</v>
      </c>
      <c r="B5" s="61">
        <v>47031.583457405504</v>
      </c>
      <c r="C5" s="61">
        <v>47588.475295720898</v>
      </c>
      <c r="D5" s="61">
        <v>48145.367134036285</v>
      </c>
      <c r="E5" s="61">
        <v>48702.258972351679</v>
      </c>
      <c r="F5" s="61">
        <v>49722.294168927052</v>
      </c>
      <c r="G5" s="61">
        <v>50742.329365502417</v>
      </c>
      <c r="H5" s="61">
        <v>51762.36456207779</v>
      </c>
      <c r="I5" s="61">
        <v>52782.399758653162</v>
      </c>
      <c r="J5" s="61">
        <v>54188.766213272218</v>
      </c>
      <c r="K5" s="61">
        <v>55595.132667891274</v>
      </c>
      <c r="L5" s="61">
        <v>57001.499122510329</v>
      </c>
      <c r="M5" s="61">
        <v>57001.499122510329</v>
      </c>
      <c r="N5" s="61">
        <v>57001.499122510329</v>
      </c>
      <c r="O5" s="61">
        <v>57001.499122510329</v>
      </c>
      <c r="P5" s="61">
        <v>57001.499122510329</v>
      </c>
      <c r="Q5" s="61">
        <v>57001.499122510329</v>
      </c>
      <c r="R5" s="61">
        <v>57001.499122510329</v>
      </c>
      <c r="S5" s="61">
        <v>57001.499122510329</v>
      </c>
      <c r="T5" s="61">
        <v>57001.499122510329</v>
      </c>
      <c r="U5" s="61">
        <v>57001.499122510329</v>
      </c>
      <c r="V5" s="61">
        <v>57001.499122510329</v>
      </c>
      <c r="W5" s="61">
        <v>57001.499122510329</v>
      </c>
      <c r="X5" s="61">
        <v>57001.499122510329</v>
      </c>
      <c r="Y5" s="61">
        <v>57001.499122510329</v>
      </c>
      <c r="Z5" s="61">
        <v>57001.499122510329</v>
      </c>
      <c r="AA5" s="61">
        <v>57001.499122510329</v>
      </c>
      <c r="AB5" s="61">
        <v>57001.499122510329</v>
      </c>
      <c r="AC5" s="61">
        <v>57001.499122510329</v>
      </c>
      <c r="AD5" s="61">
        <v>57001.499122510329</v>
      </c>
      <c r="AE5" s="61">
        <v>57001.499122510329</v>
      </c>
      <c r="AF5" s="61">
        <v>57001.499122510329</v>
      </c>
    </row>
    <row r="6" spans="1:32" x14ac:dyDescent="0.35">
      <c r="A6" s="52" t="s">
        <v>428</v>
      </c>
      <c r="B6" s="61">
        <v>52508.216124604602</v>
      </c>
      <c r="C6" s="61">
        <v>53065.107962919996</v>
      </c>
      <c r="D6" s="61">
        <v>53621.999801235383</v>
      </c>
      <c r="E6" s="61">
        <v>54178.891639550777</v>
      </c>
      <c r="F6" s="61">
        <v>55198.926836126149</v>
      </c>
      <c r="G6" s="61">
        <v>56218.962032701515</v>
      </c>
      <c r="H6" s="61">
        <v>57238.997229276894</v>
      </c>
      <c r="I6" s="61">
        <v>58259.032425852267</v>
      </c>
      <c r="J6" s="61">
        <v>59665.398880471315</v>
      </c>
      <c r="K6" s="61">
        <v>61071.765335090371</v>
      </c>
      <c r="L6" s="61">
        <v>62478.13178970942</v>
      </c>
      <c r="M6" s="61">
        <v>62478.13178970942</v>
      </c>
      <c r="N6" s="61">
        <v>62478.13178970942</v>
      </c>
      <c r="O6" s="61">
        <v>62478.13178970942</v>
      </c>
      <c r="P6" s="61">
        <v>62478.13178970942</v>
      </c>
      <c r="Q6" s="61">
        <v>62478.13178970942</v>
      </c>
      <c r="R6" s="61">
        <v>62478.13178970942</v>
      </c>
      <c r="S6" s="61">
        <v>62478.13178970942</v>
      </c>
      <c r="T6" s="61">
        <v>62478.13178970942</v>
      </c>
      <c r="U6" s="61">
        <v>62478.13178970942</v>
      </c>
      <c r="V6" s="61">
        <v>62478.13178970942</v>
      </c>
      <c r="W6" s="61">
        <v>62478.13178970942</v>
      </c>
      <c r="X6" s="61">
        <v>62478.13178970942</v>
      </c>
      <c r="Y6" s="61">
        <v>62478.13178970942</v>
      </c>
      <c r="Z6" s="61">
        <v>62478.13178970942</v>
      </c>
      <c r="AA6" s="61">
        <v>62478.13178970942</v>
      </c>
      <c r="AB6" s="61">
        <v>62478.13178970942</v>
      </c>
      <c r="AC6" s="61">
        <v>62478.13178970942</v>
      </c>
      <c r="AD6" s="61">
        <v>62478.13178970942</v>
      </c>
      <c r="AE6" s="61">
        <v>62478.13178970942</v>
      </c>
      <c r="AF6" s="61">
        <v>62478.13178970942</v>
      </c>
    </row>
    <row r="7" spans="1:32" x14ac:dyDescent="0.35">
      <c r="A7" s="52" t="s">
        <v>429</v>
      </c>
      <c r="B7" s="61">
        <v>999999</v>
      </c>
      <c r="C7" s="61">
        <v>999999</v>
      </c>
      <c r="D7" s="61">
        <v>999999</v>
      </c>
      <c r="E7" s="61">
        <v>999999</v>
      </c>
      <c r="F7" s="61">
        <v>999999</v>
      </c>
      <c r="G7" s="61">
        <v>999999</v>
      </c>
      <c r="H7" s="61">
        <v>999999</v>
      </c>
      <c r="I7" s="61">
        <v>999999</v>
      </c>
      <c r="J7" s="61">
        <v>999999</v>
      </c>
      <c r="K7" s="61">
        <v>999999</v>
      </c>
      <c r="L7" s="61">
        <v>999999</v>
      </c>
      <c r="M7" s="61">
        <v>999999</v>
      </c>
      <c r="N7" s="61">
        <v>999999</v>
      </c>
      <c r="O7" s="61">
        <v>999999</v>
      </c>
      <c r="P7" s="61">
        <v>999999</v>
      </c>
      <c r="Q7" s="61">
        <v>999999</v>
      </c>
      <c r="R7" s="61">
        <v>999999</v>
      </c>
      <c r="S7" s="61">
        <v>999999</v>
      </c>
      <c r="T7" s="61">
        <v>999999</v>
      </c>
      <c r="U7" s="61">
        <v>999999</v>
      </c>
      <c r="V7" s="61">
        <v>999999</v>
      </c>
      <c r="W7" s="61">
        <v>999999</v>
      </c>
      <c r="X7" s="61">
        <v>999999</v>
      </c>
      <c r="Y7" s="61">
        <v>999999</v>
      </c>
      <c r="Z7" s="61">
        <v>999999</v>
      </c>
      <c r="AA7" s="61">
        <v>999999</v>
      </c>
      <c r="AB7" s="61">
        <v>999999</v>
      </c>
      <c r="AC7" s="61">
        <v>999999</v>
      </c>
      <c r="AD7" s="61">
        <v>999999</v>
      </c>
      <c r="AE7" s="61">
        <v>999999</v>
      </c>
      <c r="AF7" s="61">
        <v>999999</v>
      </c>
    </row>
    <row r="8" spans="1:32" x14ac:dyDescent="0.35">
      <c r="A8" s="52" t="s">
        <v>430</v>
      </c>
      <c r="B8" s="61">
        <v>999999</v>
      </c>
      <c r="C8" s="61">
        <v>999999</v>
      </c>
      <c r="D8" s="61">
        <v>999999</v>
      </c>
      <c r="E8" s="61">
        <v>999999</v>
      </c>
      <c r="F8" s="61">
        <v>999999</v>
      </c>
      <c r="G8" s="61">
        <v>999999</v>
      </c>
      <c r="H8" s="61">
        <v>999999</v>
      </c>
      <c r="I8" s="61">
        <v>999999</v>
      </c>
      <c r="J8" s="61">
        <v>999999</v>
      </c>
      <c r="K8" s="61">
        <v>999999</v>
      </c>
      <c r="L8" s="61">
        <v>999999</v>
      </c>
      <c r="M8" s="61">
        <v>999999</v>
      </c>
      <c r="N8" s="61">
        <v>999999</v>
      </c>
      <c r="O8" s="61">
        <v>999999</v>
      </c>
      <c r="P8" s="61">
        <v>999999</v>
      </c>
      <c r="Q8" s="61">
        <v>999999</v>
      </c>
      <c r="R8" s="61">
        <v>999999</v>
      </c>
      <c r="S8" s="61">
        <v>999999</v>
      </c>
      <c r="T8" s="61">
        <v>999999</v>
      </c>
      <c r="U8" s="61">
        <v>999999</v>
      </c>
      <c r="V8" s="61">
        <v>999999</v>
      </c>
      <c r="W8" s="61">
        <v>999999</v>
      </c>
      <c r="X8" s="61">
        <v>999999</v>
      </c>
      <c r="Y8" s="61">
        <v>999999</v>
      </c>
      <c r="Z8" s="61">
        <v>999999</v>
      </c>
      <c r="AA8" s="61">
        <v>999999</v>
      </c>
      <c r="AB8" s="61">
        <v>999999</v>
      </c>
      <c r="AC8" s="61">
        <v>999999</v>
      </c>
      <c r="AD8" s="61">
        <v>999999</v>
      </c>
      <c r="AE8" s="61">
        <v>999999</v>
      </c>
      <c r="AF8" s="61">
        <v>999999</v>
      </c>
    </row>
    <row r="9" spans="1:32" x14ac:dyDescent="0.35">
      <c r="A9" s="52" t="s">
        <v>431</v>
      </c>
      <c r="B9" s="61">
        <v>73971.578081736516</v>
      </c>
      <c r="C9" s="61">
        <v>68204.946439961248</v>
      </c>
      <c r="D9" s="61">
        <v>64733.446855169728</v>
      </c>
      <c r="E9" s="61">
        <v>62304.832886024553</v>
      </c>
      <c r="F9" s="61">
        <v>60440.102726311838</v>
      </c>
      <c r="G9" s="61">
        <v>59021.97383075775</v>
      </c>
      <c r="H9" s="61">
        <v>57833.927437132385</v>
      </c>
      <c r="I9" s="61">
        <v>56808.472766658742</v>
      </c>
      <c r="J9" s="61">
        <v>55924.674070199042</v>
      </c>
      <c r="K9" s="61">
        <v>55151.088378236716</v>
      </c>
      <c r="L9" s="61">
        <v>54465.598827462272</v>
      </c>
      <c r="M9" s="61">
        <v>53880.443109769389</v>
      </c>
      <c r="N9" s="61">
        <v>53289.264943380869</v>
      </c>
      <c r="O9" s="61">
        <v>52741.701042970097</v>
      </c>
      <c r="P9" s="61">
        <v>52230.351768394808</v>
      </c>
      <c r="Q9" s="61">
        <v>51749.351463588078</v>
      </c>
      <c r="R9" s="61">
        <v>51290.937936271759</v>
      </c>
      <c r="S9" s="61">
        <v>50855.553161933021</v>
      </c>
      <c r="T9" s="61">
        <v>50439.009209714946</v>
      </c>
      <c r="U9" s="61">
        <v>50037.427762966799</v>
      </c>
      <c r="V9" s="61">
        <v>49647.97414367996</v>
      </c>
      <c r="W9" s="61">
        <v>49271.229722893964</v>
      </c>
      <c r="X9" s="61">
        <v>48904.977061149963</v>
      </c>
      <c r="Y9" s="61">
        <v>48547.714703072445</v>
      </c>
      <c r="Z9" s="61">
        <v>48198.218177456503</v>
      </c>
      <c r="AA9" s="61">
        <v>47855.44652381268</v>
      </c>
      <c r="AB9" s="61">
        <v>47518.666373094566</v>
      </c>
      <c r="AC9" s="61">
        <v>47187.002790546409</v>
      </c>
      <c r="AD9" s="61">
        <v>46859.825499554638</v>
      </c>
      <c r="AE9" s="61">
        <v>46536.629753199741</v>
      </c>
      <c r="AF9" s="61">
        <v>46216.977106939863</v>
      </c>
    </row>
    <row r="11" spans="1:32" x14ac:dyDescent="0.35">
      <c r="A11" s="52" t="s">
        <v>475</v>
      </c>
      <c r="B11" s="52">
        <f>[2]About!A169</f>
        <v>0.85004982101339621</v>
      </c>
      <c r="C11" s="52" t="str">
        <f>[2]About!B169</f>
        <v>2021 to 2012</v>
      </c>
    </row>
    <row r="12" spans="1:32" x14ac:dyDescent="0.35">
      <c r="A12" s="52" t="s">
        <v>433</v>
      </c>
    </row>
    <row r="13" spans="1:32" x14ac:dyDescent="0.35">
      <c r="B13" s="52">
        <f>B22</f>
        <v>2020</v>
      </c>
      <c r="C13" s="52">
        <f t="shared" ref="C13:AF14" si="0">C22</f>
        <v>2021</v>
      </c>
      <c r="D13" s="52">
        <f t="shared" si="0"/>
        <v>2022</v>
      </c>
      <c r="E13" s="52">
        <f t="shared" si="0"/>
        <v>2023</v>
      </c>
      <c r="F13" s="52">
        <f t="shared" si="0"/>
        <v>2024</v>
      </c>
      <c r="G13" s="52">
        <f t="shared" si="0"/>
        <v>2025</v>
      </c>
      <c r="H13" s="52">
        <f t="shared" si="0"/>
        <v>2026</v>
      </c>
      <c r="I13" s="52">
        <f t="shared" si="0"/>
        <v>2027</v>
      </c>
      <c r="J13" s="52">
        <f t="shared" si="0"/>
        <v>2028</v>
      </c>
      <c r="K13" s="52">
        <f t="shared" si="0"/>
        <v>2029</v>
      </c>
      <c r="L13" s="52">
        <f t="shared" si="0"/>
        <v>2030</v>
      </c>
      <c r="M13" s="52">
        <f t="shared" si="0"/>
        <v>2031</v>
      </c>
      <c r="N13" s="52">
        <f t="shared" si="0"/>
        <v>2032</v>
      </c>
      <c r="O13" s="52">
        <f t="shared" si="0"/>
        <v>2033</v>
      </c>
      <c r="P13" s="52">
        <f t="shared" si="0"/>
        <v>2034</v>
      </c>
      <c r="Q13" s="52">
        <f t="shared" si="0"/>
        <v>2035</v>
      </c>
      <c r="R13" s="52">
        <f t="shared" si="0"/>
        <v>2036</v>
      </c>
      <c r="S13" s="52">
        <f t="shared" si="0"/>
        <v>2037</v>
      </c>
      <c r="T13" s="52">
        <f t="shared" si="0"/>
        <v>2038</v>
      </c>
      <c r="U13" s="52">
        <f t="shared" si="0"/>
        <v>2039</v>
      </c>
      <c r="V13" s="52">
        <f t="shared" si="0"/>
        <v>2040</v>
      </c>
      <c r="W13" s="52">
        <f t="shared" si="0"/>
        <v>2041</v>
      </c>
      <c r="X13" s="52">
        <f t="shared" si="0"/>
        <v>2042</v>
      </c>
      <c r="Y13" s="52">
        <f t="shared" si="0"/>
        <v>2043</v>
      </c>
      <c r="Z13" s="52">
        <f t="shared" si="0"/>
        <v>2044</v>
      </c>
      <c r="AA13" s="52">
        <f t="shared" si="0"/>
        <v>2045</v>
      </c>
      <c r="AB13" s="52">
        <f t="shared" si="0"/>
        <v>2046</v>
      </c>
      <c r="AC13" s="52">
        <f t="shared" si="0"/>
        <v>2047</v>
      </c>
      <c r="AD13" s="52">
        <f t="shared" si="0"/>
        <v>2048</v>
      </c>
      <c r="AE13" s="52">
        <f t="shared" si="0"/>
        <v>2049</v>
      </c>
      <c r="AF13" s="52">
        <f t="shared" si="0"/>
        <v>2050</v>
      </c>
    </row>
    <row r="14" spans="1:32" x14ac:dyDescent="0.35">
      <c r="A14" s="52" t="s">
        <v>425</v>
      </c>
      <c r="B14" s="61">
        <f>B23</f>
        <v>67682.444248431537</v>
      </c>
      <c r="C14" s="61">
        <f t="shared" si="0"/>
        <v>64636.263187440149</v>
      </c>
      <c r="D14" s="61">
        <f t="shared" si="0"/>
        <v>62656.194329867896</v>
      </c>
      <c r="E14" s="61">
        <f t="shared" si="0"/>
        <v>61233.108671695911</v>
      </c>
      <c r="F14" s="61">
        <f t="shared" si="0"/>
        <v>60117.712819672844</v>
      </c>
      <c r="G14" s="61">
        <f t="shared" si="0"/>
        <v>59292.122364730472</v>
      </c>
      <c r="H14" s="61">
        <f t="shared" si="0"/>
        <v>58592.258818223992</v>
      </c>
      <c r="I14" s="61">
        <f t="shared" si="0"/>
        <v>57980.079231890239</v>
      </c>
      <c r="J14" s="61">
        <f t="shared" si="0"/>
        <v>57453.796789201057</v>
      </c>
      <c r="K14" s="61">
        <f t="shared" si="0"/>
        <v>56994.682404184015</v>
      </c>
      <c r="L14" s="61">
        <f t="shared" si="0"/>
        <v>56589.51363453074</v>
      </c>
      <c r="M14" s="61">
        <f t="shared" si="0"/>
        <v>56230.623412956782</v>
      </c>
      <c r="N14" s="61">
        <f t="shared" si="0"/>
        <v>55916.241166720589</v>
      </c>
      <c r="O14" s="61">
        <f t="shared" si="0"/>
        <v>55644.433885214421</v>
      </c>
      <c r="P14" s="61">
        <f t="shared" si="0"/>
        <v>55408.054302325661</v>
      </c>
      <c r="Q14" s="61">
        <f t="shared" si="0"/>
        <v>55201.433336524045</v>
      </c>
      <c r="R14" s="61">
        <f t="shared" si="0"/>
        <v>55016.74148265893</v>
      </c>
      <c r="S14" s="61">
        <f t="shared" si="0"/>
        <v>54854.823417634521</v>
      </c>
      <c r="T14" s="61">
        <f t="shared" si="0"/>
        <v>54711.520732076206</v>
      </c>
      <c r="U14" s="61">
        <f t="shared" si="0"/>
        <v>54582.918673408647</v>
      </c>
      <c r="V14" s="61">
        <f t="shared" si="0"/>
        <v>54466.158335186788</v>
      </c>
      <c r="W14" s="61">
        <f t="shared" si="0"/>
        <v>54362.084394314865</v>
      </c>
      <c r="X14" s="61">
        <f t="shared" si="0"/>
        <v>54268.455208239349</v>
      </c>
      <c r="Y14" s="61">
        <f t="shared" si="0"/>
        <v>54183.776348591251</v>
      </c>
      <c r="Z14" s="61">
        <f t="shared" si="0"/>
        <v>54106.829531374096</v>
      </c>
      <c r="AA14" s="61">
        <f t="shared" si="0"/>
        <v>54036.575154244223</v>
      </c>
      <c r="AB14" s="61">
        <f t="shared" si="0"/>
        <v>53972.298490590372</v>
      </c>
      <c r="AC14" s="61">
        <f t="shared" si="0"/>
        <v>53913.106132148467</v>
      </c>
      <c r="AD14" s="61">
        <f t="shared" si="0"/>
        <v>53858.364571240338</v>
      </c>
      <c r="AE14" s="61">
        <f t="shared" si="0"/>
        <v>53807.57025048077</v>
      </c>
      <c r="AF14" s="61">
        <f t="shared" si="0"/>
        <v>53760.284587631046</v>
      </c>
    </row>
    <row r="15" spans="1:32" x14ac:dyDescent="0.35">
      <c r="A15" s="52" t="s">
        <v>426</v>
      </c>
      <c r="B15" s="52">
        <f>B17</f>
        <v>61770.751344911005</v>
      </c>
      <c r="C15" s="52">
        <f t="shared" ref="C15:AF15" si="1">C17</f>
        <v>62425.879814500571</v>
      </c>
      <c r="D15" s="52">
        <f t="shared" si="1"/>
        <v>63081.008284090138</v>
      </c>
      <c r="E15" s="52">
        <f t="shared" si="1"/>
        <v>63736.136753679704</v>
      </c>
      <c r="F15" s="52">
        <f t="shared" si="1"/>
        <v>64936.107827562555</v>
      </c>
      <c r="G15" s="52">
        <f t="shared" si="1"/>
        <v>66136.078901445406</v>
      </c>
      <c r="H15" s="52">
        <f t="shared" si="1"/>
        <v>67336.049975328264</v>
      </c>
      <c r="I15" s="52">
        <f t="shared" si="1"/>
        <v>68536.021049211122</v>
      </c>
      <c r="J15" s="52">
        <f t="shared" si="1"/>
        <v>70190.4728470392</v>
      </c>
      <c r="K15" s="52">
        <f t="shared" si="1"/>
        <v>71844.924644867278</v>
      </c>
      <c r="L15" s="52">
        <f t="shared" si="1"/>
        <v>73499.376442695357</v>
      </c>
      <c r="M15" s="52">
        <f t="shared" si="1"/>
        <v>73499.376442695357</v>
      </c>
      <c r="N15" s="52">
        <f t="shared" si="1"/>
        <v>73499.376442695357</v>
      </c>
      <c r="O15" s="52">
        <f t="shared" si="1"/>
        <v>73499.376442695357</v>
      </c>
      <c r="P15" s="52">
        <f t="shared" si="1"/>
        <v>73499.376442695357</v>
      </c>
      <c r="Q15" s="52">
        <f t="shared" si="1"/>
        <v>73499.376442695357</v>
      </c>
      <c r="R15" s="52">
        <f t="shared" si="1"/>
        <v>73499.376442695357</v>
      </c>
      <c r="S15" s="52">
        <f t="shared" si="1"/>
        <v>73499.376442695357</v>
      </c>
      <c r="T15" s="52">
        <f t="shared" si="1"/>
        <v>73499.376442695357</v>
      </c>
      <c r="U15" s="52">
        <f t="shared" si="1"/>
        <v>73499.376442695357</v>
      </c>
      <c r="V15" s="52">
        <f t="shared" si="1"/>
        <v>73499.376442695357</v>
      </c>
      <c r="W15" s="52">
        <f t="shared" si="1"/>
        <v>73499.376442695357</v>
      </c>
      <c r="X15" s="52">
        <f t="shared" si="1"/>
        <v>73499.376442695357</v>
      </c>
      <c r="Y15" s="52">
        <f t="shared" si="1"/>
        <v>73499.376442695357</v>
      </c>
      <c r="Z15" s="52">
        <f t="shared" si="1"/>
        <v>73499.376442695357</v>
      </c>
      <c r="AA15" s="52">
        <f t="shared" si="1"/>
        <v>73499.376442695357</v>
      </c>
      <c r="AB15" s="52">
        <f t="shared" si="1"/>
        <v>73499.376442695357</v>
      </c>
      <c r="AC15" s="52">
        <f t="shared" si="1"/>
        <v>73499.376442695357</v>
      </c>
      <c r="AD15" s="52">
        <f t="shared" si="1"/>
        <v>73499.376442695357</v>
      </c>
      <c r="AE15" s="52">
        <f t="shared" si="1"/>
        <v>73499.376442695357</v>
      </c>
      <c r="AF15" s="52">
        <f t="shared" si="1"/>
        <v>73499.376442695357</v>
      </c>
    </row>
    <row r="16" spans="1:32" x14ac:dyDescent="0.35">
      <c r="A16" s="52" t="s">
        <v>427</v>
      </c>
      <c r="B16" s="61">
        <f>B25</f>
        <v>55328.031716230806</v>
      </c>
      <c r="C16" s="61">
        <f t="shared" ref="C16:AF16" si="2">C25</f>
        <v>55983.160185820372</v>
      </c>
      <c r="D16" s="61">
        <f t="shared" si="2"/>
        <v>56638.288655409939</v>
      </c>
      <c r="E16" s="61">
        <f t="shared" si="2"/>
        <v>57293.417124999505</v>
      </c>
      <c r="F16" s="61">
        <f t="shared" si="2"/>
        <v>58493.388198882356</v>
      </c>
      <c r="G16" s="61">
        <f t="shared" si="2"/>
        <v>59693.359272765207</v>
      </c>
      <c r="H16" s="61">
        <f t="shared" si="2"/>
        <v>60893.330346648057</v>
      </c>
      <c r="I16" s="61">
        <f t="shared" si="2"/>
        <v>62093.301420530908</v>
      </c>
      <c r="J16" s="61">
        <f t="shared" si="2"/>
        <v>63747.753218358994</v>
      </c>
      <c r="K16" s="61">
        <f t="shared" si="2"/>
        <v>65402.205016187079</v>
      </c>
      <c r="L16" s="61">
        <f t="shared" si="2"/>
        <v>67056.656814015165</v>
      </c>
      <c r="M16" s="61">
        <f t="shared" si="2"/>
        <v>67056.656814015165</v>
      </c>
      <c r="N16" s="61">
        <f t="shared" si="2"/>
        <v>67056.656814015165</v>
      </c>
      <c r="O16" s="61">
        <f t="shared" si="2"/>
        <v>67056.656814015165</v>
      </c>
      <c r="P16" s="61">
        <f t="shared" si="2"/>
        <v>67056.656814015165</v>
      </c>
      <c r="Q16" s="61">
        <f t="shared" si="2"/>
        <v>67056.656814015165</v>
      </c>
      <c r="R16" s="61">
        <f t="shared" si="2"/>
        <v>67056.656814015165</v>
      </c>
      <c r="S16" s="61">
        <f t="shared" si="2"/>
        <v>67056.656814015165</v>
      </c>
      <c r="T16" s="61">
        <f t="shared" si="2"/>
        <v>67056.656814015165</v>
      </c>
      <c r="U16" s="61">
        <f t="shared" si="2"/>
        <v>67056.656814015165</v>
      </c>
      <c r="V16" s="61">
        <f t="shared" si="2"/>
        <v>67056.656814015165</v>
      </c>
      <c r="W16" s="61">
        <f t="shared" si="2"/>
        <v>67056.656814015165</v>
      </c>
      <c r="X16" s="61">
        <f t="shared" si="2"/>
        <v>67056.656814015165</v>
      </c>
      <c r="Y16" s="61">
        <f t="shared" si="2"/>
        <v>67056.656814015165</v>
      </c>
      <c r="Z16" s="61">
        <f t="shared" si="2"/>
        <v>67056.656814015165</v>
      </c>
      <c r="AA16" s="61">
        <f t="shared" si="2"/>
        <v>67056.656814015165</v>
      </c>
      <c r="AB16" s="61">
        <f t="shared" si="2"/>
        <v>67056.656814015165</v>
      </c>
      <c r="AC16" s="61">
        <f t="shared" si="2"/>
        <v>67056.656814015165</v>
      </c>
      <c r="AD16" s="61">
        <f t="shared" si="2"/>
        <v>67056.656814015165</v>
      </c>
      <c r="AE16" s="61">
        <f t="shared" si="2"/>
        <v>67056.656814015165</v>
      </c>
      <c r="AF16" s="61">
        <f t="shared" si="2"/>
        <v>67056.656814015165</v>
      </c>
    </row>
    <row r="17" spans="1:32" x14ac:dyDescent="0.35">
      <c r="A17" s="52" t="s">
        <v>428</v>
      </c>
      <c r="B17" s="61">
        <f>B24</f>
        <v>61770.751344911005</v>
      </c>
      <c r="C17" s="61">
        <f t="shared" ref="C17:AF17" si="3">C24</f>
        <v>62425.879814500571</v>
      </c>
      <c r="D17" s="61">
        <f t="shared" si="3"/>
        <v>63081.008284090138</v>
      </c>
      <c r="E17" s="61">
        <f t="shared" si="3"/>
        <v>63736.136753679704</v>
      </c>
      <c r="F17" s="61">
        <f t="shared" si="3"/>
        <v>64936.107827562555</v>
      </c>
      <c r="G17" s="61">
        <f t="shared" si="3"/>
        <v>66136.078901445406</v>
      </c>
      <c r="H17" s="61">
        <f t="shared" si="3"/>
        <v>67336.049975328264</v>
      </c>
      <c r="I17" s="61">
        <f t="shared" si="3"/>
        <v>68536.021049211122</v>
      </c>
      <c r="J17" s="61">
        <f t="shared" si="3"/>
        <v>70190.4728470392</v>
      </c>
      <c r="K17" s="61">
        <f t="shared" si="3"/>
        <v>71844.924644867278</v>
      </c>
      <c r="L17" s="61">
        <f t="shared" si="3"/>
        <v>73499.376442695357</v>
      </c>
      <c r="M17" s="61">
        <f t="shared" si="3"/>
        <v>73499.376442695357</v>
      </c>
      <c r="N17" s="61">
        <f t="shared" si="3"/>
        <v>73499.376442695357</v>
      </c>
      <c r="O17" s="61">
        <f t="shared" si="3"/>
        <v>73499.376442695357</v>
      </c>
      <c r="P17" s="61">
        <f t="shared" si="3"/>
        <v>73499.376442695357</v>
      </c>
      <c r="Q17" s="61">
        <f t="shared" si="3"/>
        <v>73499.376442695357</v>
      </c>
      <c r="R17" s="61">
        <f t="shared" si="3"/>
        <v>73499.376442695357</v>
      </c>
      <c r="S17" s="61">
        <f t="shared" si="3"/>
        <v>73499.376442695357</v>
      </c>
      <c r="T17" s="61">
        <f t="shared" si="3"/>
        <v>73499.376442695357</v>
      </c>
      <c r="U17" s="61">
        <f t="shared" si="3"/>
        <v>73499.376442695357</v>
      </c>
      <c r="V17" s="61">
        <f t="shared" si="3"/>
        <v>73499.376442695357</v>
      </c>
      <c r="W17" s="61">
        <f t="shared" si="3"/>
        <v>73499.376442695357</v>
      </c>
      <c r="X17" s="61">
        <f t="shared" si="3"/>
        <v>73499.376442695357</v>
      </c>
      <c r="Y17" s="61">
        <f t="shared" si="3"/>
        <v>73499.376442695357</v>
      </c>
      <c r="Z17" s="61">
        <f t="shared" si="3"/>
        <v>73499.376442695357</v>
      </c>
      <c r="AA17" s="61">
        <f t="shared" si="3"/>
        <v>73499.376442695357</v>
      </c>
      <c r="AB17" s="61">
        <f t="shared" si="3"/>
        <v>73499.376442695357</v>
      </c>
      <c r="AC17" s="61">
        <f t="shared" si="3"/>
        <v>73499.376442695357</v>
      </c>
      <c r="AD17" s="61">
        <f t="shared" si="3"/>
        <v>73499.376442695357</v>
      </c>
      <c r="AE17" s="61">
        <f t="shared" si="3"/>
        <v>73499.376442695357</v>
      </c>
      <c r="AF17" s="61">
        <f t="shared" si="3"/>
        <v>73499.376442695357</v>
      </c>
    </row>
    <row r="18" spans="1:32" x14ac:dyDescent="0.35">
      <c r="A18" s="52" t="s">
        <v>429</v>
      </c>
      <c r="B18" s="56">
        <v>999999</v>
      </c>
      <c r="C18" s="56">
        <v>999999</v>
      </c>
      <c r="D18" s="56">
        <v>999999</v>
      </c>
      <c r="E18" s="56">
        <v>999999</v>
      </c>
      <c r="F18" s="56">
        <v>999999</v>
      </c>
      <c r="G18" s="56">
        <v>999999</v>
      </c>
      <c r="H18" s="56">
        <v>999999</v>
      </c>
      <c r="I18" s="56">
        <v>999999</v>
      </c>
      <c r="J18" s="56">
        <v>999999</v>
      </c>
      <c r="K18" s="56">
        <v>999999</v>
      </c>
      <c r="L18" s="56">
        <v>999999</v>
      </c>
      <c r="M18" s="56">
        <v>999999</v>
      </c>
      <c r="N18" s="56">
        <v>999999</v>
      </c>
      <c r="O18" s="56">
        <v>999999</v>
      </c>
      <c r="P18" s="56">
        <v>999999</v>
      </c>
      <c r="Q18" s="56">
        <v>999999</v>
      </c>
      <c r="R18" s="56">
        <v>999999</v>
      </c>
      <c r="S18" s="56">
        <v>999999</v>
      </c>
      <c r="T18" s="56">
        <v>999999</v>
      </c>
      <c r="U18" s="56">
        <v>999999</v>
      </c>
      <c r="V18" s="56">
        <v>999999</v>
      </c>
      <c r="W18" s="56">
        <v>999999</v>
      </c>
      <c r="X18" s="56">
        <v>999999</v>
      </c>
      <c r="Y18" s="56">
        <v>999999</v>
      </c>
      <c r="Z18" s="56">
        <v>999999</v>
      </c>
      <c r="AA18" s="56">
        <v>999999</v>
      </c>
      <c r="AB18" s="56">
        <v>999999</v>
      </c>
      <c r="AC18" s="56">
        <v>999999</v>
      </c>
      <c r="AD18" s="56">
        <v>999999</v>
      </c>
      <c r="AE18" s="56">
        <v>999999</v>
      </c>
      <c r="AF18" s="56">
        <v>999999</v>
      </c>
    </row>
    <row r="19" spans="1:32" x14ac:dyDescent="0.35">
      <c r="A19" s="52" t="s">
        <v>430</v>
      </c>
      <c r="B19" s="56">
        <v>999999</v>
      </c>
      <c r="C19" s="56">
        <v>999999</v>
      </c>
      <c r="D19" s="56">
        <v>999999</v>
      </c>
      <c r="E19" s="56">
        <v>999999</v>
      </c>
      <c r="F19" s="56">
        <v>999999</v>
      </c>
      <c r="G19" s="56">
        <v>999999</v>
      </c>
      <c r="H19" s="56">
        <v>999999</v>
      </c>
      <c r="I19" s="56">
        <v>999999</v>
      </c>
      <c r="J19" s="56">
        <v>999999</v>
      </c>
      <c r="K19" s="56">
        <v>999999</v>
      </c>
      <c r="L19" s="56">
        <v>999999</v>
      </c>
      <c r="M19" s="56">
        <v>999999</v>
      </c>
      <c r="N19" s="56">
        <v>999999</v>
      </c>
      <c r="O19" s="56">
        <v>999999</v>
      </c>
      <c r="P19" s="56">
        <v>999999</v>
      </c>
      <c r="Q19" s="56">
        <v>999999</v>
      </c>
      <c r="R19" s="56">
        <v>999999</v>
      </c>
      <c r="S19" s="56">
        <v>999999</v>
      </c>
      <c r="T19" s="56">
        <v>999999</v>
      </c>
      <c r="U19" s="56">
        <v>999999</v>
      </c>
      <c r="V19" s="56">
        <v>999999</v>
      </c>
      <c r="W19" s="56">
        <v>999999</v>
      </c>
      <c r="X19" s="56">
        <v>999999</v>
      </c>
      <c r="Y19" s="56">
        <v>999999</v>
      </c>
      <c r="Z19" s="56">
        <v>999999</v>
      </c>
      <c r="AA19" s="56">
        <v>999999</v>
      </c>
      <c r="AB19" s="56">
        <v>999999</v>
      </c>
      <c r="AC19" s="56">
        <v>999999</v>
      </c>
      <c r="AD19" s="56">
        <v>999999</v>
      </c>
      <c r="AE19" s="56">
        <v>999999</v>
      </c>
      <c r="AF19" s="56">
        <v>999999</v>
      </c>
    </row>
    <row r="20" spans="1:32" x14ac:dyDescent="0.35">
      <c r="A20" s="52" t="s">
        <v>431</v>
      </c>
      <c r="B20" s="61">
        <f>B14*[2]Hydrogen!B2</f>
        <v>87020.285462269123</v>
      </c>
      <c r="C20" s="61">
        <f>C14*[2]Hydrogen!C2</f>
        <v>80236.410565500701</v>
      </c>
      <c r="D20" s="61">
        <f>D14*[2]Hydrogen!D2</f>
        <v>76152.53277507551</v>
      </c>
      <c r="E20" s="61">
        <f>E14*[2]Hydrogen!E2</f>
        <v>73295.507328908279</v>
      </c>
      <c r="F20" s="61">
        <f>F14*[2]Hydrogen!F2</f>
        <v>71101.835718590592</v>
      </c>
      <c r="G20" s="61">
        <f>G14*[2]Hydrogen!G2</f>
        <v>69433.546566004865</v>
      </c>
      <c r="H20" s="61">
        <f>H14*[2]Hydrogen!H2</f>
        <v>68035.926845070135</v>
      </c>
      <c r="I20" s="61">
        <f>I14*[2]Hydrogen!I2</f>
        <v>66829.580293227875</v>
      </c>
      <c r="J20" s="61">
        <f>J14*[2]Hydrogen!J2</f>
        <v>65789.878060944509</v>
      </c>
      <c r="K20" s="61">
        <f>K14*[2]Hydrogen!K2</f>
        <v>64879.830587444558</v>
      </c>
      <c r="L20" s="61">
        <f>L14*[2]Hydrogen!L2</f>
        <v>64073.419558550711</v>
      </c>
      <c r="M20" s="61">
        <f>M14*[2]Hydrogen!M2</f>
        <v>63385.0414150258</v>
      </c>
      <c r="N20" s="61">
        <f>N14*[2]Hydrogen!N2</f>
        <v>62689.57845300348</v>
      </c>
      <c r="O20" s="61">
        <f>O14*[2]Hydrogen!O2</f>
        <v>62045.423384824084</v>
      </c>
      <c r="P20" s="61">
        <f>P14*[2]Hydrogen!P2</f>
        <v>61443.871261719483</v>
      </c>
      <c r="Q20" s="61">
        <f>Q14*[2]Hydrogen!Q2</f>
        <v>60878.021716297197</v>
      </c>
      <c r="R20" s="61">
        <f>R14*[2]Hydrogen!R2</f>
        <v>60338.743292863357</v>
      </c>
      <c r="S20" s="61">
        <f>S14*[2]Hydrogen!S2</f>
        <v>59826.555932104093</v>
      </c>
      <c r="T20" s="61">
        <f>T14*[2]Hydrogen!T2</f>
        <v>59336.532945308463</v>
      </c>
      <c r="U20" s="61">
        <f>U14*[2]Hydrogen!U2</f>
        <v>58864.111874424176</v>
      </c>
      <c r="V20" s="61">
        <f>V14*[2]Hydrogen!V2</f>
        <v>58405.957999604754</v>
      </c>
      <c r="W20" s="61">
        <f>W14*[2]Hydrogen!W2</f>
        <v>57962.755246692162</v>
      </c>
      <c r="X20" s="61">
        <f>X14*[2]Hydrogen!X2</f>
        <v>57531.895016279581</v>
      </c>
      <c r="Y20" s="61">
        <f>Y14*[2]Hydrogen!Y2</f>
        <v>57111.610993807109</v>
      </c>
      <c r="Z20" s="61">
        <f>Z14*[2]Hydrogen!Z2</f>
        <v>56700.462709346226</v>
      </c>
      <c r="AA20" s="61">
        <f>AA14*[2]Hydrogen!AA2</f>
        <v>56297.225575274264</v>
      </c>
      <c r="AB20" s="61">
        <f>AB14*[2]Hydrogen!AB2</f>
        <v>55901.03685504535</v>
      </c>
      <c r="AC20" s="61">
        <f>AC14*[2]Hydrogen!AC2</f>
        <v>55510.867273981545</v>
      </c>
      <c r="AD20" s="61">
        <f>AD14*[2]Hydrogen!AD2</f>
        <v>55125.975373643611</v>
      </c>
      <c r="AE20" s="61">
        <f>AE14*[2]Hydrogen!AE2</f>
        <v>54745.767368929723</v>
      </c>
      <c r="AF20" s="61">
        <f>AF14*[2]Hydrogen!AF2</f>
        <v>54369.727472963626</v>
      </c>
    </row>
    <row r="22" spans="1:32" x14ac:dyDescent="0.35">
      <c r="B22" s="52">
        <v>2020</v>
      </c>
      <c r="C22" s="52">
        <f>B22+1</f>
        <v>2021</v>
      </c>
      <c r="D22" s="52">
        <f>C22+1</f>
        <v>2022</v>
      </c>
      <c r="E22" s="52">
        <f t="shared" ref="E22:AF22" si="4">D22+1</f>
        <v>2023</v>
      </c>
      <c r="F22" s="52">
        <f t="shared" si="4"/>
        <v>2024</v>
      </c>
      <c r="G22" s="52">
        <f t="shared" si="4"/>
        <v>2025</v>
      </c>
      <c r="H22" s="52">
        <f t="shared" si="4"/>
        <v>2026</v>
      </c>
      <c r="I22" s="52">
        <f t="shared" si="4"/>
        <v>2027</v>
      </c>
      <c r="J22" s="52">
        <f t="shared" si="4"/>
        <v>2028</v>
      </c>
      <c r="K22" s="52">
        <f t="shared" si="4"/>
        <v>2029</v>
      </c>
      <c r="L22" s="52">
        <f t="shared" si="4"/>
        <v>2030</v>
      </c>
      <c r="M22" s="52">
        <f t="shared" si="4"/>
        <v>2031</v>
      </c>
      <c r="N22" s="52">
        <f t="shared" si="4"/>
        <v>2032</v>
      </c>
      <c r="O22" s="52">
        <f t="shared" si="4"/>
        <v>2033</v>
      </c>
      <c r="P22" s="52">
        <f t="shared" si="4"/>
        <v>2034</v>
      </c>
      <c r="Q22" s="52">
        <f t="shared" si="4"/>
        <v>2035</v>
      </c>
      <c r="R22" s="52">
        <f t="shared" si="4"/>
        <v>2036</v>
      </c>
      <c r="S22" s="52">
        <f t="shared" si="4"/>
        <v>2037</v>
      </c>
      <c r="T22" s="52">
        <f t="shared" si="4"/>
        <v>2038</v>
      </c>
      <c r="U22" s="52">
        <f t="shared" si="4"/>
        <v>2039</v>
      </c>
      <c r="V22" s="52">
        <f t="shared" si="4"/>
        <v>2040</v>
      </c>
      <c r="W22" s="52">
        <f t="shared" si="4"/>
        <v>2041</v>
      </c>
      <c r="X22" s="52">
        <f t="shared" si="4"/>
        <v>2042</v>
      </c>
      <c r="Y22" s="52">
        <f t="shared" si="4"/>
        <v>2043</v>
      </c>
      <c r="Z22" s="52">
        <f t="shared" si="4"/>
        <v>2044</v>
      </c>
      <c r="AA22" s="52">
        <f t="shared" si="4"/>
        <v>2045</v>
      </c>
      <c r="AB22" s="52">
        <f t="shared" si="4"/>
        <v>2046</v>
      </c>
      <c r="AC22" s="52">
        <f t="shared" si="4"/>
        <v>2047</v>
      </c>
      <c r="AD22" s="52">
        <f t="shared" si="4"/>
        <v>2048</v>
      </c>
      <c r="AE22" s="52">
        <f t="shared" si="4"/>
        <v>2049</v>
      </c>
      <c r="AF22" s="52">
        <f t="shared" si="4"/>
        <v>2050</v>
      </c>
    </row>
    <row r="23" spans="1:32" x14ac:dyDescent="0.35">
      <c r="A23" s="52" t="s">
        <v>189</v>
      </c>
      <c r="B23" s="61">
        <f>F37</f>
        <v>67682.444248431537</v>
      </c>
      <c r="C23" s="61">
        <f>B23-C91</f>
        <v>64636.263187440149</v>
      </c>
      <c r="D23" s="61">
        <f>$B$23-D91</f>
        <v>62656.194329867896</v>
      </c>
      <c r="E23" s="61">
        <f t="shared" ref="E23:AF23" si="5">$B$23-E91</f>
        <v>61233.108671695911</v>
      </c>
      <c r="F23" s="61">
        <f t="shared" si="5"/>
        <v>60117.712819672844</v>
      </c>
      <c r="G23" s="61">
        <f t="shared" si="5"/>
        <v>59292.122364730472</v>
      </c>
      <c r="H23" s="61">
        <f t="shared" si="5"/>
        <v>58592.258818223992</v>
      </c>
      <c r="I23" s="61">
        <f t="shared" si="5"/>
        <v>57980.079231890239</v>
      </c>
      <c r="J23" s="61">
        <f t="shared" si="5"/>
        <v>57453.796789201057</v>
      </c>
      <c r="K23" s="61">
        <f t="shared" si="5"/>
        <v>56994.682404184015</v>
      </c>
      <c r="L23" s="64">
        <f t="shared" si="5"/>
        <v>56589.51363453074</v>
      </c>
      <c r="M23" s="64">
        <f t="shared" si="5"/>
        <v>56230.623412956782</v>
      </c>
      <c r="N23" s="64">
        <f t="shared" si="5"/>
        <v>55916.241166720589</v>
      </c>
      <c r="O23" s="64">
        <f t="shared" si="5"/>
        <v>55644.433885214421</v>
      </c>
      <c r="P23" s="64">
        <f t="shared" si="5"/>
        <v>55408.054302325661</v>
      </c>
      <c r="Q23" s="64">
        <f t="shared" si="5"/>
        <v>55201.433336524045</v>
      </c>
      <c r="R23" s="64">
        <f t="shared" si="5"/>
        <v>55016.74148265893</v>
      </c>
      <c r="S23" s="64">
        <f t="shared" si="5"/>
        <v>54854.823417634521</v>
      </c>
      <c r="T23" s="64">
        <f t="shared" si="5"/>
        <v>54711.520732076206</v>
      </c>
      <c r="U23" s="64">
        <f t="shared" si="5"/>
        <v>54582.918673408647</v>
      </c>
      <c r="V23" s="64">
        <f t="shared" si="5"/>
        <v>54466.158335186788</v>
      </c>
      <c r="W23" s="64">
        <f t="shared" si="5"/>
        <v>54362.084394314865</v>
      </c>
      <c r="X23" s="64">
        <f t="shared" si="5"/>
        <v>54268.455208239349</v>
      </c>
      <c r="Y23" s="64">
        <f t="shared" si="5"/>
        <v>54183.776348591251</v>
      </c>
      <c r="Z23" s="64">
        <f t="shared" si="5"/>
        <v>54106.829531374096</v>
      </c>
      <c r="AA23" s="64">
        <f t="shared" si="5"/>
        <v>54036.575154244223</v>
      </c>
      <c r="AB23" s="64">
        <f t="shared" si="5"/>
        <v>53972.298490590372</v>
      </c>
      <c r="AC23" s="64">
        <f t="shared" si="5"/>
        <v>53913.106132148467</v>
      </c>
      <c r="AD23" s="64">
        <f t="shared" si="5"/>
        <v>53858.364571240338</v>
      </c>
      <c r="AE23" s="64">
        <f t="shared" si="5"/>
        <v>53807.57025048077</v>
      </c>
      <c r="AF23" s="64">
        <f t="shared" si="5"/>
        <v>53760.284587631046</v>
      </c>
    </row>
    <row r="24" spans="1:32" x14ac:dyDescent="0.35">
      <c r="A24" s="52" t="s">
        <v>476</v>
      </c>
      <c r="B24" s="61">
        <f>D35</f>
        <v>61770.751344911005</v>
      </c>
      <c r="C24" s="61">
        <f>B24+[2]CARB!$B$23</f>
        <v>62425.879814500571</v>
      </c>
      <c r="D24" s="61">
        <f>C24+[2]CARB!$B$23</f>
        <v>63081.008284090138</v>
      </c>
      <c r="E24" s="61">
        <f>D24+[2]CARB!$B$23</f>
        <v>63736.136753679704</v>
      </c>
      <c r="F24" s="61">
        <f>E24+[2]CARB!$C$23</f>
        <v>64936.107827562555</v>
      </c>
      <c r="G24" s="61">
        <f>F24+[2]CARB!$C$23</f>
        <v>66136.078901445406</v>
      </c>
      <c r="H24" s="61">
        <f>G24+[2]CARB!$C$23</f>
        <v>67336.049975328264</v>
      </c>
      <c r="I24" s="61">
        <f>H24+[2]CARB!$C$23</f>
        <v>68536.021049211122</v>
      </c>
      <c r="J24" s="61">
        <f>I24+[2]CARB!$D$23</f>
        <v>70190.4728470392</v>
      </c>
      <c r="K24" s="61">
        <f>J24+[2]CARB!$D$23</f>
        <v>71844.924644867278</v>
      </c>
      <c r="L24" s="64">
        <f>K24+[2]CARB!$D$23</f>
        <v>73499.376442695357</v>
      </c>
      <c r="M24" s="64">
        <f>L24</f>
        <v>73499.376442695357</v>
      </c>
      <c r="N24" s="64">
        <f t="shared" ref="N24:AB25" si="6">M24</f>
        <v>73499.376442695357</v>
      </c>
      <c r="O24" s="64">
        <f t="shared" si="6"/>
        <v>73499.376442695357</v>
      </c>
      <c r="P24" s="64">
        <f t="shared" si="6"/>
        <v>73499.376442695357</v>
      </c>
      <c r="Q24" s="64">
        <f t="shared" si="6"/>
        <v>73499.376442695357</v>
      </c>
      <c r="R24" s="64">
        <f t="shared" si="6"/>
        <v>73499.376442695357</v>
      </c>
      <c r="S24" s="64">
        <f t="shared" si="6"/>
        <v>73499.376442695357</v>
      </c>
      <c r="T24" s="64">
        <f t="shared" si="6"/>
        <v>73499.376442695357</v>
      </c>
      <c r="U24" s="64">
        <f t="shared" si="6"/>
        <v>73499.376442695357</v>
      </c>
      <c r="V24" s="64">
        <f t="shared" si="6"/>
        <v>73499.376442695357</v>
      </c>
      <c r="W24" s="64">
        <f t="shared" si="6"/>
        <v>73499.376442695357</v>
      </c>
      <c r="X24" s="64">
        <f t="shared" si="6"/>
        <v>73499.376442695357</v>
      </c>
      <c r="Y24" s="64">
        <f t="shared" si="6"/>
        <v>73499.376442695357</v>
      </c>
      <c r="Z24" s="64">
        <f t="shared" si="6"/>
        <v>73499.376442695357</v>
      </c>
      <c r="AA24" s="64">
        <f t="shared" si="6"/>
        <v>73499.376442695357</v>
      </c>
      <c r="AB24" s="64">
        <f t="shared" si="6"/>
        <v>73499.376442695357</v>
      </c>
      <c r="AC24" s="64">
        <f>AB24</f>
        <v>73499.376442695357</v>
      </c>
      <c r="AD24" s="64">
        <f t="shared" ref="AD24:AE25" si="7">AC24</f>
        <v>73499.376442695357</v>
      </c>
      <c r="AE24" s="64">
        <f t="shared" si="7"/>
        <v>73499.376442695357</v>
      </c>
      <c r="AF24" s="64">
        <f>AE24</f>
        <v>73499.376442695357</v>
      </c>
    </row>
    <row r="25" spans="1:32" x14ac:dyDescent="0.35">
      <c r="A25" s="52" t="s">
        <v>477</v>
      </c>
      <c r="B25" s="61">
        <f>E36</f>
        <v>55328.031716230806</v>
      </c>
      <c r="C25" s="61">
        <f>B25+[2]CARB!$B$23</f>
        <v>55983.160185820372</v>
      </c>
      <c r="D25" s="61">
        <f>C25+[2]CARB!$B$23</f>
        <v>56638.288655409939</v>
      </c>
      <c r="E25" s="61">
        <f>D25+[2]CARB!$B$23</f>
        <v>57293.417124999505</v>
      </c>
      <c r="F25" s="61">
        <f>E25+[2]CARB!$C$23</f>
        <v>58493.388198882356</v>
      </c>
      <c r="G25" s="61">
        <f>F25+[2]CARB!$C$23</f>
        <v>59693.359272765207</v>
      </c>
      <c r="H25" s="61">
        <f>G25+[2]CARB!$C$23</f>
        <v>60893.330346648057</v>
      </c>
      <c r="I25" s="61">
        <f>H25+[2]CARB!$C$23</f>
        <v>62093.301420530908</v>
      </c>
      <c r="J25" s="61">
        <f>I25+[2]CARB!$D$23</f>
        <v>63747.753218358994</v>
      </c>
      <c r="K25" s="61">
        <f>J25+[2]CARB!$D$23</f>
        <v>65402.205016187079</v>
      </c>
      <c r="L25" s="64">
        <f>K25+[2]CARB!$D$23</f>
        <v>67056.656814015165</v>
      </c>
      <c r="M25" s="64">
        <f>L25</f>
        <v>67056.656814015165</v>
      </c>
      <c r="N25" s="64">
        <f t="shared" si="6"/>
        <v>67056.656814015165</v>
      </c>
      <c r="O25" s="64">
        <f t="shared" si="6"/>
        <v>67056.656814015165</v>
      </c>
      <c r="P25" s="64">
        <f t="shared" si="6"/>
        <v>67056.656814015165</v>
      </c>
      <c r="Q25" s="64">
        <f t="shared" si="6"/>
        <v>67056.656814015165</v>
      </c>
      <c r="R25" s="64">
        <f t="shared" si="6"/>
        <v>67056.656814015165</v>
      </c>
      <c r="S25" s="64">
        <f t="shared" si="6"/>
        <v>67056.656814015165</v>
      </c>
      <c r="T25" s="64">
        <f t="shared" si="6"/>
        <v>67056.656814015165</v>
      </c>
      <c r="U25" s="64">
        <f t="shared" si="6"/>
        <v>67056.656814015165</v>
      </c>
      <c r="V25" s="64">
        <f t="shared" si="6"/>
        <v>67056.656814015165</v>
      </c>
      <c r="W25" s="64">
        <f t="shared" si="6"/>
        <v>67056.656814015165</v>
      </c>
      <c r="X25" s="64">
        <f t="shared" si="6"/>
        <v>67056.656814015165</v>
      </c>
      <c r="Y25" s="64">
        <f t="shared" si="6"/>
        <v>67056.656814015165</v>
      </c>
      <c r="Z25" s="64">
        <f t="shared" si="6"/>
        <v>67056.656814015165</v>
      </c>
      <c r="AA25" s="64">
        <f t="shared" si="6"/>
        <v>67056.656814015165</v>
      </c>
      <c r="AB25" s="64">
        <f t="shared" si="6"/>
        <v>67056.656814015165</v>
      </c>
      <c r="AC25" s="64">
        <f>AB25</f>
        <v>67056.656814015165</v>
      </c>
      <c r="AD25" s="64">
        <f t="shared" si="7"/>
        <v>67056.656814015165</v>
      </c>
      <c r="AE25" s="64">
        <f t="shared" si="7"/>
        <v>67056.656814015165</v>
      </c>
      <c r="AF25" s="64">
        <f>AE25</f>
        <v>67056.656814015165</v>
      </c>
    </row>
    <row r="28" spans="1:32" x14ac:dyDescent="0.35">
      <c r="A28" s="52" t="str">
        <f>[2]CARB!C30</f>
        <v>Vehicle Group</v>
      </c>
      <c r="B28" s="52" t="str">
        <f>[2]CARB!D30</f>
        <v>Vehicle Price</v>
      </c>
      <c r="C28" s="52" t="s">
        <v>478</v>
      </c>
    </row>
    <row r="29" spans="1:32" x14ac:dyDescent="0.35">
      <c r="A29" s="52" t="s">
        <v>479</v>
      </c>
      <c r="B29" s="61">
        <f>B47</f>
        <v>49700</v>
      </c>
    </row>
    <row r="30" spans="1:32" x14ac:dyDescent="0.35">
      <c r="A30" s="52" t="s">
        <v>480</v>
      </c>
      <c r="B30" s="61">
        <f>B46</f>
        <v>58000</v>
      </c>
    </row>
    <row r="31" spans="1:32" x14ac:dyDescent="0.35">
      <c r="A31" s="52" t="s">
        <v>481</v>
      </c>
      <c r="B31" s="61">
        <f>$B$48</f>
        <v>53850</v>
      </c>
      <c r="C31" s="54">
        <f>[2]CARB!B53</f>
        <v>0.7762312805638798</v>
      </c>
      <c r="D31" s="61">
        <f>C31*B30</f>
        <v>45021.414272705028</v>
      </c>
      <c r="E31" s="61">
        <f>C31*B29</f>
        <v>38578.694644024828</v>
      </c>
      <c r="F31" s="53">
        <f>B45</f>
        <v>62250</v>
      </c>
    </row>
    <row r="32" spans="1:32" x14ac:dyDescent="0.35">
      <c r="A32" s="52" t="str">
        <f>[2]CARB!C33</f>
        <v>Class 4-5</v>
      </c>
      <c r="B32" s="52">
        <f>[2]CARB!D33</f>
        <v>55000</v>
      </c>
      <c r="C32" s="54">
        <f>[2]CARB!C53</f>
        <v>9.5230931548944325E-2</v>
      </c>
      <c r="D32" s="61">
        <f t="shared" ref="D32:D34" si="8">C32*B32</f>
        <v>5237.7012351919375</v>
      </c>
      <c r="E32" s="61">
        <f>D32</f>
        <v>5237.7012351919375</v>
      </c>
      <c r="F32" s="53">
        <f>($F$31/$B$31)*B32</f>
        <v>63579.38718662953</v>
      </c>
    </row>
    <row r="33" spans="1:6" x14ac:dyDescent="0.35">
      <c r="A33" s="52" t="str">
        <f>[2]CARB!C34</f>
        <v>Class 6-7</v>
      </c>
      <c r="B33" s="52">
        <f>[2]CARB!D34</f>
        <v>85000</v>
      </c>
      <c r="C33" s="54">
        <f>[2]CARB!D53</f>
        <v>0.11179710598420206</v>
      </c>
      <c r="D33" s="61">
        <f t="shared" si="8"/>
        <v>9502.7540086571753</v>
      </c>
      <c r="E33" s="61">
        <f t="shared" ref="E33:E34" si="9">D33</f>
        <v>9502.7540086571753</v>
      </c>
      <c r="F33" s="53">
        <f>($F$31/$B$31)*B33</f>
        <v>98259.052924791089</v>
      </c>
    </row>
    <row r="34" spans="1:6" x14ac:dyDescent="0.35">
      <c r="A34" s="52" t="str">
        <f>[2]CARB!C35</f>
        <v>Class 8</v>
      </c>
      <c r="B34" s="52">
        <f>[2]CARB!D35</f>
        <v>120000</v>
      </c>
      <c r="C34" s="54">
        <f>[2]CARB!E53</f>
        <v>1.6740681902973849E-2</v>
      </c>
      <c r="D34" s="61">
        <f t="shared" si="8"/>
        <v>2008.8818283568619</v>
      </c>
      <c r="E34" s="61">
        <f t="shared" si="9"/>
        <v>2008.8818283568619</v>
      </c>
      <c r="F34" s="53">
        <f>($F$31/$B$31)*B34</f>
        <v>138718.66295264626</v>
      </c>
    </row>
    <row r="35" spans="1:6" x14ac:dyDescent="0.35">
      <c r="C35" s="52" t="s">
        <v>482</v>
      </c>
      <c r="D35" s="61">
        <f>SUM(D31:D34)</f>
        <v>61770.751344911005</v>
      </c>
    </row>
    <row r="36" spans="1:6" x14ac:dyDescent="0.35">
      <c r="D36" s="52" t="s">
        <v>483</v>
      </c>
      <c r="E36" s="61">
        <f>SUM(E31:E34)</f>
        <v>55328.031716230806</v>
      </c>
    </row>
    <row r="37" spans="1:6" x14ac:dyDescent="0.35">
      <c r="E37" s="52" t="s">
        <v>484</v>
      </c>
      <c r="F37" s="61">
        <f>C31*F31+C32*F32+C33*F33+C34*F34</f>
        <v>67682.444248431537</v>
      </c>
    </row>
    <row r="38" spans="1:6" x14ac:dyDescent="0.35">
      <c r="A38" s="52" t="s">
        <v>485</v>
      </c>
    </row>
    <row r="39" spans="1:6" x14ac:dyDescent="0.35">
      <c r="A39" s="69" t="s">
        <v>486</v>
      </c>
    </row>
    <row r="40" spans="1:6" x14ac:dyDescent="0.35">
      <c r="A40" s="69"/>
    </row>
    <row r="41" spans="1:6" x14ac:dyDescent="0.35">
      <c r="A41" s="52" t="s">
        <v>487</v>
      </c>
    </row>
    <row r="42" spans="1:6" x14ac:dyDescent="0.35">
      <c r="A42" s="52" t="s">
        <v>488</v>
      </c>
    </row>
    <row r="44" spans="1:6" x14ac:dyDescent="0.35">
      <c r="C44" s="52" t="s">
        <v>489</v>
      </c>
      <c r="D44" s="52" t="s">
        <v>490</v>
      </c>
      <c r="E44" s="52" t="s">
        <v>491</v>
      </c>
    </row>
    <row r="45" spans="1:6" x14ac:dyDescent="0.35">
      <c r="A45" s="52" t="s">
        <v>492</v>
      </c>
      <c r="B45" s="61">
        <f>AVERAGE(D51,D52)</f>
        <v>62250</v>
      </c>
      <c r="C45" s="61">
        <f>AVERAGE(D54,D55)</f>
        <v>14674</v>
      </c>
      <c r="D45" s="55">
        <f>C45/B45</f>
        <v>0.23572690763052209</v>
      </c>
    </row>
    <row r="46" spans="1:6" x14ac:dyDescent="0.35">
      <c r="A46" s="52" t="s">
        <v>476</v>
      </c>
      <c r="B46" s="61">
        <f t="shared" ref="B46" si="10">C65</f>
        <v>58000</v>
      </c>
      <c r="E46" s="52">
        <f>B45/B46</f>
        <v>1.0732758620689655</v>
      </c>
    </row>
    <row r="47" spans="1:6" x14ac:dyDescent="0.35">
      <c r="A47" s="52" t="s">
        <v>477</v>
      </c>
      <c r="B47" s="61">
        <f>D65</f>
        <v>49700</v>
      </c>
    </row>
    <row r="48" spans="1:6" x14ac:dyDescent="0.35">
      <c r="A48" s="52" t="s">
        <v>493</v>
      </c>
      <c r="B48" s="61">
        <f>AVERAGE(B46,B47)</f>
        <v>53850</v>
      </c>
    </row>
    <row r="50" spans="1:4" x14ac:dyDescent="0.35">
      <c r="B50" s="63" t="s">
        <v>494</v>
      </c>
      <c r="C50" s="63" t="s">
        <v>495</v>
      </c>
      <c r="D50" s="52" t="s">
        <v>496</v>
      </c>
    </row>
    <row r="51" spans="1:4" x14ac:dyDescent="0.35">
      <c r="A51" s="52" t="s">
        <v>497</v>
      </c>
      <c r="B51" s="67">
        <v>47000</v>
      </c>
      <c r="C51" s="67">
        <v>68000</v>
      </c>
      <c r="D51" s="67">
        <f>AVERAGE(B51:C51)</f>
        <v>57500</v>
      </c>
    </row>
    <row r="52" spans="1:4" x14ac:dyDescent="0.35">
      <c r="A52" s="52" t="s">
        <v>498</v>
      </c>
      <c r="B52" s="67">
        <v>54000</v>
      </c>
      <c r="C52" s="67">
        <v>80000</v>
      </c>
      <c r="D52" s="67">
        <f>AVERAGE(B52:C52)</f>
        <v>67000</v>
      </c>
    </row>
    <row r="53" spans="1:4" x14ac:dyDescent="0.35">
      <c r="A53" s="63" t="s">
        <v>499</v>
      </c>
      <c r="B53" s="67"/>
      <c r="C53" s="67"/>
      <c r="D53" s="67"/>
    </row>
    <row r="54" spans="1:4" x14ac:dyDescent="0.35">
      <c r="A54" s="52" t="s">
        <v>497</v>
      </c>
      <c r="B54" s="67">
        <f>B57*B60</f>
        <v>5740</v>
      </c>
      <c r="C54" s="67">
        <f>C57*C60</f>
        <v>21016</v>
      </c>
      <c r="D54" s="67">
        <f t="shared" ref="D54:D55" si="11">AVERAGE(B54:C54)</f>
        <v>13378</v>
      </c>
    </row>
    <row r="55" spans="1:4" x14ac:dyDescent="0.35">
      <c r="A55" s="52" t="s">
        <v>498</v>
      </c>
      <c r="B55" s="67">
        <f>B58*B61</f>
        <v>6880</v>
      </c>
      <c r="C55" s="67">
        <f>C58*C61</f>
        <v>25060</v>
      </c>
      <c r="D55" s="67">
        <f t="shared" si="11"/>
        <v>15970</v>
      </c>
    </row>
    <row r="56" spans="1:4" x14ac:dyDescent="0.35">
      <c r="A56" s="63" t="s">
        <v>500</v>
      </c>
    </row>
    <row r="57" spans="1:4" x14ac:dyDescent="0.35">
      <c r="A57" s="52" t="s">
        <v>497</v>
      </c>
      <c r="B57" s="52">
        <v>35</v>
      </c>
      <c r="C57" s="70">
        <v>148</v>
      </c>
    </row>
    <row r="58" spans="1:4" x14ac:dyDescent="0.35">
      <c r="A58" s="52" t="s">
        <v>498</v>
      </c>
      <c r="B58" s="52">
        <v>43</v>
      </c>
      <c r="C58" s="70">
        <v>179</v>
      </c>
    </row>
    <row r="59" spans="1:4" x14ac:dyDescent="0.35">
      <c r="A59" s="63" t="s">
        <v>501</v>
      </c>
      <c r="C59" s="70"/>
    </row>
    <row r="60" spans="1:4" x14ac:dyDescent="0.35">
      <c r="A60" s="52" t="s">
        <v>497</v>
      </c>
      <c r="B60" s="52">
        <v>164</v>
      </c>
      <c r="C60" s="52">
        <v>142</v>
      </c>
    </row>
    <row r="61" spans="1:4" x14ac:dyDescent="0.35">
      <c r="A61" s="52" t="s">
        <v>498</v>
      </c>
      <c r="B61" s="52">
        <v>160</v>
      </c>
      <c r="C61" s="52">
        <v>140</v>
      </c>
    </row>
    <row r="62" spans="1:4" x14ac:dyDescent="0.35">
      <c r="B62" s="52" t="s">
        <v>189</v>
      </c>
      <c r="C62" s="52" t="s">
        <v>502</v>
      </c>
      <c r="D62" s="52" t="s">
        <v>477</v>
      </c>
    </row>
    <row r="63" spans="1:4" x14ac:dyDescent="0.35">
      <c r="A63" s="52" t="s">
        <v>503</v>
      </c>
      <c r="B63" s="67">
        <f>D51</f>
        <v>57500</v>
      </c>
      <c r="C63" s="67">
        <v>56000</v>
      </c>
      <c r="D63" s="67">
        <f>C63*[2]CARB!E31</f>
        <v>50400</v>
      </c>
    </row>
    <row r="64" spans="1:4" x14ac:dyDescent="0.35">
      <c r="A64" s="52" t="s">
        <v>504</v>
      </c>
      <c r="B64" s="67">
        <f>D52</f>
        <v>67000</v>
      </c>
      <c r="C64" s="67">
        <v>60000</v>
      </c>
      <c r="D64" s="67">
        <v>49000</v>
      </c>
    </row>
    <row r="65" spans="1:4" x14ac:dyDescent="0.35">
      <c r="A65" s="52" t="s">
        <v>505</v>
      </c>
      <c r="B65" s="61">
        <f>AVERAGE(B63,B64)</f>
        <v>62250</v>
      </c>
      <c r="C65" s="61">
        <f t="shared" ref="C65:D65" si="12">AVERAGE(C63,C64)</f>
        <v>58000</v>
      </c>
      <c r="D65" s="61">
        <f t="shared" si="12"/>
        <v>49700</v>
      </c>
    </row>
    <row r="69" spans="1:4" x14ac:dyDescent="0.35">
      <c r="A69" s="52" t="s">
        <v>506</v>
      </c>
    </row>
    <row r="87" spans="1:32" x14ac:dyDescent="0.35">
      <c r="A87" s="52" t="s">
        <v>468</v>
      </c>
    </row>
    <row r="88" spans="1:32" x14ac:dyDescent="0.35">
      <c r="A88" s="52" t="s">
        <v>469</v>
      </c>
      <c r="B88" s="52">
        <v>2020</v>
      </c>
      <c r="C88" s="52">
        <v>2021</v>
      </c>
      <c r="D88" s="52">
        <v>2022</v>
      </c>
      <c r="E88" s="52">
        <v>2023</v>
      </c>
      <c r="F88" s="52">
        <v>2024</v>
      </c>
      <c r="G88" s="52">
        <v>2025</v>
      </c>
      <c r="H88" s="52">
        <v>2026</v>
      </c>
      <c r="I88" s="52">
        <v>2027</v>
      </c>
      <c r="J88" s="52">
        <v>2028</v>
      </c>
      <c r="K88" s="52">
        <v>2029</v>
      </c>
      <c r="L88" s="52">
        <v>2030</v>
      </c>
      <c r="M88" s="52">
        <v>2031</v>
      </c>
      <c r="N88" s="52">
        <v>2032</v>
      </c>
      <c r="O88" s="52">
        <v>2033</v>
      </c>
      <c r="P88" s="52">
        <v>2034</v>
      </c>
      <c r="Q88" s="52">
        <v>2035</v>
      </c>
      <c r="R88" s="52">
        <v>2036</v>
      </c>
      <c r="S88" s="52">
        <v>2037</v>
      </c>
      <c r="T88" s="52">
        <v>2038</v>
      </c>
      <c r="U88" s="52">
        <v>2039</v>
      </c>
      <c r="V88" s="52">
        <v>2040</v>
      </c>
      <c r="W88" s="52">
        <v>2041</v>
      </c>
      <c r="X88" s="52">
        <v>2042</v>
      </c>
      <c r="Y88" s="52">
        <v>2043</v>
      </c>
      <c r="Z88" s="52">
        <v>2044</v>
      </c>
      <c r="AA88" s="52">
        <v>2045</v>
      </c>
      <c r="AB88" s="52">
        <v>2046</v>
      </c>
      <c r="AC88" s="52">
        <v>2047</v>
      </c>
      <c r="AD88" s="52">
        <v>2048</v>
      </c>
      <c r="AE88" s="52">
        <v>2049</v>
      </c>
      <c r="AF88" s="52">
        <v>2050</v>
      </c>
    </row>
    <row r="89" spans="1:32" x14ac:dyDescent="0.35">
      <c r="A89" s="52" t="s">
        <v>470</v>
      </c>
      <c r="B89" s="52">
        <v>1</v>
      </c>
      <c r="C89" s="52">
        <v>0.81247100000000005</v>
      </c>
      <c r="D89" s="52">
        <v>0.69057400000000002</v>
      </c>
      <c r="E89" s="52">
        <v>0.602966</v>
      </c>
      <c r="F89" s="52">
        <v>0.5343</v>
      </c>
      <c r="G89" s="52">
        <v>0.48347499999999999</v>
      </c>
      <c r="H89" s="52">
        <v>0.44039</v>
      </c>
      <c r="I89" s="52">
        <v>0.40270299999999998</v>
      </c>
      <c r="J89" s="52">
        <v>0.37030400000000002</v>
      </c>
      <c r="K89" s="52">
        <v>0.34204000000000001</v>
      </c>
      <c r="L89" s="52">
        <v>0.31709700000000002</v>
      </c>
      <c r="M89" s="52">
        <v>0.29500300000000002</v>
      </c>
      <c r="N89" s="52">
        <v>0.27564899999999998</v>
      </c>
      <c r="O89" s="52">
        <v>0.25891599999999998</v>
      </c>
      <c r="P89" s="52">
        <v>0.244364</v>
      </c>
      <c r="Q89" s="52">
        <v>0.23164399999999999</v>
      </c>
      <c r="R89" s="52">
        <v>0.220274</v>
      </c>
      <c r="S89" s="52">
        <v>0.21030599999999999</v>
      </c>
      <c r="T89" s="52">
        <v>0.201484</v>
      </c>
      <c r="U89" s="52">
        <v>0.19356699999999999</v>
      </c>
      <c r="V89" s="52">
        <v>0.18637899999999999</v>
      </c>
      <c r="W89" s="52">
        <v>0.17997199999999999</v>
      </c>
      <c r="X89" s="52">
        <v>0.174208</v>
      </c>
      <c r="Y89" s="52">
        <v>0.16899500000000001</v>
      </c>
      <c r="Z89" s="52">
        <v>0.16425799999999999</v>
      </c>
      <c r="AA89" s="52">
        <v>0.15993299999999999</v>
      </c>
      <c r="AB89" s="52">
        <v>0.155976</v>
      </c>
      <c r="AC89" s="52">
        <v>0.152332</v>
      </c>
      <c r="AD89" s="52">
        <v>0.14896200000000001</v>
      </c>
      <c r="AE89" s="52">
        <v>0.14583499999999999</v>
      </c>
      <c r="AF89" s="52">
        <v>0.142924</v>
      </c>
    </row>
    <row r="90" spans="1:32" x14ac:dyDescent="0.35">
      <c r="A90" s="52" t="s">
        <v>507</v>
      </c>
      <c r="B90" s="61">
        <f>0.24*F37</f>
        <v>16243.786619623568</v>
      </c>
    </row>
    <row r="91" spans="1:32" x14ac:dyDescent="0.35">
      <c r="A91" s="52" t="s">
        <v>508</v>
      </c>
      <c r="C91" s="61">
        <f>(1-C89)*$B$90</f>
        <v>3046.1810609913873</v>
      </c>
      <c r="D91" s="61">
        <f t="shared" ref="D91:AF91" si="13">(1-D89)*$B$90</f>
        <v>5026.2499185636416</v>
      </c>
      <c r="E91" s="61">
        <f t="shared" si="13"/>
        <v>6449.3355767356234</v>
      </c>
      <c r="F91" s="61">
        <f t="shared" si="13"/>
        <v>7564.731428758696</v>
      </c>
      <c r="G91" s="61">
        <f t="shared" si="13"/>
        <v>8390.3218837010645</v>
      </c>
      <c r="H91" s="61">
        <f t="shared" si="13"/>
        <v>9090.1854302075444</v>
      </c>
      <c r="I91" s="61">
        <f t="shared" si="13"/>
        <v>9702.3650165412982</v>
      </c>
      <c r="J91" s="61">
        <f t="shared" si="13"/>
        <v>10228.647459230482</v>
      </c>
      <c r="K91" s="61">
        <f t="shared" si="13"/>
        <v>10687.761844247523</v>
      </c>
      <c r="L91" s="61">
        <f t="shared" si="13"/>
        <v>11092.930613900795</v>
      </c>
      <c r="M91" s="61">
        <f t="shared" si="13"/>
        <v>11451.820835474757</v>
      </c>
      <c r="N91" s="61">
        <f t="shared" si="13"/>
        <v>11766.20308171095</v>
      </c>
      <c r="O91" s="61">
        <f t="shared" si="13"/>
        <v>12038.010363217114</v>
      </c>
      <c r="P91" s="61">
        <f t="shared" si="13"/>
        <v>12274.389946105874</v>
      </c>
      <c r="Q91" s="61">
        <f t="shared" si="13"/>
        <v>12481.010911907488</v>
      </c>
      <c r="R91" s="61">
        <f t="shared" si="13"/>
        <v>12665.702765772607</v>
      </c>
      <c r="S91" s="61">
        <f t="shared" si="13"/>
        <v>12827.620830797014</v>
      </c>
      <c r="T91" s="61">
        <f t="shared" si="13"/>
        <v>12970.923516355333</v>
      </c>
      <c r="U91" s="61">
        <f t="shared" si="13"/>
        <v>13099.525575022892</v>
      </c>
      <c r="V91" s="61">
        <f t="shared" si="13"/>
        <v>13216.285913244748</v>
      </c>
      <c r="W91" s="61">
        <f t="shared" si="13"/>
        <v>13320.359854116676</v>
      </c>
      <c r="X91" s="61">
        <f t="shared" si="13"/>
        <v>13413.989040192186</v>
      </c>
      <c r="Y91" s="61">
        <f t="shared" si="13"/>
        <v>13498.667899840284</v>
      </c>
      <c r="Z91" s="61">
        <f t="shared" si="13"/>
        <v>13575.61471705744</v>
      </c>
      <c r="AA91" s="61">
        <f t="shared" si="13"/>
        <v>13645.869094187312</v>
      </c>
      <c r="AB91" s="61">
        <f t="shared" si="13"/>
        <v>13710.145757841163</v>
      </c>
      <c r="AC91" s="61">
        <f t="shared" si="13"/>
        <v>13769.33811628307</v>
      </c>
      <c r="AD91" s="61">
        <f t="shared" si="13"/>
        <v>13824.079677191201</v>
      </c>
      <c r="AE91" s="61">
        <f t="shared" si="13"/>
        <v>13874.873997950766</v>
      </c>
      <c r="AF91" s="61">
        <f t="shared" si="13"/>
        <v>13922.159660800489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839A-810E-479A-9E89-42ADBDB334C3}">
  <sheetPr>
    <tabColor theme="9"/>
  </sheetPr>
  <dimension ref="A1:AF24"/>
  <sheetViews>
    <sheetView workbookViewId="0">
      <selection activeCell="A2" sqref="A2:AF2"/>
    </sheetView>
  </sheetViews>
  <sheetFormatPr defaultRowHeight="14.5" x14ac:dyDescent="0.35"/>
  <cols>
    <col min="1" max="1" width="15.25" style="52" customWidth="1"/>
    <col min="2" max="2" width="18.58203125" style="52" customWidth="1"/>
    <col min="3" max="32" width="11.08203125" style="52" bestFit="1" customWidth="1"/>
    <col min="33" max="16384" width="8.6640625" style="52"/>
  </cols>
  <sheetData>
    <row r="1" spans="1:32" x14ac:dyDescent="0.35">
      <c r="B1" s="52">
        <v>2020</v>
      </c>
      <c r="C1" s="52">
        <v>2021</v>
      </c>
      <c r="D1" s="52">
        <v>2022</v>
      </c>
      <c r="E1" s="52">
        <v>2023</v>
      </c>
      <c r="F1" s="52">
        <v>2024</v>
      </c>
      <c r="G1" s="52">
        <v>2025</v>
      </c>
      <c r="H1" s="52">
        <v>2026</v>
      </c>
      <c r="I1" s="52">
        <v>2027</v>
      </c>
      <c r="J1" s="52">
        <v>2028</v>
      </c>
      <c r="K1" s="52">
        <v>2029</v>
      </c>
      <c r="L1" s="52">
        <v>2030</v>
      </c>
      <c r="M1" s="52">
        <v>2031</v>
      </c>
      <c r="N1" s="52">
        <v>2032</v>
      </c>
      <c r="O1" s="52">
        <v>2033</v>
      </c>
      <c r="P1" s="52">
        <v>2034</v>
      </c>
      <c r="Q1" s="52">
        <v>2035</v>
      </c>
      <c r="R1" s="52">
        <v>2036</v>
      </c>
      <c r="S1" s="52">
        <v>2037</v>
      </c>
      <c r="T1" s="52">
        <v>2038</v>
      </c>
      <c r="U1" s="52">
        <v>2039</v>
      </c>
      <c r="V1" s="52">
        <v>2040</v>
      </c>
      <c r="W1" s="52">
        <v>2041</v>
      </c>
      <c r="X1" s="52">
        <v>2042</v>
      </c>
      <c r="Y1" s="52">
        <v>2043</v>
      </c>
      <c r="Z1" s="52">
        <v>2044</v>
      </c>
      <c r="AA1" s="52">
        <v>2045</v>
      </c>
      <c r="AB1" s="52">
        <v>2046</v>
      </c>
      <c r="AC1" s="52">
        <v>2047</v>
      </c>
      <c r="AD1" s="52">
        <v>2048</v>
      </c>
      <c r="AE1" s="52">
        <v>2049</v>
      </c>
      <c r="AF1" s="52">
        <v>2050</v>
      </c>
    </row>
    <row r="2" spans="1:32" x14ac:dyDescent="0.35">
      <c r="A2" s="52" t="s">
        <v>425</v>
      </c>
      <c r="B2" s="53">
        <v>509950.28671999997</v>
      </c>
      <c r="C2" s="53">
        <v>474109.04726169485</v>
      </c>
      <c r="D2" s="53">
        <v>450811.63957408897</v>
      </c>
      <c r="E2" s="53">
        <v>434067.67300644779</v>
      </c>
      <c r="F2" s="53">
        <v>420943.97187945421</v>
      </c>
      <c r="G2" s="53">
        <v>411230.10898108454</v>
      </c>
      <c r="H2" s="53">
        <v>402995.5436495301</v>
      </c>
      <c r="I2" s="53">
        <v>395792.66414041334</v>
      </c>
      <c r="J2" s="53">
        <v>389600.44684490369</v>
      </c>
      <c r="K2" s="53">
        <v>384198.52611771197</v>
      </c>
      <c r="L2" s="53">
        <v>379431.32725349092</v>
      </c>
      <c r="M2" s="53">
        <v>375208.6398579852</v>
      </c>
      <c r="N2" s="53">
        <v>371509.63144608069</v>
      </c>
      <c r="O2" s="53">
        <v>368311.55829549703</v>
      </c>
      <c r="P2" s="53">
        <v>365530.32597091113</v>
      </c>
      <c r="Q2" s="53">
        <v>363099.2322952149</v>
      </c>
      <c r="R2" s="53">
        <v>360926.15563698637</v>
      </c>
      <c r="S2" s="53">
        <v>359021.03442949115</v>
      </c>
      <c r="T2" s="53">
        <v>357334.94100126839</v>
      </c>
      <c r="U2" s="53">
        <v>355821.81453660748</v>
      </c>
      <c r="V2" s="53">
        <v>354448.01726137917</v>
      </c>
      <c r="W2" s="53">
        <v>353223.48760884884</v>
      </c>
      <c r="X2" s="53">
        <v>352121.85050611978</v>
      </c>
      <c r="Y2" s="53">
        <v>351125.52257126098</v>
      </c>
      <c r="Z2" s="53">
        <v>350220.16952552408</v>
      </c>
      <c r="AA2" s="53">
        <v>349393.55945104407</v>
      </c>
      <c r="AB2" s="53">
        <v>348637.2829042885</v>
      </c>
      <c r="AC2" s="53">
        <v>347940.82808084216</v>
      </c>
      <c r="AD2" s="53">
        <v>347296.741155756</v>
      </c>
      <c r="AE2" s="53">
        <v>346699.097293814</v>
      </c>
      <c r="AF2" s="53">
        <v>346142.73615466681</v>
      </c>
    </row>
    <row r="3" spans="1:32" x14ac:dyDescent="0.35">
      <c r="A3" s="52" t="s">
        <v>426</v>
      </c>
      <c r="B3" s="53">
        <v>393020</v>
      </c>
      <c r="C3" s="53">
        <v>393020</v>
      </c>
      <c r="D3" s="53">
        <v>393020</v>
      </c>
      <c r="E3" s="53">
        <v>393020</v>
      </c>
      <c r="F3" s="53">
        <v>393020</v>
      </c>
      <c r="G3" s="53">
        <v>393020</v>
      </c>
      <c r="H3" s="53">
        <v>393020</v>
      </c>
      <c r="I3" s="53">
        <v>393020</v>
      </c>
      <c r="J3" s="53">
        <v>393020</v>
      </c>
      <c r="K3" s="53">
        <v>393020</v>
      </c>
      <c r="L3" s="53">
        <v>393020</v>
      </c>
      <c r="M3" s="53">
        <v>393020</v>
      </c>
      <c r="N3" s="53">
        <v>393020</v>
      </c>
      <c r="O3" s="53">
        <v>393020</v>
      </c>
      <c r="P3" s="53">
        <v>393020</v>
      </c>
      <c r="Q3" s="53">
        <v>393020</v>
      </c>
      <c r="R3" s="53">
        <v>393020</v>
      </c>
      <c r="S3" s="53">
        <v>393020</v>
      </c>
      <c r="T3" s="53">
        <v>393020</v>
      </c>
      <c r="U3" s="53">
        <v>393020</v>
      </c>
      <c r="V3" s="53">
        <v>393020</v>
      </c>
      <c r="W3" s="53">
        <v>393020</v>
      </c>
      <c r="X3" s="53">
        <v>393020</v>
      </c>
      <c r="Y3" s="53">
        <v>393020</v>
      </c>
      <c r="Z3" s="53">
        <v>393020</v>
      </c>
      <c r="AA3" s="53">
        <v>393020</v>
      </c>
      <c r="AB3" s="53">
        <v>393020</v>
      </c>
      <c r="AC3" s="53">
        <v>393020</v>
      </c>
      <c r="AD3" s="53">
        <v>393020</v>
      </c>
      <c r="AE3" s="53">
        <v>393020</v>
      </c>
      <c r="AF3" s="53">
        <v>393020</v>
      </c>
    </row>
    <row r="4" spans="1:32" x14ac:dyDescent="0.35">
      <c r="A4" s="52" t="s">
        <v>427</v>
      </c>
      <c r="B4" s="53">
        <v>353718</v>
      </c>
      <c r="C4" s="53">
        <v>353718</v>
      </c>
      <c r="D4" s="53">
        <v>353718</v>
      </c>
      <c r="E4" s="53">
        <v>353718</v>
      </c>
      <c r="F4" s="53">
        <v>353718</v>
      </c>
      <c r="G4" s="53">
        <v>353718</v>
      </c>
      <c r="H4" s="53">
        <v>353718</v>
      </c>
      <c r="I4" s="53">
        <v>353718</v>
      </c>
      <c r="J4" s="53">
        <v>353718</v>
      </c>
      <c r="K4" s="53">
        <v>353718</v>
      </c>
      <c r="L4" s="53">
        <v>353718</v>
      </c>
      <c r="M4" s="53">
        <v>353718</v>
      </c>
      <c r="N4" s="53">
        <v>353718</v>
      </c>
      <c r="O4" s="53">
        <v>353718</v>
      </c>
      <c r="P4" s="53">
        <v>353718</v>
      </c>
      <c r="Q4" s="53">
        <v>353718</v>
      </c>
      <c r="R4" s="53">
        <v>353718</v>
      </c>
      <c r="S4" s="53">
        <v>353718</v>
      </c>
      <c r="T4" s="53">
        <v>353718</v>
      </c>
      <c r="U4" s="53">
        <v>353718</v>
      </c>
      <c r="V4" s="53">
        <v>353718</v>
      </c>
      <c r="W4" s="53">
        <v>353718</v>
      </c>
      <c r="X4" s="53">
        <v>353718</v>
      </c>
      <c r="Y4" s="53">
        <v>353718</v>
      </c>
      <c r="Z4" s="53">
        <v>353718</v>
      </c>
      <c r="AA4" s="53">
        <v>353718</v>
      </c>
      <c r="AB4" s="53">
        <v>353718</v>
      </c>
      <c r="AC4" s="53">
        <v>353718</v>
      </c>
      <c r="AD4" s="53">
        <v>353718</v>
      </c>
      <c r="AE4" s="53">
        <v>353718</v>
      </c>
      <c r="AF4" s="53">
        <v>353718</v>
      </c>
    </row>
    <row r="5" spans="1:32" x14ac:dyDescent="0.35">
      <c r="A5" s="52" t="s">
        <v>428</v>
      </c>
      <c r="B5" s="53">
        <v>393020</v>
      </c>
      <c r="C5" s="53">
        <v>393020</v>
      </c>
      <c r="D5" s="53">
        <v>393020</v>
      </c>
      <c r="E5" s="53">
        <v>393020</v>
      </c>
      <c r="F5" s="53">
        <v>393020</v>
      </c>
      <c r="G5" s="53">
        <v>393020</v>
      </c>
      <c r="H5" s="53">
        <v>393020</v>
      </c>
      <c r="I5" s="53">
        <v>393020</v>
      </c>
      <c r="J5" s="53">
        <v>393020</v>
      </c>
      <c r="K5" s="53">
        <v>393020</v>
      </c>
      <c r="L5" s="53">
        <v>393020</v>
      </c>
      <c r="M5" s="53">
        <v>393020</v>
      </c>
      <c r="N5" s="53">
        <v>393020</v>
      </c>
      <c r="O5" s="53">
        <v>393020</v>
      </c>
      <c r="P5" s="53">
        <v>393020</v>
      </c>
      <c r="Q5" s="53">
        <v>393020</v>
      </c>
      <c r="R5" s="53">
        <v>393020</v>
      </c>
      <c r="S5" s="53">
        <v>393020</v>
      </c>
      <c r="T5" s="53">
        <v>393020</v>
      </c>
      <c r="U5" s="53">
        <v>393020</v>
      </c>
      <c r="V5" s="53">
        <v>393020</v>
      </c>
      <c r="W5" s="53">
        <v>393020</v>
      </c>
      <c r="X5" s="53">
        <v>393020</v>
      </c>
      <c r="Y5" s="53">
        <v>393020</v>
      </c>
      <c r="Z5" s="53">
        <v>393020</v>
      </c>
      <c r="AA5" s="53">
        <v>393020</v>
      </c>
      <c r="AB5" s="53">
        <v>393020</v>
      </c>
      <c r="AC5" s="53">
        <v>393020</v>
      </c>
      <c r="AD5" s="53">
        <v>393020</v>
      </c>
      <c r="AE5" s="53">
        <v>393020</v>
      </c>
      <c r="AF5" s="53">
        <v>393020</v>
      </c>
    </row>
    <row r="6" spans="1:32" x14ac:dyDescent="0.35">
      <c r="A6" s="52" t="s">
        <v>429</v>
      </c>
      <c r="B6" s="53">
        <v>999999</v>
      </c>
      <c r="C6" s="53">
        <v>999999</v>
      </c>
      <c r="D6" s="53">
        <v>999999</v>
      </c>
      <c r="E6" s="53">
        <v>999999</v>
      </c>
      <c r="F6" s="53">
        <v>999999</v>
      </c>
      <c r="G6" s="53">
        <v>999999</v>
      </c>
      <c r="H6" s="53">
        <v>999999</v>
      </c>
      <c r="I6" s="53">
        <v>999999</v>
      </c>
      <c r="J6" s="53">
        <v>999999</v>
      </c>
      <c r="K6" s="53">
        <v>999999</v>
      </c>
      <c r="L6" s="53">
        <v>999999</v>
      </c>
      <c r="M6" s="53">
        <v>999999</v>
      </c>
      <c r="N6" s="53">
        <v>999999</v>
      </c>
      <c r="O6" s="53">
        <v>999999</v>
      </c>
      <c r="P6" s="53">
        <v>999999</v>
      </c>
      <c r="Q6" s="53">
        <v>999999</v>
      </c>
      <c r="R6" s="53">
        <v>999999</v>
      </c>
      <c r="S6" s="53">
        <v>999999</v>
      </c>
      <c r="T6" s="53">
        <v>999999</v>
      </c>
      <c r="U6" s="53">
        <v>999999</v>
      </c>
      <c r="V6" s="53">
        <v>999999</v>
      </c>
      <c r="W6" s="53">
        <v>999999</v>
      </c>
      <c r="X6" s="53">
        <v>999999</v>
      </c>
      <c r="Y6" s="53">
        <v>999999</v>
      </c>
      <c r="Z6" s="53">
        <v>999999</v>
      </c>
      <c r="AA6" s="53">
        <v>999999</v>
      </c>
      <c r="AB6" s="53">
        <v>999999</v>
      </c>
      <c r="AC6" s="53">
        <v>999999</v>
      </c>
      <c r="AD6" s="53">
        <v>999999</v>
      </c>
      <c r="AE6" s="53">
        <v>999999</v>
      </c>
      <c r="AF6" s="53">
        <v>999999</v>
      </c>
    </row>
    <row r="7" spans="1:32" x14ac:dyDescent="0.35">
      <c r="A7" s="52" t="s">
        <v>430</v>
      </c>
      <c r="B7" s="53">
        <v>999999</v>
      </c>
      <c r="C7" s="53">
        <v>999999</v>
      </c>
      <c r="D7" s="53">
        <v>999999</v>
      </c>
      <c r="E7" s="53">
        <v>999999</v>
      </c>
      <c r="F7" s="53">
        <v>999999</v>
      </c>
      <c r="G7" s="53">
        <v>999999</v>
      </c>
      <c r="H7" s="53">
        <v>999999</v>
      </c>
      <c r="I7" s="53">
        <v>999999</v>
      </c>
      <c r="J7" s="53">
        <v>999999</v>
      </c>
      <c r="K7" s="53">
        <v>999999</v>
      </c>
      <c r="L7" s="53">
        <v>999999</v>
      </c>
      <c r="M7" s="53">
        <v>999999</v>
      </c>
      <c r="N7" s="53">
        <v>999999</v>
      </c>
      <c r="O7" s="53">
        <v>999999</v>
      </c>
      <c r="P7" s="53">
        <v>999999</v>
      </c>
      <c r="Q7" s="53">
        <v>999999</v>
      </c>
      <c r="R7" s="53">
        <v>999999</v>
      </c>
      <c r="S7" s="53">
        <v>999999</v>
      </c>
      <c r="T7" s="53">
        <v>999999</v>
      </c>
      <c r="U7" s="53">
        <v>999999</v>
      </c>
      <c r="V7" s="53">
        <v>999999</v>
      </c>
      <c r="W7" s="53">
        <v>999999</v>
      </c>
      <c r="X7" s="53">
        <v>999999</v>
      </c>
      <c r="Y7" s="53">
        <v>999999</v>
      </c>
      <c r="Z7" s="53">
        <v>999999</v>
      </c>
      <c r="AA7" s="53">
        <v>999999</v>
      </c>
      <c r="AB7" s="53">
        <v>999999</v>
      </c>
      <c r="AC7" s="53">
        <v>999999</v>
      </c>
      <c r="AD7" s="53">
        <v>999999</v>
      </c>
      <c r="AE7" s="53">
        <v>999999</v>
      </c>
      <c r="AF7" s="53">
        <v>999999</v>
      </c>
    </row>
    <row r="8" spans="1:32" x14ac:dyDescent="0.35">
      <c r="A8" s="52" t="s">
        <v>431</v>
      </c>
      <c r="B8" s="53">
        <v>655650.36864</v>
      </c>
      <c r="C8" s="53">
        <v>588536.62468995666</v>
      </c>
      <c r="D8" s="53">
        <v>547917.8639116002</v>
      </c>
      <c r="E8" s="53">
        <v>519575.29183541785</v>
      </c>
      <c r="F8" s="53">
        <v>497854.7541401101</v>
      </c>
      <c r="G8" s="53">
        <v>481567.59755771625</v>
      </c>
      <c r="H8" s="53">
        <v>467948.76797104813</v>
      </c>
      <c r="I8" s="53">
        <v>456202.50917308021</v>
      </c>
      <c r="J8" s="53">
        <v>446128.32089163904</v>
      </c>
      <c r="K8" s="53">
        <v>437351.9464446241</v>
      </c>
      <c r="L8" s="53">
        <v>429610.73639508901</v>
      </c>
      <c r="M8" s="53">
        <v>422947.7415182605</v>
      </c>
      <c r="N8" s="53">
        <v>416511.9418013877</v>
      </c>
      <c r="O8" s="53">
        <v>410679.82862596016</v>
      </c>
      <c r="P8" s="53">
        <v>405348.97992742399</v>
      </c>
      <c r="Q8" s="53">
        <v>400438.20627051196</v>
      </c>
      <c r="R8" s="53">
        <v>395840.06732795067</v>
      </c>
      <c r="S8" s="53">
        <v>391560.68070019229</v>
      </c>
      <c r="T8" s="53">
        <v>387542.07917311165</v>
      </c>
      <c r="U8" s="53">
        <v>383730.58105534007</v>
      </c>
      <c r="V8" s="53">
        <v>380086.95017208974</v>
      </c>
      <c r="W8" s="53">
        <v>376619.23356632434</v>
      </c>
      <c r="X8" s="53">
        <v>373296.73856609897</v>
      </c>
      <c r="Y8" s="53">
        <v>370098.68278788711</v>
      </c>
      <c r="Z8" s="53">
        <v>367008.11772252049</v>
      </c>
      <c r="AA8" s="53">
        <v>364010.63492304774</v>
      </c>
      <c r="AB8" s="53">
        <v>361096.08346721204</v>
      </c>
      <c r="AC8" s="53">
        <v>358252.35295203287</v>
      </c>
      <c r="AD8" s="53">
        <v>355470.71940840367</v>
      </c>
      <c r="AE8" s="53">
        <v>352744.19638555386</v>
      </c>
      <c r="AF8" s="53">
        <v>350066.71515658509</v>
      </c>
    </row>
    <row r="11" spans="1:32" x14ac:dyDescent="0.35">
      <c r="A11" s="52" t="s">
        <v>509</v>
      </c>
    </row>
    <row r="12" spans="1:32" x14ac:dyDescent="0.35">
      <c r="A12" s="52" t="s">
        <v>510</v>
      </c>
    </row>
    <row r="15" spans="1:32" x14ac:dyDescent="0.35">
      <c r="A15" s="52" t="s">
        <v>511</v>
      </c>
    </row>
    <row r="17" spans="1:3" x14ac:dyDescent="0.35">
      <c r="B17" s="52" t="s">
        <v>512</v>
      </c>
      <c r="C17" s="52" t="s">
        <v>513</v>
      </c>
    </row>
    <row r="18" spans="1:3" x14ac:dyDescent="0.35">
      <c r="A18" s="52" t="s">
        <v>514</v>
      </c>
      <c r="B18" s="52">
        <f>351*268</f>
        <v>94068</v>
      </c>
      <c r="C18" s="52">
        <f>B18*[2]About!$A$167</f>
        <v>85978.152000000002</v>
      </c>
    </row>
    <row r="19" spans="1:3" x14ac:dyDescent="0.35">
      <c r="A19" s="52" t="s">
        <v>515</v>
      </c>
      <c r="B19" s="52">
        <f>B18*1.36</f>
        <v>127932.48000000001</v>
      </c>
      <c r="C19" s="52">
        <f>B19*[2]About!$A$167</f>
        <v>116930.28672000002</v>
      </c>
    </row>
    <row r="21" spans="1:3" x14ac:dyDescent="0.35">
      <c r="A21" s="52" t="s">
        <v>516</v>
      </c>
      <c r="B21" s="52">
        <f>430000</f>
        <v>430000</v>
      </c>
      <c r="C21" s="52">
        <f>B21*[2]About!$A$167</f>
        <v>393020</v>
      </c>
    </row>
    <row r="23" spans="1:3" x14ac:dyDescent="0.35">
      <c r="A23" s="52" t="s">
        <v>517</v>
      </c>
      <c r="B23" s="52">
        <f>B21+B19</f>
        <v>557932.48</v>
      </c>
      <c r="C23" s="52">
        <f>B23*[2]About!$A$167</f>
        <v>509950.28671999997</v>
      </c>
    </row>
    <row r="24" spans="1:3" x14ac:dyDescent="0.35">
      <c r="A24" s="52" t="s">
        <v>518</v>
      </c>
      <c r="B24" s="55">
        <f>B19/B23</f>
        <v>0.22929742322942018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tabSelected="1" topLeftCell="N1" workbookViewId="0">
      <selection activeCell="Q2" sqref="Q2:AA2"/>
    </sheetView>
  </sheetViews>
  <sheetFormatPr defaultColWidth="12.6640625" defaultRowHeight="15" customHeight="1" x14ac:dyDescent="0.3"/>
  <cols>
    <col min="1" max="1" width="13.5" style="18" customWidth="1"/>
    <col min="2" max="36" width="7.6640625" style="18" customWidth="1"/>
  </cols>
  <sheetData>
    <row r="1" spans="1:36" ht="48" customHeight="1" x14ac:dyDescent="0.35">
      <c r="A1" s="17" t="s">
        <v>269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ht="14.5" x14ac:dyDescent="0.35">
      <c r="A2" s="8" t="s">
        <v>270</v>
      </c>
      <c r="B2" s="39">
        <f>C2</f>
        <v>0.10131740487679083</v>
      </c>
      <c r="C2" s="39">
        <f>D2</f>
        <v>0.10131740487679083</v>
      </c>
      <c r="D2" s="39">
        <f>E2</f>
        <v>0.10131740487679083</v>
      </c>
      <c r="E2" s="40">
        <f>'LDV psg calculations'!A32</f>
        <v>0.10131740487679083</v>
      </c>
      <c r="F2" s="40">
        <f>'LDV psg calculations'!B32</f>
        <v>0.10406884306341027</v>
      </c>
      <c r="G2" s="40">
        <f>'LDV psg calculations'!C32</f>
        <v>0.10640410321032427</v>
      </c>
      <c r="H2" s="40">
        <f>'LDV psg calculations'!D32</f>
        <v>9.1285383958375099E-2</v>
      </c>
      <c r="I2" s="40">
        <f>'LDV psg calculations'!E32</f>
        <v>8.4949942311859553E-2</v>
      </c>
      <c r="J2" s="40">
        <f>'LDV psg calculations'!F32</f>
        <v>6.7101353451737719E-2</v>
      </c>
      <c r="K2" s="40">
        <f>'LDV psg calculations'!G32</f>
        <v>5.293843557957903E-2</v>
      </c>
      <c r="L2" s="40">
        <f>'LDV psg calculations'!H32</f>
        <v>4.2646145105655509E-2</v>
      </c>
      <c r="M2" s="40">
        <f>'LDV psg calculations'!I32</f>
        <v>2.7798922885465299E-2</v>
      </c>
      <c r="N2" s="40">
        <f>'LDV psg calculations'!J32</f>
        <v>1.6823648726348193E-2</v>
      </c>
      <c r="O2" s="40">
        <f>'LDV psg calculations'!K32</f>
        <v>1.4218979329965348E-2</v>
      </c>
      <c r="P2" s="40">
        <f>'LDV psg calculations'!L32</f>
        <v>5.5490130566995003E-3</v>
      </c>
      <c r="Q2" s="98">
        <v>0</v>
      </c>
      <c r="R2" s="98">
        <v>0</v>
      </c>
      <c r="S2" s="98">
        <v>0</v>
      </c>
      <c r="T2" s="98">
        <v>0</v>
      </c>
      <c r="U2" s="98">
        <v>0</v>
      </c>
      <c r="V2" s="98">
        <v>0</v>
      </c>
      <c r="W2" s="98">
        <v>0</v>
      </c>
      <c r="X2" s="98">
        <v>0</v>
      </c>
      <c r="Y2" s="98">
        <v>0</v>
      </c>
      <c r="Z2" s="98">
        <v>0</v>
      </c>
      <c r="AA2" s="98">
        <v>0</v>
      </c>
      <c r="AB2" s="40">
        <f>'LDV psg calculations'!X32</f>
        <v>0</v>
      </c>
      <c r="AC2" s="40">
        <f>'LDV psg calculations'!Y32</f>
        <v>0</v>
      </c>
      <c r="AD2" s="40">
        <f>'LDV psg calculations'!Z32</f>
        <v>0</v>
      </c>
      <c r="AE2" s="40">
        <f>'LDV psg calculations'!AA32</f>
        <v>0</v>
      </c>
      <c r="AF2" s="40">
        <f>'LDV psg calculations'!AB32</f>
        <v>0</v>
      </c>
      <c r="AG2" s="40">
        <f>'LDV psg calculations'!AC32</f>
        <v>0</v>
      </c>
      <c r="AH2" s="40">
        <f>'LDV psg calculations'!AD32</f>
        <v>0</v>
      </c>
      <c r="AI2" s="40">
        <f>'LDV psg calculations'!AE32</f>
        <v>0</v>
      </c>
      <c r="AJ2" s="40">
        <f>'LDV psg calculations'!AF32</f>
        <v>0</v>
      </c>
    </row>
    <row r="3" spans="1:36" ht="14.5" x14ac:dyDescent="0.35">
      <c r="A3" s="8" t="s">
        <v>271</v>
      </c>
      <c r="B3" s="97">
        <f t="shared" ref="B3:D3" si="0">C3</f>
        <v>0.20003122103864271</v>
      </c>
      <c r="C3" s="97">
        <f t="shared" si="0"/>
        <v>0.20003122103864271</v>
      </c>
      <c r="D3" s="97">
        <f t="shared" si="0"/>
        <v>0.20003122103864271</v>
      </c>
      <c r="E3" s="97">
        <f>F3</f>
        <v>0.20003122103864271</v>
      </c>
      <c r="F3" s="97">
        <f>'HDV+LDV frt'!B8</f>
        <v>0.20003122103864271</v>
      </c>
      <c r="G3" s="12">
        <f>'HDV+LDV frt'!C8</f>
        <v>0.21998092944325159</v>
      </c>
      <c r="H3" s="12">
        <f>'HDV+LDV frt'!D8</f>
        <v>0.19847738335569889</v>
      </c>
      <c r="I3" s="12">
        <f>'HDV+LDV frt'!E8</f>
        <v>0.19182735778637439</v>
      </c>
      <c r="J3" s="12">
        <f>'HDV+LDV frt'!F8</f>
        <v>0.15624707115957664</v>
      </c>
      <c r="K3" s="12">
        <f>'HDV+LDV frt'!G8</f>
        <v>0.12618016702890608</v>
      </c>
      <c r="L3" s="12">
        <f>'HDV+LDV frt'!H8</f>
        <v>0.10372523712835408</v>
      </c>
      <c r="M3" s="97">
        <f>'HDV+LDV frt'!I8</f>
        <v>6.8843846581215493E-2</v>
      </c>
      <c r="N3" s="97">
        <f>'HDV+LDV frt'!J8</f>
        <v>4.2325845787660271E-2</v>
      </c>
      <c r="O3" s="97">
        <f>'HDV+LDV frt'!K8</f>
        <v>3.6275852569997075E-2</v>
      </c>
      <c r="P3" s="97">
        <f>'HDV+LDV frt'!L8</f>
        <v>1.4334662145321187E-2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ht="14.5" x14ac:dyDescent="0.35">
      <c r="A4" s="8" t="s">
        <v>272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ht="14.5" x14ac:dyDescent="0.35">
      <c r="A5" s="8" t="s">
        <v>273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ht="14.5" x14ac:dyDescent="0.35">
      <c r="A6" s="8" t="s">
        <v>274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ht="14.5" x14ac:dyDescent="0.35">
      <c r="A7" s="8" t="s">
        <v>275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topLeftCell="S1" workbookViewId="0">
      <selection activeCell="B2" sqref="B2:AJ7"/>
    </sheetView>
  </sheetViews>
  <sheetFormatPr defaultColWidth="12.6640625" defaultRowHeight="15" customHeight="1" x14ac:dyDescent="0.3"/>
  <cols>
    <col min="1" max="1" width="14.6640625" style="18" customWidth="1"/>
    <col min="2" max="36" width="7.6640625" style="18" customWidth="1"/>
  </cols>
  <sheetData>
    <row r="1" spans="1:36" ht="48" customHeight="1" x14ac:dyDescent="0.35">
      <c r="A1" s="17" t="s">
        <v>269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ht="14.5" x14ac:dyDescent="0.35">
      <c r="A2" s="8" t="s">
        <v>270</v>
      </c>
      <c r="B2" s="97">
        <f t="shared" ref="B2:D2" si="0">C2</f>
        <v>0.24468611379024252</v>
      </c>
      <c r="C2" s="97">
        <f t="shared" si="0"/>
        <v>0.24468611379024252</v>
      </c>
      <c r="D2" s="97">
        <f t="shared" si="0"/>
        <v>0.24468611379024252</v>
      </c>
      <c r="E2" s="97">
        <f>F2</f>
        <v>0.24468611379024252</v>
      </c>
      <c r="F2" s="97">
        <f>'HDV+LDV frt'!B2</f>
        <v>0.24468611379024252</v>
      </c>
      <c r="G2" s="97">
        <f>'HDV+LDV frt'!C2</f>
        <v>0.26196710826860486</v>
      </c>
      <c r="H2" s="97">
        <f>'HDV+LDV frt'!D2</f>
        <v>0.23184720509305548</v>
      </c>
      <c r="I2" s="97">
        <f>'HDV+LDV frt'!E2</f>
        <v>0.22077068803436775</v>
      </c>
      <c r="J2" s="97">
        <f>'HDV+LDV frt'!F2</f>
        <v>0.17762065270600649</v>
      </c>
      <c r="K2" s="97">
        <f>'HDV+LDV frt'!G2</f>
        <v>0.1420818940208072</v>
      </c>
      <c r="L2" s="97">
        <f>'HDV+LDV frt'!H2</f>
        <v>0.11582549643515085</v>
      </c>
      <c r="M2" s="97">
        <f>'HDV+LDV frt'!I2</f>
        <v>7.629811268096115E-2</v>
      </c>
      <c r="N2" s="97">
        <f>'HDV+LDV frt'!J2</f>
        <v>4.6597872512891512E-2</v>
      </c>
      <c r="O2" s="97">
        <f>'HDV+LDV frt'!K2</f>
        <v>3.9700750432066896E-2</v>
      </c>
      <c r="P2" s="97">
        <f>'HDV+LDV frt'!L2</f>
        <v>1.5604304496320233E-2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ht="14.5" x14ac:dyDescent="0.35">
      <c r="A3" s="8" t="s">
        <v>271</v>
      </c>
      <c r="B3" s="97">
        <f t="shared" ref="B3:D3" si="1">C3</f>
        <v>0.31727414223919048</v>
      </c>
      <c r="C3" s="97">
        <f t="shared" si="1"/>
        <v>0.31727414223919048</v>
      </c>
      <c r="D3" s="97">
        <f t="shared" si="1"/>
        <v>0.31727414223919048</v>
      </c>
      <c r="E3" s="97">
        <f>F3</f>
        <v>0.31727414223919048</v>
      </c>
      <c r="F3" s="97">
        <f>'HDV+LDV frt'!B3</f>
        <v>0.31727414223919048</v>
      </c>
      <c r="G3" s="97">
        <f>'HDV+LDV frt'!C3</f>
        <v>0.361339384854722</v>
      </c>
      <c r="H3" s="97">
        <f>'HDV+LDV frt'!D3</f>
        <v>0.33478190112401979</v>
      </c>
      <c r="I3" s="97">
        <f>'HDV+LDV frt'!E3</f>
        <v>0.3305402613740227</v>
      </c>
      <c r="J3" s="97">
        <f>'HDV+LDV frt'!F3</f>
        <v>0.27419305187786991</v>
      </c>
      <c r="K3" s="97">
        <f>'HDV+LDV frt'!G3</f>
        <v>0.22466435887642214</v>
      </c>
      <c r="L3" s="97">
        <f>'HDV+LDV frt'!H3</f>
        <v>0.18710351520593435</v>
      </c>
      <c r="M3" s="97">
        <f>'HDV+LDV frt'!I3</f>
        <v>0.12568000837709245</v>
      </c>
      <c r="N3" s="97">
        <f>'HDV+LDV frt'!J3</f>
        <v>7.8106452552090921E-2</v>
      </c>
      <c r="O3" s="97">
        <f>'HDV+LDV frt'!K3</f>
        <v>6.7600272972037884E-2</v>
      </c>
      <c r="P3" s="97">
        <f>'HDV+LDV frt'!L3</f>
        <v>2.6952885760500599E-2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ht="14.5" x14ac:dyDescent="0.35">
      <c r="A4" s="8" t="s">
        <v>272</v>
      </c>
      <c r="B4" s="97">
        <v>0</v>
      </c>
      <c r="C4" s="97">
        <v>0</v>
      </c>
      <c r="D4" s="97">
        <v>0</v>
      </c>
      <c r="E4" s="97">
        <v>0</v>
      </c>
      <c r="F4" s="97">
        <v>0</v>
      </c>
      <c r="G4" s="97">
        <v>0</v>
      </c>
      <c r="H4" s="97">
        <v>0</v>
      </c>
      <c r="I4" s="97">
        <v>0</v>
      </c>
      <c r="J4" s="97">
        <v>0</v>
      </c>
      <c r="K4" s="97">
        <v>0</v>
      </c>
      <c r="L4" s="97">
        <v>0</v>
      </c>
      <c r="M4" s="97">
        <v>0</v>
      </c>
      <c r="N4" s="97">
        <v>0</v>
      </c>
      <c r="O4" s="97">
        <v>0</v>
      </c>
      <c r="P4" s="97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ht="14.5" x14ac:dyDescent="0.35">
      <c r="A5" s="8" t="s">
        <v>273</v>
      </c>
      <c r="B5" s="97">
        <v>0</v>
      </c>
      <c r="C5" s="97">
        <v>0</v>
      </c>
      <c r="D5" s="97">
        <v>0</v>
      </c>
      <c r="E5" s="97">
        <v>0</v>
      </c>
      <c r="F5" s="97">
        <v>0</v>
      </c>
      <c r="G5" s="97">
        <v>0</v>
      </c>
      <c r="H5" s="97">
        <v>0</v>
      </c>
      <c r="I5" s="97">
        <v>0</v>
      </c>
      <c r="J5" s="97">
        <v>0</v>
      </c>
      <c r="K5" s="97">
        <v>0</v>
      </c>
      <c r="L5" s="97">
        <v>0</v>
      </c>
      <c r="M5" s="97">
        <v>0</v>
      </c>
      <c r="N5" s="97">
        <v>0</v>
      </c>
      <c r="O5" s="97">
        <v>0</v>
      </c>
      <c r="P5" s="97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ht="14.5" x14ac:dyDescent="0.35">
      <c r="A6" s="8" t="s">
        <v>274</v>
      </c>
      <c r="B6" s="97">
        <v>0</v>
      </c>
      <c r="C6" s="97">
        <v>0</v>
      </c>
      <c r="D6" s="97">
        <v>0</v>
      </c>
      <c r="E6" s="97">
        <v>0</v>
      </c>
      <c r="F6" s="97">
        <v>0</v>
      </c>
      <c r="G6" s="97">
        <v>0</v>
      </c>
      <c r="H6" s="97">
        <v>0</v>
      </c>
      <c r="I6" s="97">
        <v>0</v>
      </c>
      <c r="J6" s="97">
        <v>0</v>
      </c>
      <c r="K6" s="97">
        <v>0</v>
      </c>
      <c r="L6" s="97">
        <v>0</v>
      </c>
      <c r="M6" s="97">
        <v>0</v>
      </c>
      <c r="N6" s="97">
        <v>0</v>
      </c>
      <c r="O6" s="97">
        <v>0</v>
      </c>
      <c r="P6" s="97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ht="14.5" x14ac:dyDescent="0.35">
      <c r="A7" s="8" t="s">
        <v>275</v>
      </c>
      <c r="B7" s="97">
        <f t="shared" ref="B7:D7" si="2">C7</f>
        <v>0.43618497499787717</v>
      </c>
      <c r="C7" s="97">
        <f t="shared" si="2"/>
        <v>0.43618497499787717</v>
      </c>
      <c r="D7" s="97">
        <f t="shared" si="2"/>
        <v>0.43618497499787717</v>
      </c>
      <c r="E7" s="97">
        <f>F7</f>
        <v>0.43618497499787717</v>
      </c>
      <c r="F7" s="97">
        <f>'HDV+LDV frt'!B7</f>
        <v>0.43618497499787717</v>
      </c>
      <c r="G7" s="97">
        <f>'HDV+LDV frt'!C7</f>
        <v>0.49676538225350775</v>
      </c>
      <c r="H7" s="97">
        <f>'HDV+LDV frt'!D7</f>
        <v>0.4602544479071789</v>
      </c>
      <c r="I7" s="97">
        <f>'HDV+LDV frt'!E7</f>
        <v>0.45442308858099817</v>
      </c>
      <c r="J7" s="97">
        <f>'HDV+LDV frt'!F7</f>
        <v>0.37695756935582753</v>
      </c>
      <c r="K7" s="97">
        <f>'HDV+LDV frt'!G7</f>
        <v>0.30886607105078384</v>
      </c>
      <c r="L7" s="97">
        <f>'HDV+LDV frt'!H7</f>
        <v>0.25722783938877997</v>
      </c>
      <c r="M7" s="97">
        <f>'HDV+LDV frt'!I7</f>
        <v>0.17278348284168366</v>
      </c>
      <c r="N7" s="97">
        <f>'HDV+LDV frt'!J7</f>
        <v>0.10737988546171032</v>
      </c>
      <c r="O7" s="97">
        <f>'HDV+LDV frt'!K7</f>
        <v>9.2936106195280768E-2</v>
      </c>
      <c r="P7" s="97">
        <f>'HDV+LDV frt'!L7</f>
        <v>3.705452867539865E-2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About</vt:lpstr>
      <vt:lpstr>HDV+LDV frt</vt:lpstr>
      <vt:lpstr>CARB HVIP</vt:lpstr>
      <vt:lpstr>LDV psg calculations</vt:lpstr>
      <vt:lpstr>BAU LDV psg</vt:lpstr>
      <vt:lpstr>LDV psg sales</vt:lpstr>
      <vt:lpstr>LDV psg manufacturers</vt:lpstr>
      <vt:lpstr>HDV frt</vt:lpstr>
      <vt:lpstr>LDV frt</vt:lpstr>
      <vt:lpstr>HDV psg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Chris Busch</cp:lastModifiedBy>
  <dcterms:created xsi:type="dcterms:W3CDTF">2017-06-20T00:56:40Z</dcterms:created>
  <dcterms:modified xsi:type="dcterms:W3CDTF">2022-04-27T13:54:57Z</dcterms:modified>
</cp:coreProperties>
</file>